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Calculator'!$L$80:$O$549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<sst xmlns="http://schemas.openxmlformats.org/spreadsheetml/2006/main" count="1393" uniqueCount="862">
  <si>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</si>
  <si>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</si>
  <si>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</si>
  <si>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</si>
  <si>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</si>
  <si>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</si>
  <si>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</si>
  <si>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</si>
  <si>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</si>
  <si>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</si>
  <si>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</si>
  <si>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</si>
  <si>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</si>
  <si>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</si>
  <si>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</si>
  <si>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</si>
  <si>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</si>
  <si>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</si>
  <si>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</si>
  <si>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</si>
  <si>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</si>
  <si>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</si>
  <si>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</si>
  <si>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</si>
  <si>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</si>
  <si>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</si>
  <si>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</si>
  <si>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</si>
  <si>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</si>
  <si>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</si>
  <si>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</si>
  <si>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</si>
  <si>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</si>
  <si>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</si>
  <si>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</si>
  <si>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</si>
  <si>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</si>
  <si>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</si>
  <si>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</si>
  <si>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</si>
  <si>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</si>
  <si>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</si>
  <si>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</si>
  <si>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</si>
  <si>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</si>
  <si>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</si>
  <si>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</si>
  <si>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</si>
  <si>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</si>
  <si>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</si>
  <si>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</si>
  <si>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</si>
  <si>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</si>
  <si>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</si>
  <si>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</si>
  <si>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</si>
  <si>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</si>
  <si>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</si>
  <si>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</si>
  <si>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</si>
  <si>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</si>
  <si>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</si>
  <si>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</si>
  <si>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</si>
  <si>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</si>
  <si>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</si>
  <si>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</si>
  <si>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</si>
  <si>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</si>
  <si>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</si>
  <si>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</si>
  <si>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</si>
  <si>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</si>
  <si>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</si>
  <si>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</si>
  <si>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</si>
  <si>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</si>
  <si>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</si>
  <si>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</si>
  <si>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</si>
  <si>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</si>
  <si>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</si>
  <si>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</si>
  <si>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</si>
  <si>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</si>
  <si>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</si>
  <si>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</si>
  <si>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</si>
  <si>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</si>
  <si>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</si>
  <si>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</si>
  <si>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</si>
  <si>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</si>
  <si>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</si>
  <si>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</si>
  <si>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</si>
  <si>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</si>
  <si>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</si>
  <si>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</si>
  <si>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</si>
  <si>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</si>
  <si>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</si>
  <si>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</si>
  <si>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</si>
  <si>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</si>
  <si>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</si>
  <si>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</si>
  <si>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</si>
  <si>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</si>
  <si>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</si>
  <si>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</si>
  <si>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</si>
  <si>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</si>
  <si>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</si>
  <si>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</si>
  <si>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</si>
  <si>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</si>
  <si>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</si>
  <si>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</si>
  <si>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</si>
  <si>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</si>
  <si>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</si>
  <si>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</si>
  <si>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</si>
  <si>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</si>
  <si>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</si>
  <si>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</si>
  <si>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</si>
  <si>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</si>
  <si>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</si>
  <si>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</si>
  <si>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</si>
  <si>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</si>
  <si>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</si>
  <si>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</si>
  <si>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</si>
  <si>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</si>
  <si>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</si>
  <si>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</si>
  <si>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</si>
  <si>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</si>
  <si>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</si>
  <si>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</si>
  <si>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</si>
  <si>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</si>
  <si>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</si>
  <si>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</si>
  <si>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</si>
  <si>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</si>
  <si>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</si>
  <si>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</si>
  <si>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</si>
  <si>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</si>
  <si>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</si>
  <si>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</si>
  <si>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</si>
  <si>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</si>
  <si>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</si>
  <si>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</si>
  <si>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</si>
  <si>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</si>
  <si>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</si>
  <si>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</si>
  <si>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</si>
  <si>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</si>
  <si>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</si>
  <si>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</si>
  <si>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</si>
  <si>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</si>
  <si>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</si>
  <si>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</si>
  <si>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</si>
  <si>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</si>
  <si>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</si>
  <si>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</si>
  <si>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</si>
  <si>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</si>
  <si>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</si>
  <si>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</si>
  <si>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</si>
  <si>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</si>
  <si>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</si>
  <si>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</si>
  <si>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</si>
  <si>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</si>
  <si>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</si>
  <si>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</si>
  <si>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</si>
  <si>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</si>
  <si>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</si>
  <si>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</si>
  <si>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</si>
  <si>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</si>
  <si>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</si>
  <si>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</si>
  <si>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</si>
  <si>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</si>
  <si>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</si>
  <si>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</si>
  <si>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</si>
  <si>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</si>
  <si>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</si>
  <si>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</si>
  <si>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</si>
  <si>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</si>
  <si>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</si>
  <si>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</si>
  <si>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</si>
  <si>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</si>
  <si>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</si>
  <si>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</si>
  <si>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</si>
  <si>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</si>
  <si>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</si>
  <si>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</si>
  <si>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</si>
  <si>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</si>
  <si>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</si>
  <si>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</si>
  <si>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</si>
  <si>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</si>
  <si>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</si>
  <si>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</si>
  <si>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</si>
  <si>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</si>
  <si>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</si>
  <si>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</si>
  <si>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</si>
  <si>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</si>
  <si>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</si>
  <si>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</si>
  <si>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</si>
  <si>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</si>
  <si>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</si>
  <si>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</si>
  <si>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</si>
  <si>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</si>
  <si>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</si>
  <si>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</si>
  <si>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</si>
  <si>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</si>
  <si>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</si>
  <si>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</si>
  <si>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</si>
  <si>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</si>
  <si>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</si>
  <si>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</si>
  <si>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</si>
  <si>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</si>
  <si>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</si>
  <si>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</si>
  <si>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</si>
  <si>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</si>
  <si>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</si>
  <si>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</si>
  <si>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</si>
  <si>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</si>
  <si>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</si>
  <si>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</si>
  <si>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</si>
  <si>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</si>
  <si>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</si>
  <si>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</si>
  <si>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</si>
  <si>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</si>
  <si>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</si>
  <si>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</si>
  <si>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</si>
  <si>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</si>
  <si>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</si>
  <si>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</si>
  <si>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</si>
  <si>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</si>
  <si>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</si>
  <si>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</si>
  <si>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</si>
  <si>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</si>
  <si>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</si>
  <si>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</si>
  <si>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</si>
  <si>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</si>
  <si>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</si>
  <si>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</si>
  <si>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</si>
  <si>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</si>
  <si>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</si>
  <si>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</si>
  <si>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</si>
  <si>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</si>
  <si>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</si>
  <si>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</si>
  <si>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</si>
  <si>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</si>
  <si>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</si>
  <si>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</si>
  <si>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</si>
  <si>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</si>
  <si>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</si>
  <si>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</si>
  <si>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</si>
  <si>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</si>
  <si>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</si>
  <si>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</si>
  <si>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</si>
  <si>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</si>
  <si>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</si>
  <si>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</si>
  <si>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</si>
  <si>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</si>
  <si>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</si>
  <si>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</si>
  <si>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</si>
  <si>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</si>
  <si>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</si>
  <si>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</si>
  <si>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</si>
  <si>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</si>
  <si>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</si>
  <si>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</si>
  <si>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</si>
  <si>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</si>
  <si>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</si>
  <si>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</si>
  <si>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</si>
  <si>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</si>
  <si>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</si>
  <si>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</si>
  <si>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</si>
  <si>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</si>
  <si>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</si>
  <si>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</si>
  <si>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</si>
  <si>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</si>
  <si>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</si>
  <si>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</si>
  <si>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</si>
  <si>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</si>
  <si>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</si>
  <si>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</si>
  <si>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</si>
  <si>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</si>
  <si>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</si>
  <si>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</si>
  <si>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</si>
  <si>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</si>
  <si>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</si>
  <si>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</si>
  <si>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</si>
  <si>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</si>
  <si>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</si>
  <si>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</si>
  <si>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</si>
  <si>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</si>
  <si>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</si>
  <si>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</si>
  <si>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</si>
  <si>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</si>
  <si>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</si>
  <si>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</si>
  <si>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</si>
  <si>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</si>
  <si>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</si>
  <si>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</si>
  <si>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</si>
  <si>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</si>
  <si>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</si>
  <si>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</si>
  <si>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</si>
  <si>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</si>
  <si>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</si>
  <si>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</si>
  <si>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</si>
  <si>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</si>
  <si>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</si>
  <si>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</si>
  <si>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</si>
  <si>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</si>
  <si>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</si>
  <si>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</si>
  <si>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</si>
  <si>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</si>
  <si>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</si>
  <si>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</si>
  <si>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</si>
  <si>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</si>
  <si>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</si>
  <si>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</si>
  <si>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</si>
  <si>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</si>
  <si>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</si>
  <si>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</si>
  <si>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</si>
  <si>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</si>
  <si>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</si>
  <si>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</si>
  <si>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</si>
  <si>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</si>
  <si>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</si>
  <si>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</si>
  <si>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</si>
  <si>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</si>
  <si>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</si>
  <si>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</si>
  <si>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</si>
  <si>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</si>
  <si>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</si>
  <si>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</si>
  <si>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</si>
  <si>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</si>
  <si>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</si>
  <si>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</si>
  <si>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</si>
  <si>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</si>
  <si>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</si>
  <si>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</si>
  <si>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</si>
  <si>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</si>
  <si>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</si>
  <si>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</si>
  <si>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</si>
  <si>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</si>
  <si>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</si>
  <si>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</si>
  <si>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</si>
  <si>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</si>
  <si>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</si>
  <si>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</si>
  <si>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</si>
  <si>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</si>
  <si>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</si>
  <si>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</si>
  <si>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</si>
  <si>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</si>
  <si>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</si>
  <si>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</si>
  <si>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</si>
  <si>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</si>
  <si>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</si>
  <si>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</si>
  <si>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</si>
  <si>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</si>
  <si>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</si>
  <si>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</si>
  <si>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</si>
  <si>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</si>
  <si>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</si>
  <si>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</si>
  <si>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</si>
  <si>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</si>
  <si>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</si>
  <si>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</si>
  <si>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</si>
  <si>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</si>
  <si>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</si>
  <si>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</si>
  <si>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</si>
  <si>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</si>
  <si>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</si>
  <si>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</si>
  <si>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</si>
  <si>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</si>
  <si>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</si>
  <si>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</si>
  <si>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</si>
  <si>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</si>
  <si>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</si>
  <si>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</si>
  <si>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</si>
  <si>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</si>
  <si>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</si>
  <si>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</si>
  <si>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</si>
  <si>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</si>
  <si>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</si>
  <si>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</si>
  <si>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</si>
  <si>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</si>
  <si>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</si>
  <si>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</si>
  <si>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</si>
  <si>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</si>
  <si>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</si>
  <si>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</si>
  <si>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</si>
  <si>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</si>
  <si>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</si>
  <si>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</si>
  <si>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</si>
  <si>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</si>
  <si>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</si>
  <si>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</si>
  <si>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</si>
  <si>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</si>
  <si>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</si>
  <si>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</si>
  <si>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</si>
  <si>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</si>
  <si>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</si>
  <si>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</si>
  <si>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</si>
  <si>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</si>
  <si>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</si>
  <si>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</si>
  <si>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</si>
  <si>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</si>
  <si>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</si>
  <si>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</si>
  <si>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</si>
  <si>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</si>
  <si>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</si>
  <si>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</si>
  <si>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</si>
  <si>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</si>
  <si>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</si>
  <si>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</si>
  <si>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</si>
  <si>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</si>
  <si>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</si>
  <si>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</si>
  <si>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</si>
  <si>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</si>
  <si>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</si>
  <si>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</si>
  <si>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</si>
  <si>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</si>
  <si>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</si>
  <si>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</si>
  <si>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</si>
  <si>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</si>
  <si>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</si>
  <si>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</si>
  <si>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</si>
  <si>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</si>
  <si>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</si>
  <si>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</si>
  <si>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</si>
  <si>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</si>
  <si>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</si>
  <si>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</si>
  <si>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</si>
  <si>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</si>
  <si>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</si>
  <si>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</si>
  <si>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</si>
  <si>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</si>
  <si>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</si>
  <si>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</si>
  <si>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</si>
  <si>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</si>
  <si>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</si>
  <si>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</si>
  <si>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</si>
  <si>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</si>
  <si>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</si>
  <si>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</si>
  <si>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</si>
  <si>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</si>
  <si>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</si>
  <si>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</si>
  <si>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</si>
  <si>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</si>
  <si>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</si>
  <si>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</si>
  <si>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</si>
  <si>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</si>
  <si>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</si>
  <si>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</si>
  <si>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</si>
  <si>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</si>
  <si>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</si>
  <si>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</si>
  <si>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</si>
  <si>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</si>
  <si>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</si>
  <si>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</si>
  <si>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</si>
  <si>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</si>
  <si>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</si>
  <si>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</si>
  <si>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</si>
  <si>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</si>
  <si>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</si>
  <si>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</si>
  <si>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</si>
  <si>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</si>
  <si>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</si>
  <si>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</si>
  <si>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</si>
  <si>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</si>
  <si>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</si>
  <si>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</si>
  <si>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</si>
  <si>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</si>
  <si>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</si>
  <si>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</si>
  <si>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</si>
  <si>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</si>
  <si>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</si>
  <si>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</si>
  <si>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</si>
  <si>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</si>
  <si>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</si>
  <si>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</si>
  <si>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</si>
  <si>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</si>
  <si>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</si>
  <si>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</si>
  <si>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</si>
  <si>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</si>
  <si>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</si>
  <si>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</si>
  <si>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</si>
  <si>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</si>
  <si>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</si>
  <si>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</si>
  <si>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</si>
  <si>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</si>
  <si>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</si>
  <si>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</si>
  <si>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</si>
  <si>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</si>
  <si>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</si>
  <si>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</si>
  <si>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</si>
  <si>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</si>
  <si>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</si>
  <si>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</si>
  <si>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</si>
  <si>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</si>
  <si>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</si>
  <si>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</si>
  <si>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</si>
  <si>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</si>
  <si>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</si>
  <si>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</si>
  <si>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</si>
  <si>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</si>
  <si>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</si>
  <si>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</si>
  <si>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</si>
  <si>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</si>
  <si>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</si>
  <si>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</si>
  <si>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</si>
  <si>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</si>
  <si>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</si>
  <si>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</si>
  <si>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</si>
  <si>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</si>
  <si>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</si>
  <si>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</si>
  <si>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</si>
  <si>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</si>
  <si>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</si>
  <si>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</si>
  <si>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</si>
  <si>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</si>
  <si>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</si>
  <si>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</si>
  <si>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</si>
  <si>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</si>
  <si>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</si>
  <si>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</si>
  <si>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</si>
  <si>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</si>
  <si>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</si>
  <si>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</si>
  <si>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</si>
  <si>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</si>
  <si>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</si>
  <si>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</si>
  <si>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</si>
  <si>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</si>
  <si>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</si>
  <si>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</si>
  <si>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</si>
  <si>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</si>
  <si>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</si>
  <si>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</si>
  <si>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</si>
  <si>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</si>
  <si>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</si>
  <si>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</si>
  <si>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</si>
  <si>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</si>
  <si>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</si>
  <si>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</si>
  <si>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</si>
  <si>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</si>
  <si>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</si>
  <si>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</si>
  <si>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</si>
  <si>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</si>
  <si>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</si>
  <si>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</si>
  <si>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</si>
  <si>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</si>
  <si>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</si>
  <si>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</si>
  <si>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</si>
  <si>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</si>
  <si>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</si>
  <si>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</si>
  <si>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</si>
  <si>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</si>
  <si>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</si>
  <si>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</si>
  <si>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</si>
  <si>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</si>
  <si>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</si>
  <si>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</si>
  <si>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</si>
  <si>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</si>
  <si>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</si>
  <si>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</si>
  <si>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</si>
  <si>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</si>
  <si>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</si>
  <si>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</si>
  <si>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</si>
  <si>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</si>
  <si>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</si>
  <si>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</si>
  <si>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</si>
  <si>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</si>
  <si>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</si>
  <si>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</si>
  <si>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</si>
  <si>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</si>
  <si>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</si>
  <si>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</si>
  <si>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</si>
  <si>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</si>
  <si>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</si>
  <si>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</si>
  <si>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</si>
  <si>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</si>
  <si>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</si>
  <si>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</si>
  <si>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</si>
  <si>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</si>
  <si>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</si>
  <si>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</si>
  <si>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</si>
  <si>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</si>
  <si>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</si>
  <si>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</si>
  <si>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</si>
  <si>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</si>
  <si>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</si>
  <si>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</si>
  <si>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</si>
  <si>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</si>
  <si>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</si>
  <si>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</si>
  <si>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</si>
  <si>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</si>
  <si>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</si>
  <si>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</si>
  <si>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</si>
  <si>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</si>
  <si>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</si>
  <si>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</si>
  <si>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</si>
  <si>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</si>
  <si>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</si>
  <si>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</si>
  <si>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</si>
  <si>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</si>
  <si>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</si>
  <si>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</si>
  <si>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</si>
  <si>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</si>
  <si>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</si>
  <si>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</si>
  <si>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</si>
  <si>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</si>
  <si>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</si>
  <si>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</si>
  <si>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</si>
  <si>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</si>
  <si>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</si>
  <si>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</si>
  <si>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</si>
  <si>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</si>
  <si>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</si>
  <si>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</si>
  <si>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</si>
  <si>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</si>
  <si>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</si>
  <si>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</si>
  <si>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</si>
  <si>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</si>
  <si>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</si>
  <si>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</si>
  <si>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</si>
  <si>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</si>
  <si>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</si>
  <si>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</si>
  <si>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</si>
  <si>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</si>
  <si>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</si>
  <si>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</si>
  <si>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</si>
  <si>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</si>
  <si>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</si>
  <si>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</si>
  <si>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</si>
  <si>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</si>
  <si>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</si>
  <si>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</si>
  <si>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</si>
  <si>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</si>
  <si>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</si>
  <si>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</si>
  <si>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</si>
  <si>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</si>
  <si>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</si>
  <si>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</si>
  <si>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</si>
  <si>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</si>
  <si>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</si>
  <si>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</si>
  <si>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</si>
  <si>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</si>
  <si>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</si>
  <si>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</si>
  <si>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</si>
  <si>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</si>
  <si>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</si>
  <si>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</si>
  <si>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</si>
  <si>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</si>
  <si>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</si>
  <si>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</si>
  <si>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</si>
  <si>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</si>
  <si>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</si>
  <si>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</si>
  <si>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</si>
  <si>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</si>
  <si>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</si>
  <si>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</si>
  <si>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</si>
  <si>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</si>
  <si>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</si>
  <si>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</si>
  <si>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</si>
  <si>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</si>
  <si>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OPEB CBID - Please call your HR department for your OPEB CBID.  Enter "Non" if you are not subject to OPEB contributions.</t>
  </si>
  <si>
    <t>Yes</t>
  </si>
  <si>
    <t>CALIFORNIA STATE CONTROLLER'S OFFICE PAYCHECK CALCULATOR - JULY 2022</t>
  </si>
  <si>
    <t>5R</t>
  </si>
  <si>
    <t>5S</t>
  </si>
  <si>
    <t>GR</t>
  </si>
  <si>
    <t>GS</t>
  </si>
  <si>
    <r>
      <t>Total Other Flex Deductions (Pre-Tax)</t>
    </r>
    <r>
      <rPr>
        <sz val="12"/>
        <rFont val="Tms Rmn"/>
        <family val="0"/>
      </rPr>
      <t xml:space="preserve">-Enter the sum of all flex deductions as indicated by the  " * "  next to it </t>
    </r>
  </si>
  <si>
    <t xml:space="preserve">Deduction Examples: Health, Dental, Vision, Medical Reimbursement Account, Dependent Care Reimbursement  </t>
  </si>
  <si>
    <r>
      <rPr>
        <sz val="12"/>
        <rFont val="Tms Rmn"/>
        <family val="0"/>
      </rPr>
      <t>EXCEPTIONS: FLEX CASH, COBEN CASH, OPEB, *TSA, *DC-457, *457, *401K, *403B, *PERSREDPST or *STRS REDST.</t>
    </r>
  </si>
  <si>
    <r>
      <t>Total Voluntary Deductions (Post-Tax)</t>
    </r>
    <r>
      <rPr>
        <sz val="12"/>
        <rFont val="Tms Rmn"/>
        <family val="0"/>
      </rPr>
      <t xml:space="preserve">-Enter the sum of all other deductions you have that are not covered in the </t>
    </r>
  </si>
  <si>
    <r>
      <t>categories above (</t>
    </r>
    <r>
      <rPr>
        <sz val="12"/>
        <rFont val="Tms Rmn"/>
        <family val="0"/>
      </rPr>
      <t xml:space="preserve">exluding all *). These may include things such as credit union deductions, union dues, administrative fees, </t>
    </r>
  </si>
  <si>
    <t>accounts receivable deductions with no taxable gross etc…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</si>
</sst>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1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9"/>
  <sheetViews>
    <sheetView showGridLines="0" tabSelected="1" zoomScale="106" zoomScaleNormal="106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851</v>
      </c>
      <c r="C1" s="6"/>
      <c r="D1" s="6"/>
      <c r="E1" s="9"/>
      <c r="F1" s="9"/>
      <c r="G1" s="9"/>
      <c r="I1" s="2" t="s">
        <v>0</v>
      </c>
      <c r="K1" t="s">
        <v>204</v>
      </c>
      <c r="L1" s="2" t="s">
        <v>1</v>
      </c>
      <c r="M1" s="2" t="s">
        <v>2</v>
      </c>
      <c r="N1" s="2" t="s">
        <v>198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564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>
        <v>43295</v>
      </c>
      <c r="L2" s="50">
        <v>0.062</v>
      </c>
      <c r="M2" s="50">
        <v>0.0145</v>
      </c>
      <c r="N2" s="50">
        <v>0.011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8826</v>
      </c>
      <c r="C3" s="13" t="s">
        <v>508</v>
      </c>
      <c r="D3" s="14"/>
      <c r="E3" s="14"/>
      <c r="F3" s="14"/>
      <c r="G3" s="19" t="s">
        <v>6</v>
      </c>
      <c r="I3" s="2" t="s">
        <v>9</v>
      </c>
      <c r="J3" s="3">
        <f>ROUND((GROSS+Flex_Cash-Total_Flex-OPEB)*MED_,2)</f>
        <v>119.8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504</v>
      </c>
      <c r="B4" s="49" t="s">
        <v>507</v>
      </c>
      <c r="C4" s="15" t="s">
        <v>503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495</v>
      </c>
      <c r="B5" s="44" t="s">
        <v>272</v>
      </c>
      <c r="C5" s="40" t="s">
        <v>505</v>
      </c>
      <c r="D5" s="6"/>
      <c r="E5" s="26"/>
      <c r="F5" s="26"/>
      <c r="G5" s="33"/>
      <c r="I5" s="2" t="s">
        <v>11</v>
      </c>
      <c r="J5" s="3">
        <f>ROUND((GROSS+Flex_Cash-Total_Flex-OPEB)*OASDI_,2)</f>
        <v>512.25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725</v>
      </c>
      <c r="B6" s="44" t="s">
        <v>780</v>
      </c>
      <c r="C6" s="40" t="s">
        <v>726</v>
      </c>
      <c r="D6" s="6"/>
      <c r="E6" s="26"/>
      <c r="F6" s="26"/>
      <c r="G6" s="33"/>
      <c r="I6" s="2" t="s">
        <v>847</v>
      </c>
      <c r="J6" s="3">
        <f>ROUND(GROSS*K6,2)</f>
        <v>211.82</v>
      </c>
      <c r="K6">
        <f>VLOOKUP(OPEB_AC,OPEB_Table,2,FALSE)</f>
        <v>0.024</v>
      </c>
      <c r="L6" s="52"/>
      <c r="M6" s="37"/>
      <c r="N6" s="50"/>
      <c r="O6" s="37"/>
      <c r="P6" s="37"/>
      <c r="Q6" s="37"/>
      <c r="R6" s="50"/>
      <c r="S6" s="63"/>
      <c r="T6" s="64"/>
      <c r="U6" s="64"/>
      <c r="V6" s="64"/>
      <c r="W6" s="64"/>
      <c r="X6" s="64"/>
      <c r="Y6" s="64"/>
      <c r="Z6" s="64"/>
    </row>
    <row r="7" spans="1:26" ht="15.75">
      <c r="A7" s="8" t="s">
        <v>501</v>
      </c>
      <c r="B7" s="45"/>
      <c r="C7" s="15" t="s">
        <v>506</v>
      </c>
      <c r="D7" s="26"/>
      <c r="E7" s="26"/>
      <c r="F7" s="26"/>
      <c r="G7" s="17"/>
      <c r="I7" s="2" t="s">
        <v>19</v>
      </c>
      <c r="J7" s="3">
        <f>VLOOKUP(CAT,RETID_TABLE,3,FALSE)</f>
        <v>513</v>
      </c>
      <c r="K7" s="55">
        <f>IF(B4="B",EPMCD*12/26,"")</f>
      </c>
      <c r="L7" s="55">
        <f>IF(AND(B4="B",K7&lt;GROSS),(GROSS-(K7))*EPMC_,0)</f>
        <v>0</v>
      </c>
      <c r="M7" s="37"/>
      <c r="N7" s="50"/>
      <c r="O7" s="51">
        <v>-999999</v>
      </c>
      <c r="P7" s="51">
        <v>0</v>
      </c>
      <c r="Q7" s="51">
        <v>0</v>
      </c>
      <c r="R7" s="50"/>
      <c r="S7" s="64"/>
      <c r="T7" s="63" t="s">
        <v>20</v>
      </c>
      <c r="U7" s="64"/>
      <c r="V7" s="63" t="s">
        <v>21</v>
      </c>
      <c r="W7" s="64"/>
      <c r="X7" s="64"/>
      <c r="Y7" s="64"/>
      <c r="Z7" s="64"/>
    </row>
    <row r="8" spans="1:26" ht="15.75">
      <c r="A8" s="8" t="s">
        <v>523</v>
      </c>
      <c r="B8" s="46" t="str">
        <f>VLOOKUP(CAT,RETID_TABLE,4,FALSE)</f>
        <v>SS</v>
      </c>
      <c r="C8" s="15" t="s">
        <v>496</v>
      </c>
      <c r="D8" s="26"/>
      <c r="E8" s="26"/>
      <c r="F8" s="26"/>
      <c r="G8" s="17"/>
      <c r="I8" s="2" t="s">
        <v>24</v>
      </c>
      <c r="J8" s="5">
        <f>VLOOKUP(CAT,RETID_TABLE,2,FALSE)</f>
        <v>0.08</v>
      </c>
      <c r="L8" s="56">
        <f>IF(AND(EPMCD&gt;GROSS,TIER&lt;&gt;2),0,IF(TIER=1,(GROSS-EPMCD)*EPMC_,IF(AND(B4="S",TIER=2),GROSS*EPMC_,)))</f>
        <v>0</v>
      </c>
      <c r="M8" s="50"/>
      <c r="N8" s="50"/>
      <c r="O8" s="51">
        <v>4350</v>
      </c>
      <c r="P8" s="51">
        <v>0.1</v>
      </c>
      <c r="Q8" s="51">
        <v>0</v>
      </c>
      <c r="R8" s="50"/>
      <c r="S8" s="66" t="s">
        <v>25</v>
      </c>
      <c r="T8" s="66" t="s">
        <v>26</v>
      </c>
      <c r="U8" s="63" t="s">
        <v>27</v>
      </c>
      <c r="V8" s="63" t="s">
        <v>28</v>
      </c>
      <c r="W8" s="64"/>
      <c r="X8" s="64"/>
      <c r="Y8" s="64"/>
      <c r="Z8" s="64"/>
    </row>
    <row r="9" spans="1:26" ht="15.75">
      <c r="A9" s="8" t="s">
        <v>17</v>
      </c>
      <c r="B9" s="45" t="s">
        <v>507</v>
      </c>
      <c r="C9" s="15" t="s">
        <v>18</v>
      </c>
      <c r="D9" s="6"/>
      <c r="E9" s="6"/>
      <c r="F9" s="6"/>
      <c r="G9" s="17"/>
      <c r="I9" s="2" t="s">
        <v>12</v>
      </c>
      <c r="J9" s="59">
        <f>IF(B4="M",L9,IF(B4="S",L8,IF(B4="B",L7)))</f>
        <v>665.04</v>
      </c>
      <c r="L9" s="56">
        <f>IF(EPMCD&gt;GROSS,0,(GROSS-EPMCD)*EPMC_)</f>
        <v>665.04</v>
      </c>
      <c r="M9" s="38"/>
      <c r="N9" s="50"/>
      <c r="O9" s="51">
        <v>14625</v>
      </c>
      <c r="P9" s="51">
        <v>0.12</v>
      </c>
      <c r="Q9" s="51">
        <v>1027.5</v>
      </c>
      <c r="R9" s="50"/>
      <c r="S9" s="67">
        <v>13419</v>
      </c>
      <c r="T9" s="67">
        <v>13419</v>
      </c>
      <c r="U9" s="67">
        <v>26838</v>
      </c>
      <c r="V9" s="67">
        <v>26838</v>
      </c>
      <c r="W9" s="64"/>
      <c r="X9" s="64"/>
      <c r="Y9" s="64"/>
      <c r="Z9" s="64"/>
    </row>
    <row r="10" spans="1:26" ht="15.75">
      <c r="A10" s="8" t="s">
        <v>22</v>
      </c>
      <c r="B10" s="45">
        <v>1</v>
      </c>
      <c r="C10" s="15" t="s">
        <v>565</v>
      </c>
      <c r="D10" s="6"/>
      <c r="E10" s="6"/>
      <c r="F10" s="6"/>
      <c r="G10" s="17"/>
      <c r="I10" s="2" t="s">
        <v>31</v>
      </c>
      <c r="J10" s="16">
        <f>GROSS+Flex_Cash-Total_Flex-OPEB</f>
        <v>8262.09</v>
      </c>
      <c r="K10" s="4"/>
      <c r="L10" s="50"/>
      <c r="M10" s="38"/>
      <c r="N10" s="50"/>
      <c r="O10" s="51">
        <v>46125</v>
      </c>
      <c r="P10" s="51">
        <v>0.22</v>
      </c>
      <c r="Q10" s="51">
        <v>4807.5</v>
      </c>
      <c r="R10" s="50"/>
      <c r="S10" s="64"/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551</v>
      </c>
      <c r="B11" s="45"/>
      <c r="C11" s="15" t="s">
        <v>566</v>
      </c>
      <c r="D11" s="6"/>
      <c r="E11" s="6"/>
      <c r="F11" s="6"/>
      <c r="G11" s="17"/>
      <c r="I11" s="2" t="s">
        <v>33</v>
      </c>
      <c r="J11" s="16">
        <f>GROSS+Flex_Cash-Total_Flex-OPEB</f>
        <v>8262.09</v>
      </c>
      <c r="K11" s="3"/>
      <c r="L11" s="60"/>
      <c r="M11" s="38"/>
      <c r="N11" s="50"/>
      <c r="O11" s="51">
        <v>93425</v>
      </c>
      <c r="P11" s="51">
        <v>0.24</v>
      </c>
      <c r="Q11" s="51">
        <v>15213.5</v>
      </c>
      <c r="R11" s="50"/>
      <c r="S11" s="63" t="s">
        <v>34</v>
      </c>
      <c r="T11" s="64"/>
      <c r="U11" s="64"/>
      <c r="V11" s="64"/>
      <c r="W11" s="64"/>
      <c r="X11" s="64"/>
      <c r="Y11" s="64"/>
      <c r="Z11" s="64"/>
    </row>
    <row r="12" spans="1:26" ht="15.75">
      <c r="A12" s="70" t="s">
        <v>552</v>
      </c>
      <c r="B12" s="45"/>
      <c r="C12" s="15" t="s">
        <v>567</v>
      </c>
      <c r="D12" s="6"/>
      <c r="E12" s="6"/>
      <c r="F12" s="6"/>
      <c r="G12" s="17"/>
      <c r="I12" s="2" t="s">
        <v>202</v>
      </c>
      <c r="J12" s="31">
        <f>IF(SDI="Yes",SDIGRS*SDI_RATE,0)</f>
        <v>90.88298999999999</v>
      </c>
      <c r="K12" s="4"/>
      <c r="L12" s="50"/>
      <c r="M12" s="38"/>
      <c r="N12" s="50"/>
      <c r="O12" s="51">
        <v>174400</v>
      </c>
      <c r="P12" s="53">
        <v>0.32</v>
      </c>
      <c r="Q12" s="51">
        <v>34647.5</v>
      </c>
      <c r="R12" s="50"/>
      <c r="S12" s="64"/>
      <c r="T12" s="63" t="s">
        <v>20</v>
      </c>
      <c r="U12" s="64"/>
      <c r="V12" s="63" t="s">
        <v>21</v>
      </c>
      <c r="W12" s="64"/>
      <c r="X12" s="64"/>
      <c r="Y12" s="64"/>
      <c r="Z12" s="64"/>
    </row>
    <row r="13" spans="1:26" ht="15.75">
      <c r="A13" s="70" t="s">
        <v>553</v>
      </c>
      <c r="B13" s="45"/>
      <c r="C13" s="15" t="s">
        <v>567</v>
      </c>
      <c r="D13" s="6"/>
      <c r="E13" s="6"/>
      <c r="F13" s="6"/>
      <c r="G13" s="17"/>
      <c r="I13" s="2" t="s">
        <v>203</v>
      </c>
      <c r="J13" s="32">
        <f>GROSS+Flex_Cash-Total_Flex-OPEB</f>
        <v>8262.09</v>
      </c>
      <c r="K13" s="4"/>
      <c r="L13" s="50"/>
      <c r="M13" s="50"/>
      <c r="N13" s="50"/>
      <c r="O13" s="51">
        <v>220300</v>
      </c>
      <c r="P13" s="53">
        <v>0.35</v>
      </c>
      <c r="Q13" s="51">
        <v>49335.5</v>
      </c>
      <c r="R13" s="50"/>
      <c r="S13" s="66" t="s">
        <v>25</v>
      </c>
      <c r="T13" s="66" t="s">
        <v>26</v>
      </c>
      <c r="U13" s="63" t="s">
        <v>27</v>
      </c>
      <c r="V13" s="63" t="s">
        <v>28</v>
      </c>
      <c r="W13" s="64"/>
      <c r="X13" s="64"/>
      <c r="Y13" s="64"/>
      <c r="Z13" s="64"/>
    </row>
    <row r="14" spans="1:26" ht="15.75">
      <c r="A14" s="70" t="s">
        <v>554</v>
      </c>
      <c r="B14" s="45"/>
      <c r="C14" s="15" t="s">
        <v>567</v>
      </c>
      <c r="D14" s="6"/>
      <c r="E14" s="6"/>
      <c r="F14" s="6"/>
      <c r="G14" s="17"/>
      <c r="I14" s="2" t="s">
        <v>36</v>
      </c>
      <c r="J14" s="3">
        <f>(GROSS-Total_A_R_Deductions-EPMC+Flex_Cash-Total_Flex-DCA1-OPEB)</f>
        <v>7597.049999999999</v>
      </c>
      <c r="K14" s="4"/>
      <c r="L14" s="50"/>
      <c r="M14" s="50"/>
      <c r="N14" s="50"/>
      <c r="O14" s="51">
        <v>544250</v>
      </c>
      <c r="P14" s="54">
        <v>0.37</v>
      </c>
      <c r="Q14" s="51">
        <v>162718</v>
      </c>
      <c r="R14" s="50"/>
      <c r="S14" s="67">
        <v>2425</v>
      </c>
      <c r="T14" s="67">
        <v>2425</v>
      </c>
      <c r="U14" s="67">
        <v>2425</v>
      </c>
      <c r="V14" s="67">
        <v>2425</v>
      </c>
      <c r="W14" s="64"/>
      <c r="X14" s="64"/>
      <c r="Y14" s="64"/>
      <c r="Z14" s="64"/>
    </row>
    <row r="15" spans="1:26" ht="15.75">
      <c r="A15" s="8" t="s">
        <v>29</v>
      </c>
      <c r="B15" s="45" t="s">
        <v>507</v>
      </c>
      <c r="C15" s="15" t="s">
        <v>569</v>
      </c>
      <c r="D15" s="6"/>
      <c r="E15" s="10" t="s">
        <v>6</v>
      </c>
      <c r="F15" s="8" t="s">
        <v>6</v>
      </c>
      <c r="G15" s="18" t="s">
        <v>6</v>
      </c>
      <c r="I15" s="2" t="s">
        <v>38</v>
      </c>
      <c r="J15" s="3">
        <f>(GROSS-Total_A_R_Deductions-EPMC+Flex_Cash-Total_Flex-DCA2-OPEB)</f>
        <v>7497.049999999999</v>
      </c>
      <c r="K15" s="4"/>
      <c r="L15" s="50"/>
      <c r="M15" s="50"/>
      <c r="N15" s="50"/>
      <c r="O15" s="51"/>
      <c r="P15" s="51"/>
      <c r="Q15" s="51"/>
      <c r="R15" s="50"/>
      <c r="S15" s="64"/>
      <c r="T15" s="64"/>
      <c r="U15" s="64"/>
      <c r="V15" s="64"/>
      <c r="W15" s="64"/>
      <c r="X15" s="64"/>
      <c r="Y15" s="64"/>
      <c r="Z15" s="64"/>
    </row>
    <row r="16" spans="1:26" ht="15.75">
      <c r="A16" s="8" t="s">
        <v>30</v>
      </c>
      <c r="B16" s="45">
        <v>1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41</v>
      </c>
      <c r="J16" s="3">
        <f>(GROSS-Total_A_R_Deductions-EPMC+Flex_Cash-Total_Flex-DCA3-OPEB)</f>
        <v>7397.049999999999</v>
      </c>
      <c r="K16" s="4"/>
      <c r="L16" s="37"/>
      <c r="M16" s="38"/>
      <c r="N16" s="50"/>
      <c r="O16" s="50"/>
      <c r="P16" s="50"/>
      <c r="Q16" s="50"/>
      <c r="R16" s="50"/>
      <c r="S16" s="63" t="s">
        <v>47</v>
      </c>
      <c r="T16" s="64"/>
      <c r="U16" s="64"/>
      <c r="V16" s="64"/>
      <c r="W16" s="64"/>
      <c r="X16" s="64"/>
      <c r="Y16" s="64"/>
      <c r="Z16" s="64"/>
    </row>
    <row r="17" spans="1:26" ht="15.75">
      <c r="A17" s="8" t="s">
        <v>32</v>
      </c>
      <c r="B17" s="45">
        <v>0</v>
      </c>
      <c r="C17" s="15" t="s">
        <v>23</v>
      </c>
      <c r="D17" s="6"/>
      <c r="E17" s="10" t="s">
        <v>6</v>
      </c>
      <c r="F17" s="8" t="s">
        <v>6</v>
      </c>
      <c r="G17" s="18" t="s">
        <v>6</v>
      </c>
      <c r="I17" s="2" t="s">
        <v>43</v>
      </c>
      <c r="J17" s="3">
        <f>(GROSS-Total_A_R_Deductions-EPMC+Flex_Cash-Total_Flex-DCA4-OPEB)</f>
        <v>7297.049999999999</v>
      </c>
      <c r="K17" s="4"/>
      <c r="L17" s="37"/>
      <c r="M17" s="38"/>
      <c r="N17" s="50"/>
      <c r="O17" s="37" t="s">
        <v>6</v>
      </c>
      <c r="P17" s="37" t="s">
        <v>46</v>
      </c>
      <c r="Q17" s="50"/>
      <c r="R17" s="50"/>
      <c r="S17" s="63" t="s">
        <v>13</v>
      </c>
      <c r="T17" s="63" t="s">
        <v>14</v>
      </c>
      <c r="U17" s="63" t="s">
        <v>15</v>
      </c>
      <c r="V17" s="64"/>
      <c r="W17" s="64"/>
      <c r="X17" s="64"/>
      <c r="Y17" s="64"/>
      <c r="Z17" s="64"/>
    </row>
    <row r="18" spans="1:26" ht="15.75">
      <c r="A18" s="8" t="s">
        <v>199</v>
      </c>
      <c r="B18" s="45" t="s">
        <v>850</v>
      </c>
      <c r="C18" s="15" t="s">
        <v>200</v>
      </c>
      <c r="D18" s="6"/>
      <c r="E18" s="10"/>
      <c r="F18" s="8"/>
      <c r="G18" s="18"/>
      <c r="I18" s="2" t="s">
        <v>45</v>
      </c>
      <c r="J18" s="3">
        <f>(GROSS-Total_A_R_Deductions-EPMC+Flex_Cash-Total_Flex-DCA5-OPEB)</f>
        <v>7097.049999999999</v>
      </c>
      <c r="K18" s="4"/>
      <c r="L18" s="37"/>
      <c r="M18" s="39"/>
      <c r="N18" s="50"/>
      <c r="O18" s="37" t="s">
        <v>13</v>
      </c>
      <c r="P18" s="37" t="s">
        <v>14</v>
      </c>
      <c r="Q18" s="37" t="s">
        <v>15</v>
      </c>
      <c r="R18" s="50"/>
      <c r="S18" s="67">
        <v>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35</v>
      </c>
      <c r="B19" s="47">
        <v>1673</v>
      </c>
      <c r="C19" s="15" t="s">
        <v>197</v>
      </c>
      <c r="D19" s="6"/>
      <c r="E19" s="6"/>
      <c r="F19" s="6"/>
      <c r="G19" s="17"/>
      <c r="I19" s="2" t="s">
        <v>49</v>
      </c>
      <c r="J19" s="3">
        <f>(GROSS-Total_A_R_Deductions-EPMC+Flex_Cash-Total_Flex-DCA6-OPEB)</f>
        <v>6972.049999999999</v>
      </c>
      <c r="K19" s="4"/>
      <c r="L19" s="37"/>
      <c r="M19" s="39"/>
      <c r="N19" s="50"/>
      <c r="O19" s="51">
        <v>-999999</v>
      </c>
      <c r="P19" s="51">
        <v>0</v>
      </c>
      <c r="Q19" s="51">
        <v>0</v>
      </c>
      <c r="R19" s="50"/>
      <c r="S19" s="67">
        <v>8450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37</v>
      </c>
      <c r="B20" s="47">
        <v>2025.09</v>
      </c>
      <c r="C20" s="15" t="s">
        <v>194</v>
      </c>
      <c r="D20" s="6"/>
      <c r="E20" s="6"/>
      <c r="F20" s="6"/>
      <c r="G20" s="17"/>
      <c r="K20" s="4"/>
      <c r="L20" s="37"/>
      <c r="M20" s="39"/>
      <c r="N20" s="50"/>
      <c r="O20" s="51">
        <v>13000</v>
      </c>
      <c r="P20" s="51">
        <v>0.1</v>
      </c>
      <c r="Q20" s="51">
        <v>0</v>
      </c>
      <c r="R20" s="50"/>
      <c r="S20" s="67">
        <v>11650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5.75">
      <c r="A21" s="8" t="s">
        <v>39</v>
      </c>
      <c r="B21" s="47">
        <v>0</v>
      </c>
      <c r="C21" s="15" t="s">
        <v>40</v>
      </c>
      <c r="D21" s="6"/>
      <c r="E21" s="6"/>
      <c r="F21" s="6"/>
      <c r="G21" s="17"/>
      <c r="I21" s="2" t="s">
        <v>52</v>
      </c>
      <c r="K21" s="4"/>
      <c r="L21" s="37"/>
      <c r="M21" s="39"/>
      <c r="N21" s="50"/>
      <c r="O21" s="51">
        <v>33550</v>
      </c>
      <c r="P21" s="51">
        <v>0.12</v>
      </c>
      <c r="Q21" s="51">
        <v>2055</v>
      </c>
      <c r="R21" s="50"/>
      <c r="S21" s="67">
        <v>13850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8" t="s">
        <v>42</v>
      </c>
      <c r="B22" s="47">
        <v>0</v>
      </c>
      <c r="C22" s="15" t="s">
        <v>194</v>
      </c>
      <c r="D22" s="6"/>
      <c r="E22" s="6"/>
      <c r="F22" s="6"/>
      <c r="G22" s="17"/>
      <c r="I22" s="2" t="s">
        <v>54</v>
      </c>
      <c r="J22" s="3">
        <f>IF(B4="S",24,IF(B4="B",26,12))</f>
        <v>12</v>
      </c>
      <c r="K22" s="58" t="str">
        <f>IF(AND(FedHW="Y",FEDM="M"),"A",IF(AND(FedHW="Y",FEDM="S"),"I",IF(AND(FedHW="Y",FEDM="H"),"E",FEDM)))</f>
        <v>M</v>
      </c>
      <c r="L22" s="37"/>
      <c r="M22" s="39"/>
      <c r="N22" s="50"/>
      <c r="O22" s="51">
        <v>96550</v>
      </c>
      <c r="P22" s="51">
        <v>0.22</v>
      </c>
      <c r="Q22" s="51">
        <v>9615</v>
      </c>
      <c r="R22" s="50"/>
      <c r="S22" s="67">
        <v>21300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6.5" thickBot="1">
      <c r="A23" s="12" t="s">
        <v>44</v>
      </c>
      <c r="B23" s="48">
        <v>0</v>
      </c>
      <c r="C23" s="42">
        <v>100</v>
      </c>
      <c r="D23" s="25">
        <v>200</v>
      </c>
      <c r="E23" s="25">
        <v>300</v>
      </c>
      <c r="F23" s="25">
        <v>500</v>
      </c>
      <c r="G23" s="25">
        <v>625</v>
      </c>
      <c r="I23" s="2" t="s">
        <v>56</v>
      </c>
      <c r="J23" s="61">
        <f>IF(AND(FedHW="N",FEDM="M"),(FEDEXMPT*3),IF(AND(FedHW="N",FEDM&lt;&gt;"M"),(FEDEXMPT*2),IF(FedHW="",(FEDEXMPT*FEDE),"0")))</f>
        <v>4300</v>
      </c>
      <c r="K23" s="61"/>
      <c r="L23" s="37"/>
      <c r="M23" s="39"/>
      <c r="N23" s="50"/>
      <c r="O23" s="51">
        <v>191150</v>
      </c>
      <c r="P23" s="51">
        <v>0.24</v>
      </c>
      <c r="Q23" s="51">
        <v>30427</v>
      </c>
      <c r="R23" s="50"/>
      <c r="S23" s="67">
        <v>80150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11" t="s">
        <v>48</v>
      </c>
      <c r="B24" s="20">
        <f>(GROSS-EPMC-OASDI-MED+Flex_Cash-Total_Flex-VOLDEDS-DCA1-FTAX1-STAX1-B21-SDI1-OPEB)</f>
        <v>5803.66701</v>
      </c>
      <c r="C24" s="21">
        <f>IF(DCA2&gt;0,(GROSS-EPMC-OASDI-MED+Flex_Cash-Total_Flex-VOLDEDS-DCA2-FTAX2-STAX2-B21-SDI1-OPEB),"")</f>
        <v>5720.61701</v>
      </c>
      <c r="D24" s="21">
        <f>IF(DCA3&gt;0,(GROSS-EPMC-OASDI-MED+Flex_Cash-Total_Flex-VOLDEDS-DCA3-FTAX3-STAX3-B21-SDI1-OPEB),"")</f>
        <v>5637.567010000001</v>
      </c>
      <c r="E24" s="21">
        <f>IF(DCA4&gt;0,(GROSS-EPMC-OASDI-MED+Flex_Cash-Total_Flex-VOLDEDS-DCA4-FTAX4-STAX4-B21-SDI1-OPEB),"")</f>
        <v>5554.5170100000005</v>
      </c>
      <c r="F24" s="21">
        <f>IF(DCA5&gt;0,(GROSS-EPMC-OASDI-MED+Flex_Cash-Total_Flex-VOLDEDS-DCA5-FTAX5-STAX5-B21-SDI1-OPEB),"")</f>
        <v>5388.41701</v>
      </c>
      <c r="G24" s="21">
        <f>IF(DCA6&gt;0,(GROSS-EPMC-OASDI-MED+Flex_Cash-Total_Flex-VOLDEDS-DCA6-FTAX6-STAX6-B21-SDI1-OPEB),"")</f>
        <v>5284.607010000001</v>
      </c>
      <c r="I24" s="2" t="s">
        <v>58</v>
      </c>
      <c r="K24" s="4"/>
      <c r="L24" s="8"/>
      <c r="M24" s="39"/>
      <c r="N24" s="50"/>
      <c r="O24" s="51">
        <v>353100</v>
      </c>
      <c r="P24" s="51">
        <v>0.32</v>
      </c>
      <c r="Q24" s="51">
        <v>69295</v>
      </c>
      <c r="R24" s="50"/>
      <c r="S24" s="67">
        <v>96200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50</v>
      </c>
      <c r="B25" s="22"/>
      <c r="C25" s="23">
        <f>IF(DCA2&gt;0,($B$24-C24),"")</f>
        <v>83.05000000000018</v>
      </c>
      <c r="D25" s="23">
        <f>IF(DCA3&gt;0,($B$24-D24),"")</f>
        <v>166.09999999999945</v>
      </c>
      <c r="E25" s="23">
        <f>IF(DCA4&gt;0,($B$24-E24),"")</f>
        <v>249.14999999999964</v>
      </c>
      <c r="F25" s="23">
        <f>IF(DCA5&gt;0,($B$24-F24),"")</f>
        <v>415.25</v>
      </c>
      <c r="G25" s="23">
        <f>IF(DCA6&gt;0,($B$24-G24),"")</f>
        <v>519.0599999999995</v>
      </c>
      <c r="I25" s="2" t="s">
        <v>60</v>
      </c>
      <c r="J25" s="3">
        <f>(PAYFACT*TG1)</f>
        <v>91164.59999999999</v>
      </c>
      <c r="K25" s="4"/>
      <c r="L25" s="8"/>
      <c r="M25" s="39"/>
      <c r="N25" s="50"/>
      <c r="O25" s="51">
        <v>444900</v>
      </c>
      <c r="P25" s="53">
        <v>0.35</v>
      </c>
      <c r="Q25" s="51">
        <v>98671</v>
      </c>
      <c r="R25" s="50"/>
      <c r="S25" s="67">
        <v>106950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51</v>
      </c>
      <c r="B26" s="23">
        <f>(FTAX1)</f>
        <v>704.4</v>
      </c>
      <c r="C26" s="23">
        <f>IF(DCA2&gt;0,FTAX2,"")</f>
        <v>692.4</v>
      </c>
      <c r="D26" s="23">
        <f>IF(DCA3&gt;0,FTAX3,"")</f>
        <v>680.4</v>
      </c>
      <c r="E26" s="23">
        <f>IF(DCA4&gt;0,FTAX4,"")</f>
        <v>668.4</v>
      </c>
      <c r="F26" s="23">
        <f>IF(DCA5&gt;0,FTAX5,"")</f>
        <v>644.4</v>
      </c>
      <c r="G26" s="23">
        <f>IF(DCA6&gt;0,FTAX6,"")</f>
        <v>629.4</v>
      </c>
      <c r="I26" s="2" t="s">
        <v>62</v>
      </c>
      <c r="J26" s="3">
        <f>(PAYFACT*TG2)</f>
        <v>89964.59999999999</v>
      </c>
      <c r="K26" s="4"/>
      <c r="L26" s="8"/>
      <c r="M26" s="39"/>
      <c r="N26" s="50"/>
      <c r="O26" s="51">
        <v>660850</v>
      </c>
      <c r="P26" s="54">
        <v>0.37</v>
      </c>
      <c r="Q26" s="51">
        <v>174253.5</v>
      </c>
      <c r="R26" s="50"/>
      <c r="S26" s="67">
        <v>160500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53</v>
      </c>
      <c r="B27" s="23">
        <f>(STAX1)</f>
        <v>366.05</v>
      </c>
      <c r="C27" s="23">
        <f>IF(DCA2&gt;0,STAX2,"")</f>
        <v>361.1</v>
      </c>
      <c r="D27" s="23">
        <f>IF(DCA3&gt;0,STAX3,"")</f>
        <v>356.15</v>
      </c>
      <c r="E27" s="23">
        <f>IF(DCA4&gt;0,STAX4,"")</f>
        <v>351.2</v>
      </c>
      <c r="F27" s="23">
        <f>IF(DCA5&gt;0,STAX5,"")</f>
        <v>341.3</v>
      </c>
      <c r="G27" s="23">
        <f>IF(DCA6&gt;0,STAX6,"")</f>
        <v>335.11</v>
      </c>
      <c r="I27" s="2" t="s">
        <v>64</v>
      </c>
      <c r="J27" s="3">
        <f>(PAYFACT*TG3)</f>
        <v>88764.59999999999</v>
      </c>
      <c r="K27" s="4"/>
      <c r="L27" s="8"/>
      <c r="M27" s="39"/>
      <c r="N27" s="50"/>
      <c r="O27" s="51"/>
      <c r="P27" s="51"/>
      <c r="Q27" s="51"/>
      <c r="R27" s="50"/>
      <c r="S27" s="67">
        <v>214000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55</v>
      </c>
      <c r="B28" s="23">
        <f aca="true" t="shared" si="0" ref="B28:G28">EPMC</f>
        <v>665.04</v>
      </c>
      <c r="C28" s="23">
        <f t="shared" si="0"/>
        <v>665.04</v>
      </c>
      <c r="D28" s="23">
        <f t="shared" si="0"/>
        <v>665.04</v>
      </c>
      <c r="E28" s="23">
        <f t="shared" si="0"/>
        <v>665.04</v>
      </c>
      <c r="F28" s="23">
        <f t="shared" si="0"/>
        <v>665.04</v>
      </c>
      <c r="G28" s="23">
        <f t="shared" si="0"/>
        <v>665.04</v>
      </c>
      <c r="I28" s="2" t="s">
        <v>66</v>
      </c>
      <c r="J28" s="3">
        <f>(PAYFACT*TG4)</f>
        <v>87564.59999999999</v>
      </c>
      <c r="K28" s="4"/>
      <c r="L28" s="37"/>
      <c r="M28" s="39"/>
      <c r="N28" s="50"/>
      <c r="O28" s="50"/>
      <c r="P28" s="50" t="s">
        <v>545</v>
      </c>
      <c r="Q28" s="50"/>
      <c r="R28" s="50"/>
      <c r="S28" s="67">
        <v>267500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8" t="s">
        <v>848</v>
      </c>
      <c r="B29" s="23">
        <f aca="true" t="shared" si="1" ref="B29:G29">OPEB</f>
        <v>211.82</v>
      </c>
      <c r="C29" s="23">
        <f t="shared" si="1"/>
        <v>211.82</v>
      </c>
      <c r="D29" s="23">
        <f t="shared" si="1"/>
        <v>211.82</v>
      </c>
      <c r="E29" s="23">
        <f t="shared" si="1"/>
        <v>211.82</v>
      </c>
      <c r="F29" s="23">
        <f t="shared" si="1"/>
        <v>211.82</v>
      </c>
      <c r="G29" s="23">
        <f t="shared" si="1"/>
        <v>211.82</v>
      </c>
      <c r="I29" s="2"/>
      <c r="J29" s="3"/>
      <c r="K29" s="4"/>
      <c r="L29" s="37"/>
      <c r="M29" s="39"/>
      <c r="N29" s="50"/>
      <c r="O29" s="50"/>
      <c r="P29" s="50"/>
      <c r="Q29" s="50"/>
      <c r="R29" s="50"/>
      <c r="S29" s="67"/>
      <c r="T29" s="68"/>
      <c r="U29" s="65"/>
      <c r="V29" s="64"/>
      <c r="W29" s="64"/>
      <c r="X29" s="64"/>
      <c r="Y29" s="64"/>
      <c r="Z29" s="64"/>
    </row>
    <row r="30" spans="1:26" ht="15.75">
      <c r="A30" s="8" t="s">
        <v>57</v>
      </c>
      <c r="B30" s="23">
        <f aca="true" t="shared" si="2" ref="B30:G30">OASDI</f>
        <v>512.25</v>
      </c>
      <c r="C30" s="23">
        <f t="shared" si="2"/>
        <v>512.25</v>
      </c>
      <c r="D30" s="23">
        <f t="shared" si="2"/>
        <v>512.25</v>
      </c>
      <c r="E30" s="23">
        <f t="shared" si="2"/>
        <v>512.25</v>
      </c>
      <c r="F30" s="23">
        <f t="shared" si="2"/>
        <v>512.25</v>
      </c>
      <c r="G30" s="23">
        <f t="shared" si="2"/>
        <v>512.25</v>
      </c>
      <c r="I30" s="2" t="s">
        <v>68</v>
      </c>
      <c r="J30" s="3">
        <f>(PAYFACT*TG5)</f>
        <v>85164.59999999999</v>
      </c>
      <c r="K30" s="4"/>
      <c r="O30" s="37" t="s">
        <v>13</v>
      </c>
      <c r="P30" s="37" t="s">
        <v>14</v>
      </c>
      <c r="Q30" s="37" t="s">
        <v>15</v>
      </c>
      <c r="S30" s="67">
        <v>1070350</v>
      </c>
      <c r="T30" s="68">
        <v>0.0495</v>
      </c>
      <c r="U30" s="65">
        <v>0</v>
      </c>
      <c r="V30" s="64"/>
      <c r="W30" s="64"/>
      <c r="X30" s="64"/>
      <c r="Y30" s="64"/>
      <c r="Z30" s="64"/>
    </row>
    <row r="31" spans="1:26" ht="15.75">
      <c r="A31" s="15" t="s">
        <v>59</v>
      </c>
      <c r="B31" s="23">
        <f aca="true" t="shared" si="3" ref="B31:G31">MED</f>
        <v>119.8</v>
      </c>
      <c r="C31" s="23">
        <f t="shared" si="3"/>
        <v>119.8</v>
      </c>
      <c r="D31" s="23">
        <f t="shared" si="3"/>
        <v>119.8</v>
      </c>
      <c r="E31" s="23">
        <f t="shared" si="3"/>
        <v>119.8</v>
      </c>
      <c r="F31" s="23">
        <f t="shared" si="3"/>
        <v>119.8</v>
      </c>
      <c r="G31" s="23">
        <f t="shared" si="3"/>
        <v>119.8</v>
      </c>
      <c r="I31" s="2" t="s">
        <v>69</v>
      </c>
      <c r="J31" s="3">
        <f>(PAYFACT*TG6)</f>
        <v>83664.59999999999</v>
      </c>
      <c r="K31" s="4"/>
      <c r="O31" s="51">
        <v>-999999</v>
      </c>
      <c r="P31" s="51">
        <v>0</v>
      </c>
      <c r="Q31" s="51">
        <v>0</v>
      </c>
      <c r="S31" s="63" t="s">
        <v>72</v>
      </c>
      <c r="T31" s="64"/>
      <c r="U31" s="64"/>
      <c r="V31" s="64"/>
      <c r="W31" s="64"/>
      <c r="X31" s="64"/>
      <c r="Y31" s="64"/>
      <c r="Z31" s="64"/>
    </row>
    <row r="32" spans="1:26" ht="15.75">
      <c r="A32" s="8" t="s">
        <v>201</v>
      </c>
      <c r="B32" s="23">
        <f aca="true" t="shared" si="4" ref="B32:G32">SDI1</f>
        <v>90.88298999999999</v>
      </c>
      <c r="C32" s="23">
        <f t="shared" si="4"/>
        <v>90.88298999999999</v>
      </c>
      <c r="D32" s="23">
        <f t="shared" si="4"/>
        <v>90.88298999999999</v>
      </c>
      <c r="E32" s="23">
        <f t="shared" si="4"/>
        <v>90.88298999999999</v>
      </c>
      <c r="F32" s="23">
        <f t="shared" si="4"/>
        <v>90.88298999999999</v>
      </c>
      <c r="G32" s="23">
        <f t="shared" si="4"/>
        <v>90.88298999999999</v>
      </c>
      <c r="K32" s="4"/>
      <c r="O32" s="51">
        <v>10800</v>
      </c>
      <c r="P32" s="51">
        <v>0.1</v>
      </c>
      <c r="Q32" s="51">
        <v>0</v>
      </c>
      <c r="S32" s="63" t="s">
        <v>13</v>
      </c>
      <c r="T32" s="63" t="s">
        <v>14</v>
      </c>
      <c r="U32" s="63" t="s">
        <v>15</v>
      </c>
      <c r="V32" s="64"/>
      <c r="W32" s="64"/>
      <c r="X32" s="64"/>
      <c r="Y32" s="64"/>
      <c r="Z32" s="64"/>
    </row>
    <row r="33" spans="1:26" ht="15.75">
      <c r="A33" s="8" t="s">
        <v>61</v>
      </c>
      <c r="B33" s="23">
        <f>J14</f>
        <v>7597.049999999999</v>
      </c>
      <c r="C33" s="23">
        <f>J15</f>
        <v>7497.049999999999</v>
      </c>
      <c r="D33" s="23">
        <f>J16</f>
        <v>7397.049999999999</v>
      </c>
      <c r="E33" s="23">
        <f>J17</f>
        <v>7297.049999999999</v>
      </c>
      <c r="F33" s="23">
        <f>J18</f>
        <v>7097.049999999999</v>
      </c>
      <c r="G33" s="23">
        <f>J19</f>
        <v>6972.049999999999</v>
      </c>
      <c r="I33" s="2" t="s">
        <v>71</v>
      </c>
      <c r="K33" s="3"/>
      <c r="O33" s="51">
        <v>25450</v>
      </c>
      <c r="P33" s="51">
        <v>0.12</v>
      </c>
      <c r="Q33" s="51">
        <v>1465</v>
      </c>
      <c r="S33" s="67">
        <v>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5.75">
      <c r="A34" s="15" t="s">
        <v>63</v>
      </c>
      <c r="B34" s="23">
        <f>J14</f>
        <v>7597.049999999999</v>
      </c>
      <c r="C34" s="23">
        <f>J15</f>
        <v>7497.049999999999</v>
      </c>
      <c r="D34" s="23">
        <f>J16</f>
        <v>7397.049999999999</v>
      </c>
      <c r="E34" s="23">
        <f>J17</f>
        <v>7297.049999999999</v>
      </c>
      <c r="F34" s="23">
        <f>J18</f>
        <v>7097.049999999999</v>
      </c>
      <c r="G34" s="23">
        <f>J19</f>
        <v>6972.049999999999</v>
      </c>
      <c r="I34" s="2" t="s">
        <v>73</v>
      </c>
      <c r="J34" s="3">
        <f>IF(FedHW&lt;&gt;"",(FAN1-FEDEXM-Fed_Deds+Fed_Oth_Inc),(FAN1-FEDEXM))</f>
        <v>86864.59999999999</v>
      </c>
      <c r="K34" s="3"/>
      <c r="O34" s="51">
        <v>66700</v>
      </c>
      <c r="P34" s="51">
        <v>0.22</v>
      </c>
      <c r="Q34" s="51">
        <v>6415</v>
      </c>
      <c r="S34" s="67">
        <v>8450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1:26" ht="15.75">
      <c r="A35" s="8" t="s">
        <v>65</v>
      </c>
      <c r="B35" s="23">
        <f aca="true" t="shared" si="5" ref="B35:G35">$J$10</f>
        <v>8262.09</v>
      </c>
      <c r="C35" s="23">
        <f t="shared" si="5"/>
        <v>8262.09</v>
      </c>
      <c r="D35" s="23">
        <f t="shared" si="5"/>
        <v>8262.09</v>
      </c>
      <c r="E35" s="23">
        <f t="shared" si="5"/>
        <v>8262.09</v>
      </c>
      <c r="F35" s="23">
        <f t="shared" si="5"/>
        <v>8262.09</v>
      </c>
      <c r="G35" s="23">
        <f t="shared" si="5"/>
        <v>8262.09</v>
      </c>
      <c r="I35" s="2" t="s">
        <v>74</v>
      </c>
      <c r="J35" s="3">
        <f>IF(FedHW&lt;&gt;"",(J26-FEDEXM-Fed_Deds+Fed_Oth_Inc),(J26-FEDEXM))</f>
        <v>85664.59999999999</v>
      </c>
      <c r="K35" s="3"/>
      <c r="O35" s="51">
        <v>99850</v>
      </c>
      <c r="P35" s="51">
        <v>0.24</v>
      </c>
      <c r="Q35" s="51">
        <v>13708</v>
      </c>
      <c r="S35" s="67">
        <v>11650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1:26" ht="16.5" thickBot="1">
      <c r="A36" s="12" t="s">
        <v>67</v>
      </c>
      <c r="B36" s="24">
        <f aca="true" t="shared" si="6" ref="B36:G36">$J$11</f>
        <v>8262.09</v>
      </c>
      <c r="C36" s="24">
        <f t="shared" si="6"/>
        <v>8262.09</v>
      </c>
      <c r="D36" s="24">
        <f t="shared" si="6"/>
        <v>8262.09</v>
      </c>
      <c r="E36" s="24">
        <f t="shared" si="6"/>
        <v>8262.09</v>
      </c>
      <c r="F36" s="24">
        <f t="shared" si="6"/>
        <v>8262.09</v>
      </c>
      <c r="G36" s="24">
        <f t="shared" si="6"/>
        <v>8262.09</v>
      </c>
      <c r="I36" s="2" t="s">
        <v>75</v>
      </c>
      <c r="J36" s="3">
        <f>IF(FedHW&lt;&gt;"",(J27-FEDEXM-Fed_Deds+Fed_Oth_Inc),(J27-FEDEXM))</f>
        <v>84464.59999999999</v>
      </c>
      <c r="K36" s="3"/>
      <c r="O36" s="51">
        <v>180850</v>
      </c>
      <c r="P36" s="53">
        <v>0.32</v>
      </c>
      <c r="Q36" s="51">
        <v>33148</v>
      </c>
      <c r="S36" s="67">
        <v>13850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76</v>
      </c>
      <c r="J37" s="3">
        <f>IF(FedHW&lt;&gt;"",(J28-FEDEXM-Fed_Deds+Fed_Oth_Inc),(J28-FEDEXM))</f>
        <v>83264.59999999999</v>
      </c>
      <c r="K37" s="3"/>
      <c r="O37" s="51">
        <v>226750</v>
      </c>
      <c r="P37" s="53">
        <v>0.35</v>
      </c>
      <c r="Q37" s="51">
        <v>47836</v>
      </c>
      <c r="S37" s="67">
        <v>21300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3:26" ht="15.75">
      <c r="C38" s="30" t="s">
        <v>70</v>
      </c>
      <c r="I38" s="2" t="s">
        <v>77</v>
      </c>
      <c r="J38" s="3">
        <f>IF(FedHW&lt;&gt;"",(J30-FEDEXM-Fed_Deds+Fed_Oth_Inc),(J30-FEDEXM))</f>
        <v>80864.59999999999</v>
      </c>
      <c r="K38" s="3"/>
      <c r="O38" s="51">
        <v>550700</v>
      </c>
      <c r="P38" s="54">
        <v>0.37</v>
      </c>
      <c r="Q38" s="51">
        <v>161218.5</v>
      </c>
      <c r="S38" s="67">
        <v>80150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9:26" ht="15.75">
      <c r="I39" s="2" t="s">
        <v>78</v>
      </c>
      <c r="J39" s="3">
        <f>IF(FedHW&lt;&gt;"",(J31-FEDEXM-Fed_Deds+Fed_Oth_Inc),(J31-FEDEXM))</f>
        <v>79364.59999999999</v>
      </c>
      <c r="K39" s="3"/>
      <c r="S39" s="67">
        <v>96200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509</v>
      </c>
      <c r="K40" s="3"/>
      <c r="P40" s="50" t="s">
        <v>555</v>
      </c>
      <c r="Q40" s="50"/>
      <c r="S40" s="67">
        <v>106950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510</v>
      </c>
      <c r="I41" s="2" t="s">
        <v>79</v>
      </c>
      <c r="K41" s="3"/>
      <c r="O41" s="37" t="s">
        <v>13</v>
      </c>
      <c r="P41" s="37" t="s">
        <v>14</v>
      </c>
      <c r="Q41" s="37" t="s">
        <v>15</v>
      </c>
      <c r="S41" s="67">
        <v>160500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511</v>
      </c>
      <c r="C42" s="1"/>
      <c r="I42" s="2" t="s">
        <v>81</v>
      </c>
      <c r="J42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33550</v>
      </c>
      <c r="K42" s="3"/>
      <c r="O42" s="51">
        <v>-999999</v>
      </c>
      <c r="P42" s="51">
        <v>0</v>
      </c>
      <c r="Q42" s="51">
        <v>0</v>
      </c>
      <c r="S42" s="67">
        <v>214000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t="s">
        <v>512</v>
      </c>
      <c r="C43" s="1"/>
      <c r="I43" s="2" t="s">
        <v>82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33550</v>
      </c>
      <c r="O43" s="51">
        <v>6475</v>
      </c>
      <c r="P43" s="51">
        <v>0.1</v>
      </c>
      <c r="Q43" s="51">
        <v>0</v>
      </c>
      <c r="S43" s="67">
        <v>321050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t="s">
        <v>513</v>
      </c>
      <c r="I44" s="2" t="s">
        <v>83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33550</v>
      </c>
      <c r="O44" s="51">
        <v>11613</v>
      </c>
      <c r="P44" s="51">
        <v>0.12</v>
      </c>
      <c r="Q44" s="51">
        <v>513.75</v>
      </c>
      <c r="S44" s="67">
        <v>374600</v>
      </c>
      <c r="T44" s="68">
        <v>0.0495</v>
      </c>
      <c r="U44" s="65">
        <v>0</v>
      </c>
      <c r="V44" s="64"/>
      <c r="W44" s="64"/>
      <c r="X44" s="64"/>
      <c r="Y44" s="64"/>
      <c r="Z44" s="64"/>
    </row>
    <row r="45" spans="1:26" ht="15.75">
      <c r="A45" s="2" t="s">
        <v>514</v>
      </c>
      <c r="I45" s="2" t="s">
        <v>85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33550</v>
      </c>
      <c r="K45" s="3"/>
      <c r="O45" s="51">
        <v>27363</v>
      </c>
      <c r="P45" s="51">
        <v>0.22</v>
      </c>
      <c r="Q45" s="51">
        <v>2403.75</v>
      </c>
      <c r="S45" s="67">
        <v>1070350</v>
      </c>
      <c r="T45" s="68">
        <v>0.0495</v>
      </c>
      <c r="U45" s="65">
        <v>0</v>
      </c>
      <c r="V45" s="64"/>
      <c r="W45" s="64"/>
      <c r="X45" s="64"/>
      <c r="Y45" s="64"/>
      <c r="Z45" s="64"/>
    </row>
    <row r="46" spans="1:26" ht="15.75">
      <c r="A46" s="2"/>
      <c r="I46" s="2" t="s">
        <v>86</v>
      </c>
      <c r="J46" s="3">
        <f>IF(FEDM_HW="M",VLOOKUP(J38,FTXTBLM,1),IF(FEDM_HW="A",VLOOKUP(J38,FTXTBLMHW,1),IF(FEDM_HW="S",VLOOKUP(J38,FTXTBLSH,1),IF(FEDM_HW="I",VLOOKUP(J38,FTXTBLSHW,1),IF(FEDM_HW="H",VLOOKUP(J38,FTXBLH,1),IF(FEDM_HW="E",VLOOKUP(J38,FTXTBLHHW,1)))))))</f>
        <v>33550</v>
      </c>
      <c r="K46" s="3"/>
      <c r="O46" s="51">
        <v>51013</v>
      </c>
      <c r="P46" s="51">
        <v>0.24</v>
      </c>
      <c r="Q46" s="51">
        <v>7606.75</v>
      </c>
      <c r="S46" s="63"/>
      <c r="T46" s="63"/>
      <c r="U46" s="63"/>
      <c r="V46" s="64"/>
      <c r="W46" s="64"/>
      <c r="X46" s="64"/>
      <c r="Y46" s="64"/>
      <c r="Z46" s="64"/>
    </row>
    <row r="47" spans="1:26" ht="15.75">
      <c r="A47" s="2" t="s">
        <v>6</v>
      </c>
      <c r="C47" t="s">
        <v>6</v>
      </c>
      <c r="I47" s="2" t="s">
        <v>87</v>
      </c>
      <c r="J47" s="3">
        <f>IF(FEDM_HW="M",VLOOKUP(J39,FTXTBLM,1),IF(FEDM_HW="A",VLOOKUP(J39,FTXTBLMHW,1),IF(FEDM_HW="S",VLOOKUP(J39,FTXTBLSH,1),IF(FEDM_HW="I",VLOOKUP(J39,FTXTBLSHW,1),IF(FEDM_HW="H",VLOOKUP(J39,FTXBLH,1),IF(FEDM_HW="E",VLOOKUP(J39,FTXTBLHHW,1)))))))</f>
        <v>33550</v>
      </c>
      <c r="O47" s="51">
        <v>91500</v>
      </c>
      <c r="P47" s="53">
        <v>0.32</v>
      </c>
      <c r="Q47" s="51">
        <v>17323.75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7" t="s">
        <v>80</v>
      </c>
      <c r="C48" t="s">
        <v>6</v>
      </c>
      <c r="K48" s="3"/>
      <c r="O48" s="51">
        <v>114450</v>
      </c>
      <c r="P48" s="53">
        <v>0.35</v>
      </c>
      <c r="Q48" s="51">
        <v>24667.75</v>
      </c>
      <c r="S48" s="67"/>
      <c r="T48" s="68"/>
      <c r="U48" s="65"/>
      <c r="V48" s="64"/>
      <c r="W48" s="64"/>
      <c r="X48" s="64"/>
      <c r="Y48" s="64"/>
      <c r="Z48" s="64"/>
    </row>
    <row r="49" spans="9:26" ht="15.75">
      <c r="I49" s="2" t="s">
        <v>88</v>
      </c>
      <c r="K49" s="3"/>
      <c r="O49" s="51">
        <v>276425</v>
      </c>
      <c r="P49" s="54">
        <v>0.37</v>
      </c>
      <c r="Q49" s="51">
        <v>81359</v>
      </c>
      <c r="S49" s="67"/>
      <c r="T49" s="68"/>
      <c r="U49" s="65"/>
      <c r="V49" s="64"/>
      <c r="W49" s="64"/>
      <c r="X49" s="64"/>
      <c r="Y49" s="64"/>
      <c r="Z49" s="64"/>
    </row>
    <row r="50" spans="1:26" ht="15.75">
      <c r="A50" s="28" t="s">
        <v>188</v>
      </c>
      <c r="I50" s="2" t="s">
        <v>89</v>
      </c>
      <c r="J50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3"/>
      <c r="O50" s="51"/>
      <c r="P50" s="51"/>
      <c r="Q50" s="51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" t="s">
        <v>84</v>
      </c>
      <c r="C51" t="s">
        <v>6</v>
      </c>
      <c r="I51" s="2" t="s">
        <v>90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50"/>
      <c r="P51" s="50"/>
      <c r="Q51" s="50"/>
      <c r="S51" s="67"/>
      <c r="T51" s="68"/>
      <c r="U51" s="65"/>
      <c r="V51" s="64"/>
      <c r="W51" s="64"/>
      <c r="X51" s="64"/>
      <c r="Y51" s="64"/>
      <c r="Z51" s="64"/>
    </row>
    <row r="52" spans="1:26" ht="15.75" customHeight="1">
      <c r="A52" s="2"/>
      <c r="I52" s="2" t="s">
        <v>91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3"/>
      <c r="O52" s="37" t="s">
        <v>6</v>
      </c>
      <c r="P52" s="37" t="s">
        <v>46</v>
      </c>
      <c r="Q52" s="50"/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9" t="s">
        <v>497</v>
      </c>
      <c r="I53" s="2" t="s">
        <v>92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3"/>
      <c r="O53" s="37" t="s">
        <v>13</v>
      </c>
      <c r="P53" s="37" t="s">
        <v>14</v>
      </c>
      <c r="Q53" s="37" t="s">
        <v>15</v>
      </c>
      <c r="S53" s="67"/>
      <c r="T53" s="68"/>
      <c r="U53" s="65"/>
      <c r="V53" s="64"/>
      <c r="W53" s="64"/>
      <c r="X53" s="64"/>
      <c r="Y53" s="64"/>
      <c r="Z53" s="64"/>
    </row>
    <row r="54" spans="1:26" ht="15.75">
      <c r="A54" s="2"/>
      <c r="I54" s="2" t="s">
        <v>93</v>
      </c>
      <c r="J54" s="3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O54" s="51">
        <v>-999999</v>
      </c>
      <c r="P54" s="51">
        <v>0</v>
      </c>
      <c r="Q54" s="51">
        <v>0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29" t="s">
        <v>849</v>
      </c>
      <c r="I55" s="2" t="s">
        <v>94</v>
      </c>
      <c r="J55" s="3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O55" s="51">
        <v>12950</v>
      </c>
      <c r="P55" s="51">
        <v>0.1</v>
      </c>
      <c r="Q55" s="51">
        <v>0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2"/>
      <c r="K56" s="3"/>
      <c r="O56" s="51">
        <v>23225</v>
      </c>
      <c r="P56" s="51">
        <v>0.12</v>
      </c>
      <c r="Q56" s="51">
        <v>1027.5</v>
      </c>
      <c r="S56" s="67"/>
      <c r="T56" s="68"/>
      <c r="U56" s="65"/>
      <c r="V56" s="64"/>
      <c r="W56" s="64"/>
      <c r="X56" s="64"/>
      <c r="Y56" s="64"/>
      <c r="Z56" s="64"/>
    </row>
    <row r="57" spans="1:26" ht="15.75">
      <c r="A57" s="27" t="s">
        <v>524</v>
      </c>
      <c r="I57" s="2" t="s">
        <v>95</v>
      </c>
      <c r="K57" s="3"/>
      <c r="O57" s="51">
        <v>54725</v>
      </c>
      <c r="P57" s="51">
        <v>0.22</v>
      </c>
      <c r="Q57" s="51">
        <v>4807.5</v>
      </c>
      <c r="S57" s="67"/>
      <c r="T57" s="68"/>
      <c r="U57" s="65"/>
      <c r="V57" s="64"/>
      <c r="W57" s="64"/>
      <c r="X57" s="64"/>
      <c r="Y57" s="64"/>
      <c r="Z57" s="64"/>
    </row>
    <row r="58" spans="1:26" ht="18.75">
      <c r="A58" s="41" t="s">
        <v>520</v>
      </c>
      <c r="I58" s="2" t="s">
        <v>96</v>
      </c>
      <c r="J58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2055</v>
      </c>
      <c r="K58" s="3"/>
      <c r="O58" s="51">
        <v>102025</v>
      </c>
      <c r="P58" s="51">
        <v>0.24</v>
      </c>
      <c r="Q58" s="51">
        <v>15213.5</v>
      </c>
      <c r="S58" s="64"/>
      <c r="T58" s="64"/>
      <c r="U58" s="64"/>
      <c r="V58" s="64"/>
      <c r="W58" s="64"/>
      <c r="X58" s="64"/>
      <c r="Y58" s="64"/>
      <c r="Z58" s="64"/>
    </row>
    <row r="59" spans="1:26" ht="15.75">
      <c r="A59" s="41" t="s">
        <v>521</v>
      </c>
      <c r="I59" s="2" t="s">
        <v>97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2055</v>
      </c>
      <c r="K59" s="3"/>
      <c r="O59" s="51">
        <v>183000</v>
      </c>
      <c r="P59" s="51">
        <v>0.32</v>
      </c>
      <c r="Q59" s="51">
        <v>34647.5</v>
      </c>
      <c r="S59" s="63" t="s">
        <v>563</v>
      </c>
      <c r="T59" s="64"/>
      <c r="U59" s="64"/>
      <c r="V59" s="64"/>
      <c r="W59" s="64"/>
      <c r="X59" s="64"/>
      <c r="Y59" s="64"/>
      <c r="Z59" s="64"/>
    </row>
    <row r="60" spans="1:26" ht="15.75">
      <c r="A60" s="41" t="s">
        <v>519</v>
      </c>
      <c r="I60" s="2" t="s">
        <v>98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2055</v>
      </c>
      <c r="K60" s="3"/>
      <c r="O60" s="51">
        <v>228900</v>
      </c>
      <c r="P60" s="53">
        <v>0.35</v>
      </c>
      <c r="Q60" s="51">
        <v>49335.5</v>
      </c>
      <c r="S60" s="63" t="s">
        <v>101</v>
      </c>
      <c r="T60" s="63" t="s">
        <v>102</v>
      </c>
      <c r="U60" s="64"/>
      <c r="V60" s="64"/>
      <c r="W60" s="64"/>
      <c r="X60" s="64"/>
      <c r="Y60" s="64"/>
      <c r="Z60" s="64"/>
    </row>
    <row r="61" spans="1:26" ht="15.75">
      <c r="A61" s="30" t="s">
        <v>515</v>
      </c>
      <c r="I61" s="2" t="s">
        <v>99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2055</v>
      </c>
      <c r="K61" s="3"/>
      <c r="O61" s="51">
        <v>336875</v>
      </c>
      <c r="P61" s="54">
        <v>0.37</v>
      </c>
      <c r="Q61" s="51">
        <v>87126.75</v>
      </c>
      <c r="S61" s="63" t="s">
        <v>104</v>
      </c>
      <c r="T61" s="64">
        <v>0</v>
      </c>
      <c r="U61" s="64">
        <v>1</v>
      </c>
      <c r="V61" s="64">
        <v>2</v>
      </c>
      <c r="W61" s="66" t="s">
        <v>105</v>
      </c>
      <c r="X61" s="64"/>
      <c r="Y61" s="64"/>
      <c r="Z61" s="64"/>
    </row>
    <row r="62" spans="1:26" ht="15.75">
      <c r="A62" s="41" t="s">
        <v>516</v>
      </c>
      <c r="I62" s="2" t="s">
        <v>100</v>
      </c>
      <c r="J62" s="3">
        <f>IF(FEDM_HW="M",VLOOKUP(J38,FTXTBLM,3),IF(FEDM_HW="A",VLOOKUP(J38,FTXTBLMHW,3),IF(FEDM_HW="S",VLOOKUP(J38,FTXTBLSH,3),IF(FEDM_HW="I",VLOOKUP(J38,FTXTBLSHW,3),IF(FEDM_HW="H",VLOOKUP(J38,FTXBLH,3),IF(FEDM_HW="E",VLOOKUP(J38,FTXTBLHHW,3)))))))</f>
        <v>2055</v>
      </c>
      <c r="O62" s="51"/>
      <c r="P62" s="51"/>
      <c r="Q62" s="51"/>
      <c r="S62" s="63" t="s">
        <v>25</v>
      </c>
      <c r="T62" s="64">
        <v>0</v>
      </c>
      <c r="U62" s="64">
        <v>0</v>
      </c>
      <c r="V62" s="64">
        <v>0</v>
      </c>
      <c r="W62" s="64">
        <v>0</v>
      </c>
      <c r="X62" s="63" t="s">
        <v>106</v>
      </c>
      <c r="Y62" s="64"/>
      <c r="Z62" s="64"/>
    </row>
    <row r="63" spans="1:26" ht="15.75">
      <c r="A63" s="41" t="s">
        <v>517</v>
      </c>
      <c r="I63" s="2" t="s">
        <v>103</v>
      </c>
      <c r="J63" s="3">
        <f>IF(FEDM_HW="M",VLOOKUP(J39,FTXTBLM,3),IF(FEDM_HW="A",VLOOKUP(J39,FTXTBLMHW,3),IF(FEDM_HW="S",VLOOKUP(J39,FTXTBLSH,3),IF(FEDM_HW="I",VLOOKUP(J39,FTXTBLSHW,3),IF(FEDM_HW="H",VLOOKUP(J39,FTXBLH,3),IF(FEDM_HW="E",VLOOKUP(J39,FTXTBLHHW,3)))))))</f>
        <v>2055</v>
      </c>
      <c r="O63" s="50"/>
      <c r="P63" s="50" t="s">
        <v>545</v>
      </c>
      <c r="Q63" s="50"/>
      <c r="S63" s="63" t="s">
        <v>108</v>
      </c>
      <c r="T63" s="64">
        <v>0</v>
      </c>
      <c r="U63" s="64">
        <v>0</v>
      </c>
      <c r="V63" s="64">
        <v>0</v>
      </c>
      <c r="W63" s="64">
        <v>0</v>
      </c>
      <c r="X63" s="63" t="s">
        <v>106</v>
      </c>
      <c r="Y63" s="64"/>
      <c r="Z63" s="64"/>
    </row>
    <row r="64" spans="1:26" ht="15.75">
      <c r="A64" s="41" t="s">
        <v>518</v>
      </c>
      <c r="K64" s="3"/>
      <c r="O64" s="37" t="s">
        <v>13</v>
      </c>
      <c r="P64" s="37" t="s">
        <v>14</v>
      </c>
      <c r="Q64" s="37" t="s">
        <v>15</v>
      </c>
      <c r="S64" s="64"/>
      <c r="T64" s="64"/>
      <c r="U64" s="64"/>
      <c r="V64" s="64"/>
      <c r="W64" s="64"/>
      <c r="X64" s="64"/>
      <c r="Y64" s="64"/>
      <c r="Z64" s="64"/>
    </row>
    <row r="65" spans="9:26" ht="15.75">
      <c r="I65" s="2" t="s">
        <v>107</v>
      </c>
      <c r="K65" s="3"/>
      <c r="O65" s="51">
        <v>-999999</v>
      </c>
      <c r="P65" s="51">
        <v>0</v>
      </c>
      <c r="Q65" s="51">
        <v>0</v>
      </c>
      <c r="S65" s="64"/>
      <c r="T65" s="64"/>
      <c r="U65" s="64"/>
      <c r="V65" s="64"/>
      <c r="W65" s="64"/>
      <c r="X65" s="64"/>
      <c r="Y65" s="64"/>
      <c r="Z65" s="64"/>
    </row>
    <row r="66" spans="1:26" ht="15.75">
      <c r="A66" s="41"/>
      <c r="I66" s="2" t="s">
        <v>109</v>
      </c>
      <c r="J66" s="3">
        <f>(FTG1-FBSA1)</f>
        <v>53314.59999999999</v>
      </c>
      <c r="K66" s="3"/>
      <c r="O66" s="51">
        <v>9700</v>
      </c>
      <c r="P66" s="51">
        <v>0.1</v>
      </c>
      <c r="Q66" s="51">
        <v>0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28" t="s">
        <v>498</v>
      </c>
      <c r="I67" s="2" t="s">
        <v>110</v>
      </c>
      <c r="J67" s="3">
        <f>(J35-J43)</f>
        <v>52114.59999999999</v>
      </c>
      <c r="K67" s="3"/>
      <c r="O67" s="51">
        <v>17025</v>
      </c>
      <c r="P67" s="51">
        <v>0.12</v>
      </c>
      <c r="Q67" s="51">
        <v>732.5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111</v>
      </c>
      <c r="J68" s="3">
        <f>(J36-J44)</f>
        <v>50914.59999999999</v>
      </c>
      <c r="K68" s="3"/>
      <c r="O68" s="51">
        <v>37650</v>
      </c>
      <c r="P68" s="51">
        <v>0.22</v>
      </c>
      <c r="Q68" s="51">
        <v>3207.5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189</v>
      </c>
      <c r="I69" s="2" t="s">
        <v>112</v>
      </c>
      <c r="J69" s="3">
        <f>(J37-J45)</f>
        <v>49714.59999999999</v>
      </c>
      <c r="K69" s="3"/>
      <c r="O69" s="51">
        <v>54225</v>
      </c>
      <c r="P69" s="51">
        <v>0.24</v>
      </c>
      <c r="Q69" s="51">
        <v>6854</v>
      </c>
      <c r="S69" s="64"/>
      <c r="T69" s="64"/>
      <c r="U69" s="64"/>
      <c r="V69" s="64"/>
      <c r="W69" s="64"/>
      <c r="X69" s="64"/>
      <c r="Y69" s="64"/>
      <c r="Z69" s="64"/>
    </row>
    <row r="70" spans="9:26" ht="15.75">
      <c r="I70" s="2" t="s">
        <v>113</v>
      </c>
      <c r="J70" s="3">
        <f>(J38-J46)</f>
        <v>47314.59999999999</v>
      </c>
      <c r="O70" s="51">
        <v>94725</v>
      </c>
      <c r="P70" s="53">
        <v>0.32</v>
      </c>
      <c r="Q70" s="51">
        <v>16574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62" t="s">
        <v>560</v>
      </c>
      <c r="I71" s="2" t="s">
        <v>114</v>
      </c>
      <c r="J71" s="3">
        <f>(J39-J47)</f>
        <v>45814.59999999999</v>
      </c>
      <c r="O71" s="51">
        <v>117675</v>
      </c>
      <c r="P71" s="53">
        <v>0.35</v>
      </c>
      <c r="Q71" s="51">
        <v>23918</v>
      </c>
      <c r="S71" s="64"/>
      <c r="T71" s="64"/>
      <c r="U71" s="64"/>
      <c r="V71" s="64"/>
      <c r="W71" s="64"/>
      <c r="X71" s="64"/>
      <c r="Y71" s="64"/>
      <c r="Z71" s="64"/>
    </row>
    <row r="72" spans="11:26" ht="15.75">
      <c r="K72" s="3"/>
      <c r="O72" s="51">
        <v>279650</v>
      </c>
      <c r="P72" s="54">
        <v>0.37</v>
      </c>
      <c r="Q72" s="51">
        <v>80609.25</v>
      </c>
      <c r="S72" s="64"/>
      <c r="T72" s="64"/>
      <c r="U72" s="64"/>
      <c r="V72" s="64"/>
      <c r="W72" s="64"/>
      <c r="X72" s="64"/>
      <c r="Y72" s="64"/>
      <c r="Z72" s="64"/>
    </row>
    <row r="73" spans="1:26" ht="15.75">
      <c r="A73" s="28" t="s">
        <v>190</v>
      </c>
      <c r="C73" s="1"/>
      <c r="I73" s="2" t="s">
        <v>116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/>
      <c r="I74" s="2" t="s">
        <v>117</v>
      </c>
      <c r="J74" s="3">
        <f>IF(FedHW="",(FBST1+ROUND(FOVR1*FMTR1,5)),(FBST1+ROUND((FOVR1*FMTR1)-Fed_Claim_Dpnts,5)))</f>
        <v>8452.752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s="28" t="s">
        <v>556</v>
      </c>
      <c r="I75" s="2" t="s">
        <v>118</v>
      </c>
      <c r="J75" s="3">
        <f>IF(FedHW="",(J59+ROUND(J67*FMTR2,5)),(J59+ROUND((J67*FMTR2)-Fed_Claim_Dpnts,5)))</f>
        <v>8308.752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1:26" ht="15.75">
      <c r="A76" s="41" t="s">
        <v>568</v>
      </c>
      <c r="I76" s="2" t="s">
        <v>119</v>
      </c>
      <c r="J76" s="3">
        <f>IF(FedHW="",(J60+ROUND(J68*FMTR2,5)),(J60+ROUND((J68*FMTR2)-Fed_Claim_Dpnts,5)))</f>
        <v>8164.752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9:26" ht="15.75">
      <c r="I77" s="2" t="s">
        <v>120</v>
      </c>
      <c r="J77" s="3">
        <f>IF(FedHW="",(J61+ROUND(J69*FMTR2,5)),(J61+ROUND((J69*FMTR2)-Fed_Claim_Dpnts,5)))</f>
        <v>8020.752</v>
      </c>
      <c r="K77" s="3"/>
      <c r="S77" s="64"/>
      <c r="T77" s="64"/>
      <c r="U77" s="64"/>
      <c r="V77" s="64"/>
      <c r="W77" s="64"/>
      <c r="X77" s="64"/>
      <c r="Y77" s="64"/>
      <c r="Z77" s="64"/>
    </row>
    <row r="78" spans="1:26" ht="15.75">
      <c r="A78" s="28" t="s">
        <v>558</v>
      </c>
      <c r="I78" s="2" t="s">
        <v>121</v>
      </c>
      <c r="J78" s="3">
        <f>IF(FedHW="",(J62+ROUND(J70*FMTR2,5)),(J62+ROUND((J70*FMTR2)-Fed_Claim_Dpnts,5)))</f>
        <v>7732.752</v>
      </c>
      <c r="K78" s="3"/>
      <c r="S78" s="64"/>
      <c r="T78" s="64"/>
      <c r="U78" s="64"/>
      <c r="V78" s="64"/>
      <c r="W78" s="64"/>
      <c r="X78" s="64"/>
      <c r="Y78" s="64"/>
      <c r="Z78" s="64"/>
    </row>
    <row r="79" spans="1:26" ht="15.75">
      <c r="A79" t="s">
        <v>568</v>
      </c>
      <c r="I79" s="2" t="s">
        <v>122</v>
      </c>
      <c r="J79" s="3">
        <f>IF(FedHW="",(J63+ROUND(J71*FMTR2,5)),(J63+ROUND((J71*FMTR2)-Fed_Claim_Dpnts,5)))</f>
        <v>7552.752</v>
      </c>
      <c r="K79" s="3"/>
      <c r="L79" t="s">
        <v>206</v>
      </c>
      <c r="M79" t="s">
        <v>207</v>
      </c>
      <c r="N79" t="s">
        <v>546</v>
      </c>
      <c r="P79" s="2" t="s">
        <v>725</v>
      </c>
      <c r="Q79" s="74" t="s">
        <v>207</v>
      </c>
      <c r="S79" s="64"/>
      <c r="T79" s="64"/>
      <c r="U79" s="64"/>
      <c r="V79" s="64"/>
      <c r="W79" s="64"/>
      <c r="X79" s="64"/>
      <c r="Y79" s="64"/>
      <c r="Z79" s="64"/>
    </row>
    <row r="80" spans="11:26" ht="15.75">
      <c r="K80" s="3"/>
      <c r="L80" t="s">
        <v>208</v>
      </c>
      <c r="M80" s="35">
        <v>0.06</v>
      </c>
      <c r="N80" s="36">
        <v>317</v>
      </c>
      <c r="O80" t="s">
        <v>209</v>
      </c>
      <c r="P80" s="75" t="s">
        <v>727</v>
      </c>
      <c r="Q80" s="76">
        <v>0.035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s="28" t="s">
        <v>557</v>
      </c>
      <c r="I81" s="2" t="s">
        <v>124</v>
      </c>
      <c r="K81" s="3"/>
      <c r="L81" t="s">
        <v>210</v>
      </c>
      <c r="M81" s="35">
        <v>0.0375</v>
      </c>
      <c r="N81" s="36">
        <v>0</v>
      </c>
      <c r="O81" t="s">
        <v>209</v>
      </c>
      <c r="P81" s="75" t="s">
        <v>728</v>
      </c>
      <c r="Q81" s="77">
        <v>0.02</v>
      </c>
      <c r="S81" s="64"/>
      <c r="T81" s="64"/>
      <c r="U81" s="64"/>
      <c r="V81" s="64"/>
      <c r="W81" s="64"/>
      <c r="X81" s="64"/>
      <c r="Y81" s="64"/>
      <c r="Z81" s="64"/>
    </row>
    <row r="82" spans="1:26" ht="15.75">
      <c r="A82" t="s">
        <v>568</v>
      </c>
      <c r="I82" s="2" t="s">
        <v>125</v>
      </c>
      <c r="J82" s="71">
        <f aca="true" t="shared" si="7" ref="J82:J87">IF(FEDM="E",0,IF(K82&lt;0,0,K82))</f>
        <v>704.4</v>
      </c>
      <c r="K82" s="71">
        <f>IF(FEDM="E",0,(ROUND(FTA1/PAYFACT,2)))</f>
        <v>704.4</v>
      </c>
      <c r="L82" t="s">
        <v>211</v>
      </c>
      <c r="M82" s="35">
        <v>0</v>
      </c>
      <c r="N82" s="36">
        <v>0</v>
      </c>
      <c r="O82" t="s">
        <v>209</v>
      </c>
      <c r="P82" s="75" t="s">
        <v>729</v>
      </c>
      <c r="Q82" s="77">
        <v>0.035</v>
      </c>
      <c r="S82" s="64"/>
      <c r="T82" s="64"/>
      <c r="U82" s="64"/>
      <c r="V82" s="64"/>
      <c r="W82" s="64"/>
      <c r="X82" s="64"/>
      <c r="Y82" s="64"/>
      <c r="Z82" s="64"/>
    </row>
    <row r="83" spans="9:26" ht="15.75">
      <c r="I83" s="2" t="s">
        <v>126</v>
      </c>
      <c r="J83" s="71">
        <f t="shared" si="7"/>
        <v>692.4</v>
      </c>
      <c r="K83" s="71">
        <f>IF(FEDM="E",0,(ROUND(J75/PAYFACT,2)))</f>
        <v>692.4</v>
      </c>
      <c r="L83" t="s">
        <v>212</v>
      </c>
      <c r="M83" s="35">
        <v>0.0375</v>
      </c>
      <c r="N83" s="36">
        <v>0</v>
      </c>
      <c r="O83" t="s">
        <v>11</v>
      </c>
      <c r="P83" s="75" t="s">
        <v>730</v>
      </c>
      <c r="Q83" s="77">
        <v>0.035</v>
      </c>
      <c r="S83" s="64"/>
      <c r="T83" s="64"/>
      <c r="U83" s="64"/>
      <c r="V83" s="64"/>
      <c r="W83" s="64"/>
      <c r="X83" s="64"/>
      <c r="Y83" s="64"/>
      <c r="Z83" s="64"/>
    </row>
    <row r="84" spans="1:26" ht="15.75">
      <c r="A84" s="28" t="s">
        <v>559</v>
      </c>
      <c r="I84" s="2" t="s">
        <v>127</v>
      </c>
      <c r="J84" s="71">
        <f t="shared" si="7"/>
        <v>680.4</v>
      </c>
      <c r="K84" s="71">
        <f>IF(FEDM="E",0,(ROUND(J76/PAYFACT,2)))</f>
        <v>680.4</v>
      </c>
      <c r="L84" t="s">
        <v>213</v>
      </c>
      <c r="M84" s="35">
        <v>0.0375</v>
      </c>
      <c r="N84" s="36">
        <v>0</v>
      </c>
      <c r="O84" t="s">
        <v>11</v>
      </c>
      <c r="P84" s="75" t="s">
        <v>731</v>
      </c>
      <c r="Q84" s="75">
        <v>0.017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t="s">
        <v>568</v>
      </c>
      <c r="I85" s="2" t="s">
        <v>128</v>
      </c>
      <c r="J85" s="71">
        <f t="shared" si="7"/>
        <v>668.4</v>
      </c>
      <c r="K85" s="71">
        <f>IF(FEDM="E",0,(ROUND(J77/PAYFACT,2)))</f>
        <v>668.4</v>
      </c>
      <c r="L85" t="s">
        <v>214</v>
      </c>
      <c r="M85" s="35">
        <v>0.095</v>
      </c>
      <c r="N85" s="36">
        <v>513</v>
      </c>
      <c r="O85" t="s">
        <v>11</v>
      </c>
      <c r="P85" s="75" t="s">
        <v>732</v>
      </c>
      <c r="Q85" s="77">
        <v>0.04</v>
      </c>
      <c r="S85" s="64"/>
      <c r="T85" s="64"/>
      <c r="U85" s="64"/>
      <c r="V85" s="64"/>
      <c r="W85" s="64"/>
      <c r="X85" s="64"/>
      <c r="Y85" s="64"/>
      <c r="Z85" s="64"/>
    </row>
    <row r="86" spans="9:26" ht="15.75">
      <c r="I86" s="2" t="s">
        <v>129</v>
      </c>
      <c r="J86" s="71">
        <f t="shared" si="7"/>
        <v>644.4</v>
      </c>
      <c r="K86" s="71">
        <f>IF(FEDM="E",0,(ROUND(J78/PAYFACT,2)))</f>
        <v>644.4</v>
      </c>
      <c r="L86" t="s">
        <v>215</v>
      </c>
      <c r="M86" s="35">
        <v>0.1</v>
      </c>
      <c r="N86" s="36">
        <v>317</v>
      </c>
      <c r="O86" t="s">
        <v>9</v>
      </c>
      <c r="P86" s="75" t="s">
        <v>733</v>
      </c>
      <c r="Q86" s="77">
        <v>0.04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191</v>
      </c>
      <c r="I87" s="2" t="s">
        <v>130</v>
      </c>
      <c r="J87" s="71">
        <f t="shared" si="7"/>
        <v>629.4</v>
      </c>
      <c r="K87" s="71">
        <f>IF(FEDM="E",0,(ROUND(J79/PAYFACT,2)))</f>
        <v>629.4</v>
      </c>
      <c r="L87" t="s">
        <v>216</v>
      </c>
      <c r="M87" s="35">
        <v>0.125</v>
      </c>
      <c r="N87" s="36">
        <v>513</v>
      </c>
      <c r="O87" t="s">
        <v>11</v>
      </c>
      <c r="P87" s="75" t="s">
        <v>734</v>
      </c>
      <c r="Q87" s="77">
        <v>0.044</v>
      </c>
      <c r="S87" s="64"/>
      <c r="T87" s="64"/>
      <c r="U87" s="64"/>
      <c r="V87" s="64"/>
      <c r="W87" s="64"/>
      <c r="X87" s="64"/>
      <c r="Y87" s="64"/>
      <c r="Z87" s="64"/>
    </row>
    <row r="88" spans="11:26" ht="15.75">
      <c r="K88" s="3"/>
      <c r="L88" t="s">
        <v>217</v>
      </c>
      <c r="M88" s="35">
        <v>0.05</v>
      </c>
      <c r="N88" s="36">
        <v>513</v>
      </c>
      <c r="O88" t="s">
        <v>11</v>
      </c>
      <c r="P88" s="75" t="s">
        <v>735</v>
      </c>
      <c r="Q88" s="77">
        <v>0.02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205</v>
      </c>
      <c r="I89" s="2" t="s">
        <v>131</v>
      </c>
      <c r="K89" s="3"/>
      <c r="L89" t="s">
        <v>218</v>
      </c>
      <c r="M89" s="35">
        <v>0.08</v>
      </c>
      <c r="N89" s="36">
        <v>513</v>
      </c>
      <c r="O89" t="s">
        <v>11</v>
      </c>
      <c r="P89" s="75" t="s">
        <v>736</v>
      </c>
      <c r="Q89" s="77">
        <v>0.021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132</v>
      </c>
      <c r="J90" s="3">
        <f>IF(STM="S",LIES,IF(AND(STM="M",STE&lt;2),LIEM1,IF(AND(STM="M",STE&gt;=2),LIEM2,IF(STM="H",LIEH,99999))))</f>
        <v>13419</v>
      </c>
      <c r="K90" s="3"/>
      <c r="L90" t="s">
        <v>525</v>
      </c>
      <c r="M90" s="35">
        <v>0.085</v>
      </c>
      <c r="N90" s="36">
        <v>513</v>
      </c>
      <c r="O90" t="s">
        <v>11</v>
      </c>
      <c r="P90" s="75" t="s">
        <v>737</v>
      </c>
      <c r="Q90" s="77">
        <v>0.035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192</v>
      </c>
      <c r="I91" s="2" t="s">
        <v>133</v>
      </c>
      <c r="J91" s="3">
        <f>(STA*SADDALL)</f>
        <v>0</v>
      </c>
      <c r="K91" s="3"/>
      <c r="L91" t="s">
        <v>526</v>
      </c>
      <c r="M91" s="35">
        <v>0.085</v>
      </c>
      <c r="N91" s="36">
        <v>513</v>
      </c>
      <c r="O91" t="s">
        <v>11</v>
      </c>
      <c r="P91" s="75" t="s">
        <v>738</v>
      </c>
      <c r="Q91" s="77">
        <v>0.041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s="28"/>
      <c r="I92" s="2" t="s">
        <v>134</v>
      </c>
      <c r="J92" s="3">
        <f>IF(STM="S",SDS,IF(AND(STM="M",STE&lt;2),SDM1,IF(AND(STM="M",STE&gt;=2),SDM2,IF(STM="H",SDH,0))))*STE</f>
        <v>2425</v>
      </c>
      <c r="K92" s="3"/>
      <c r="L92" t="s">
        <v>527</v>
      </c>
      <c r="M92" s="35">
        <v>0.085</v>
      </c>
      <c r="N92" s="36">
        <v>513</v>
      </c>
      <c r="O92" t="s">
        <v>11</v>
      </c>
      <c r="P92" s="75" t="s">
        <v>739</v>
      </c>
      <c r="Q92" s="77">
        <v>0.034</v>
      </c>
      <c r="S92" s="64"/>
      <c r="T92" s="64"/>
      <c r="U92" s="64"/>
      <c r="V92" s="64"/>
      <c r="W92" s="64"/>
      <c r="X92" s="64"/>
      <c r="Y92" s="64"/>
      <c r="Z92" s="64"/>
    </row>
    <row r="93" spans="1:26" ht="15.75">
      <c r="A93" s="28" t="s">
        <v>499</v>
      </c>
      <c r="I93" s="2" t="s">
        <v>135</v>
      </c>
      <c r="J93" s="3">
        <f>IF(AND(B15="S",B16=0),T62,IF(AND(B15="S",B16=1),U62,IF(AND(B15="S",B16&gt;=2),V62,IF(AND(B15="M",B16=0),T63,IF(OR(AND(B15="M",B15="H"),B16=1),U63,IF(OR(AND(B15="M",B15="H"),B16&gt;=2),V63,0))))))</f>
        <v>0</v>
      </c>
      <c r="K93" s="3"/>
      <c r="L93" t="s">
        <v>528</v>
      </c>
      <c r="M93" s="35">
        <v>0.0875</v>
      </c>
      <c r="N93" s="36">
        <v>513</v>
      </c>
      <c r="O93" t="s">
        <v>11</v>
      </c>
      <c r="P93" s="75" t="s">
        <v>740</v>
      </c>
      <c r="Q93" s="77">
        <v>0.035</v>
      </c>
      <c r="S93" s="64"/>
      <c r="T93" s="64"/>
      <c r="U93" s="64"/>
      <c r="V93" s="64"/>
      <c r="W93" s="64"/>
      <c r="X93" s="64"/>
      <c r="Y93" s="64"/>
      <c r="Z93" s="64"/>
    </row>
    <row r="94" spans="9:26" ht="15.75">
      <c r="I94" s="2" t="s">
        <v>136</v>
      </c>
      <c r="J94" s="3">
        <f>IF(STE&lt;3,0,STE-2)</f>
        <v>0</v>
      </c>
      <c r="L94" t="s">
        <v>529</v>
      </c>
      <c r="M94" s="35">
        <v>0.085</v>
      </c>
      <c r="N94" s="36">
        <v>513</v>
      </c>
      <c r="O94" t="s">
        <v>11</v>
      </c>
      <c r="P94" s="75" t="s">
        <v>741</v>
      </c>
      <c r="Q94" s="77">
        <v>0.035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s="28" t="s">
        <v>195</v>
      </c>
      <c r="I95" s="2" t="s">
        <v>137</v>
      </c>
      <c r="J95" s="3">
        <f>IF(STM="S",TCRSR,TCRMR)</f>
        <v>0</v>
      </c>
      <c r="L95" t="s">
        <v>530</v>
      </c>
      <c r="M95" s="35">
        <v>0.085</v>
      </c>
      <c r="N95" s="36">
        <v>513</v>
      </c>
      <c r="O95" t="s">
        <v>11</v>
      </c>
      <c r="P95" s="75" t="s">
        <v>742</v>
      </c>
      <c r="Q95" s="77">
        <v>0.014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196</v>
      </c>
      <c r="I96" s="2" t="s">
        <v>138</v>
      </c>
      <c r="J96" s="3">
        <f>(TXCRB+(TXCROV2*TXCRR))</f>
        <v>0</v>
      </c>
      <c r="K96" s="3"/>
      <c r="L96" t="s">
        <v>531</v>
      </c>
      <c r="M96" s="35">
        <v>0.085</v>
      </c>
      <c r="N96" s="36">
        <v>513</v>
      </c>
      <c r="O96" t="s">
        <v>11</v>
      </c>
      <c r="P96" s="75" t="s">
        <v>743</v>
      </c>
      <c r="Q96" s="77">
        <v>0.035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/>
      <c r="J97" s="3"/>
      <c r="K97" s="3"/>
      <c r="L97" t="s">
        <v>532</v>
      </c>
      <c r="M97" s="35">
        <v>0.085</v>
      </c>
      <c r="N97" s="36">
        <v>513</v>
      </c>
      <c r="O97" t="s">
        <v>11</v>
      </c>
      <c r="P97" s="75" t="s">
        <v>744</v>
      </c>
      <c r="Q97" s="77">
        <v>0.045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78" t="s">
        <v>856</v>
      </c>
      <c r="I98" s="2" t="s">
        <v>139</v>
      </c>
      <c r="K98" s="3"/>
      <c r="L98" t="s">
        <v>219</v>
      </c>
      <c r="M98" s="35">
        <v>0.06</v>
      </c>
      <c r="N98" s="36">
        <v>317</v>
      </c>
      <c r="O98" t="s">
        <v>209</v>
      </c>
      <c r="P98" s="75" t="s">
        <v>745</v>
      </c>
      <c r="Q98" s="77">
        <v>0.03</v>
      </c>
      <c r="S98" s="64"/>
      <c r="T98" s="64"/>
      <c r="U98" s="64"/>
      <c r="V98" s="64"/>
      <c r="W98" s="64"/>
      <c r="X98" s="64"/>
      <c r="Y98" s="64"/>
      <c r="Z98" s="64"/>
    </row>
    <row r="99" spans="1:26" ht="15.75">
      <c r="A99" s="41" t="s">
        <v>857</v>
      </c>
      <c r="I99" s="2" t="s">
        <v>140</v>
      </c>
      <c r="J99" s="3">
        <f>IF((PAYFACT*TG1)-ADDALLOW-SDED&lt;=0,0,(PAYFACT*TG1)-ADDALLOW-SDED)</f>
        <v>88739.59999999999</v>
      </c>
      <c r="K99" s="3"/>
      <c r="L99" t="s">
        <v>220</v>
      </c>
      <c r="M99" s="35">
        <v>0.01</v>
      </c>
      <c r="N99" s="36">
        <v>317</v>
      </c>
      <c r="O99" t="s">
        <v>209</v>
      </c>
      <c r="P99" s="75" t="s">
        <v>746</v>
      </c>
      <c r="Q99" s="77">
        <v>0.035</v>
      </c>
      <c r="S99" s="64"/>
      <c r="T99" s="64"/>
      <c r="U99" s="64"/>
      <c r="V99" s="64"/>
      <c r="W99" s="64"/>
      <c r="X99" s="64"/>
      <c r="Y99" s="64"/>
      <c r="Z99" s="64"/>
    </row>
    <row r="100" spans="1:26" ht="15.75">
      <c r="A100" s="41" t="s">
        <v>858</v>
      </c>
      <c r="I100" s="2" t="s">
        <v>141</v>
      </c>
      <c r="J100" s="3">
        <f>IF((PAYFACT*TG2)-ADDALLOW-SDED&lt;=0,0,(PAYFACT*TG2)-ADDALLOW-SDED)</f>
        <v>87539.59999999999</v>
      </c>
      <c r="K100" s="3"/>
      <c r="L100" t="s">
        <v>221</v>
      </c>
      <c r="M100" s="35">
        <v>0.06</v>
      </c>
      <c r="N100" s="36">
        <v>317</v>
      </c>
      <c r="O100" t="s">
        <v>9</v>
      </c>
      <c r="P100" s="75" t="s">
        <v>747</v>
      </c>
      <c r="Q100" s="77">
        <v>0.035</v>
      </c>
      <c r="S100" s="64"/>
      <c r="T100" s="64"/>
      <c r="U100" s="64"/>
      <c r="V100" s="64"/>
      <c r="W100" s="64"/>
      <c r="X100" s="64"/>
      <c r="Y100" s="64"/>
      <c r="Z100" s="64"/>
    </row>
    <row r="101" spans="9:17" ht="15.75">
      <c r="I101" s="2" t="s">
        <v>142</v>
      </c>
      <c r="J101" s="3">
        <f>IF((PAYFACT*TG3)-ADDALLOW-SDED&lt;=0,0,(PAYFACT*TG3)-ADDALLOW-SDED)</f>
        <v>86339.59999999999</v>
      </c>
      <c r="K101" s="3"/>
      <c r="L101" t="s">
        <v>222</v>
      </c>
      <c r="M101" s="35">
        <v>0.0375</v>
      </c>
      <c r="N101" s="36">
        <v>0</v>
      </c>
      <c r="O101" t="s">
        <v>9</v>
      </c>
      <c r="P101" s="75" t="s">
        <v>748</v>
      </c>
      <c r="Q101" s="77">
        <v>0.035</v>
      </c>
    </row>
    <row r="102" spans="1:17" ht="15.75">
      <c r="A102" s="28" t="s">
        <v>547</v>
      </c>
      <c r="I102" s="2" t="s">
        <v>143</v>
      </c>
      <c r="J102" s="3">
        <f>IF((PAYFACT*TG4)-ADDALLOW-SDED&lt;=0,0,(PAYFACT*TG4)-ADDALLOW-SDED)</f>
        <v>85139.59999999999</v>
      </c>
      <c r="L102" t="s">
        <v>223</v>
      </c>
      <c r="M102" s="35">
        <v>0</v>
      </c>
      <c r="N102" s="36">
        <v>0</v>
      </c>
      <c r="O102" t="s">
        <v>209</v>
      </c>
      <c r="P102" s="75" t="s">
        <v>749</v>
      </c>
      <c r="Q102" s="77">
        <v>0.02</v>
      </c>
    </row>
    <row r="103" spans="1:17" ht="15.75">
      <c r="A103" t="s">
        <v>115</v>
      </c>
      <c r="I103" s="2" t="s">
        <v>144</v>
      </c>
      <c r="J103" s="3">
        <f>IF((PAYFACT*TG5)-ADDALLOW-SDED&lt;=0,0,(PAYFACT*TG5)-ADDALLOW-SDED)</f>
        <v>82739.59999999999</v>
      </c>
      <c r="L103" t="s">
        <v>224</v>
      </c>
      <c r="M103" s="35">
        <v>0.06</v>
      </c>
      <c r="N103" s="36">
        <v>238</v>
      </c>
      <c r="O103" t="s">
        <v>209</v>
      </c>
      <c r="P103" s="75" t="s">
        <v>750</v>
      </c>
      <c r="Q103" s="77">
        <v>0.035</v>
      </c>
    </row>
    <row r="104" spans="1:17" ht="15.75">
      <c r="A104" t="s">
        <v>548</v>
      </c>
      <c r="I104" s="2" t="s">
        <v>145</v>
      </c>
      <c r="J104" s="3">
        <f>IF((PAYFACT*TG6)-ADDALLOW-SDED&lt;=0,0,(PAYFACT*TG6)-ADDALLOW-SDED)</f>
        <v>81239.59999999999</v>
      </c>
      <c r="K104" s="3"/>
      <c r="L104" t="s">
        <v>225</v>
      </c>
      <c r="M104" s="35">
        <v>0.06</v>
      </c>
      <c r="N104" s="36">
        <v>238</v>
      </c>
      <c r="O104" t="s">
        <v>9</v>
      </c>
      <c r="P104" s="75" t="s">
        <v>751</v>
      </c>
      <c r="Q104" s="77">
        <v>0.035</v>
      </c>
    </row>
    <row r="105" spans="1:17" ht="15.75">
      <c r="A105" s="41" t="s">
        <v>549</v>
      </c>
      <c r="K105" s="3"/>
      <c r="L105" t="s">
        <v>226</v>
      </c>
      <c r="M105" s="35">
        <v>0.06</v>
      </c>
      <c r="N105" s="36">
        <v>317</v>
      </c>
      <c r="O105" t="s">
        <v>9</v>
      </c>
      <c r="P105" s="75" t="s">
        <v>752</v>
      </c>
      <c r="Q105" s="77">
        <v>0.017</v>
      </c>
    </row>
    <row r="106" spans="1:17" ht="15.75">
      <c r="A106" s="57" t="s">
        <v>550</v>
      </c>
      <c r="I106" s="2" t="s">
        <v>146</v>
      </c>
      <c r="K106" s="3"/>
      <c r="L106" t="s">
        <v>227</v>
      </c>
      <c r="M106" s="35">
        <v>0.06</v>
      </c>
      <c r="N106" s="36">
        <v>317</v>
      </c>
      <c r="O106" t="s">
        <v>209</v>
      </c>
      <c r="P106" s="75" t="s">
        <v>753</v>
      </c>
      <c r="Q106" s="77">
        <v>0.04</v>
      </c>
    </row>
    <row r="107" spans="9:17" ht="15.75">
      <c r="I107" s="2" t="s">
        <v>147</v>
      </c>
      <c r="J107" s="3">
        <v>0</v>
      </c>
      <c r="K107" s="3"/>
      <c r="L107" t="s">
        <v>228</v>
      </c>
      <c r="M107" s="35">
        <v>0.11</v>
      </c>
      <c r="N107" s="36">
        <v>317</v>
      </c>
      <c r="O107" t="s">
        <v>9</v>
      </c>
      <c r="P107" s="75" t="s">
        <v>754</v>
      </c>
      <c r="Q107" s="77">
        <v>0.04</v>
      </c>
    </row>
    <row r="108" spans="1:17" ht="15.75">
      <c r="A108" s="28" t="s">
        <v>859</v>
      </c>
      <c r="I108" s="2" t="s">
        <v>148</v>
      </c>
      <c r="J108" s="3">
        <v>0</v>
      </c>
      <c r="K108" s="3"/>
      <c r="L108" t="s">
        <v>229</v>
      </c>
      <c r="M108" s="35">
        <v>0.07</v>
      </c>
      <c r="N108" s="36">
        <v>317</v>
      </c>
      <c r="O108" t="s">
        <v>209</v>
      </c>
      <c r="P108" s="75" t="s">
        <v>755</v>
      </c>
      <c r="Q108" s="77">
        <v>0.044</v>
      </c>
    </row>
    <row r="109" spans="1:17" ht="15.75">
      <c r="A109" s="41" t="s">
        <v>860</v>
      </c>
      <c r="I109" s="2" t="s">
        <v>149</v>
      </c>
      <c r="J109" s="3">
        <v>0</v>
      </c>
      <c r="K109" s="3"/>
      <c r="L109" t="s">
        <v>230</v>
      </c>
      <c r="M109" s="35">
        <v>0.11</v>
      </c>
      <c r="N109" s="36">
        <v>317</v>
      </c>
      <c r="O109" t="s">
        <v>209</v>
      </c>
      <c r="P109" s="75" t="s">
        <v>756</v>
      </c>
      <c r="Q109" s="77">
        <v>0.02</v>
      </c>
    </row>
    <row r="110" spans="1:17" ht="15.75">
      <c r="A110" s="57" t="s">
        <v>861</v>
      </c>
      <c r="I110" s="2" t="s">
        <v>150</v>
      </c>
      <c r="J110" s="3">
        <v>0</v>
      </c>
      <c r="L110" t="s">
        <v>231</v>
      </c>
      <c r="M110" s="35">
        <v>0.11</v>
      </c>
      <c r="N110" s="36">
        <v>317</v>
      </c>
      <c r="O110" t="s">
        <v>9</v>
      </c>
      <c r="P110" s="75" t="s">
        <v>757</v>
      </c>
      <c r="Q110" s="77">
        <v>0.021</v>
      </c>
    </row>
    <row r="111" spans="9:17" ht="15.75">
      <c r="I111" s="2" t="s">
        <v>151</v>
      </c>
      <c r="J111" s="3">
        <v>0</v>
      </c>
      <c r="L111" t="s">
        <v>232</v>
      </c>
      <c r="M111" s="35">
        <v>0.11</v>
      </c>
      <c r="N111" s="36">
        <v>317</v>
      </c>
      <c r="O111" t="s">
        <v>9</v>
      </c>
      <c r="P111" s="75" t="s">
        <v>758</v>
      </c>
      <c r="Q111" s="77">
        <v>0.035</v>
      </c>
    </row>
    <row r="112" spans="1:17" ht="15.75">
      <c r="A112" s="28" t="s">
        <v>193</v>
      </c>
      <c r="I112" s="2" t="s">
        <v>152</v>
      </c>
      <c r="J112" s="3">
        <v>0</v>
      </c>
      <c r="L112" t="s">
        <v>233</v>
      </c>
      <c r="M112" s="35">
        <v>0.11</v>
      </c>
      <c r="N112" s="36">
        <v>317</v>
      </c>
      <c r="O112" t="s">
        <v>209</v>
      </c>
      <c r="P112" s="75" t="s">
        <v>759</v>
      </c>
      <c r="Q112" s="77">
        <v>0.041</v>
      </c>
    </row>
    <row r="113" spans="1:17" ht="15.75">
      <c r="A113" t="s">
        <v>123</v>
      </c>
      <c r="L113" t="s">
        <v>234</v>
      </c>
      <c r="M113" s="35">
        <v>0.11</v>
      </c>
      <c r="N113" s="36">
        <v>317</v>
      </c>
      <c r="O113" t="s">
        <v>9</v>
      </c>
      <c r="P113" s="75" t="s">
        <v>760</v>
      </c>
      <c r="Q113" s="77">
        <v>0.034</v>
      </c>
    </row>
    <row r="114" spans="1:17" ht="15.75">
      <c r="A114" t="s">
        <v>562</v>
      </c>
      <c r="I114" s="2" t="s">
        <v>153</v>
      </c>
      <c r="K114" s="3"/>
      <c r="L114" t="s">
        <v>235</v>
      </c>
      <c r="M114" s="35">
        <v>0.11</v>
      </c>
      <c r="N114" s="36">
        <v>317</v>
      </c>
      <c r="O114" t="s">
        <v>209</v>
      </c>
      <c r="P114" s="75" t="s">
        <v>761</v>
      </c>
      <c r="Q114" s="77">
        <v>0.035</v>
      </c>
    </row>
    <row r="115" spans="1:17" ht="15.75">
      <c r="A115" t="s">
        <v>561</v>
      </c>
      <c r="I115" s="2" t="s">
        <v>154</v>
      </c>
      <c r="J115" s="3">
        <f>IF(STM="S",VLOOKUP(STG1,STXTBLS,2),IF(STM="M",VLOOKUP(STG1,STXTBLM,2),IF(STM="H",VLOOKUP(STG1,STXTBLUH,2),0)))</f>
        <v>0.0495</v>
      </c>
      <c r="K115" s="3"/>
      <c r="L115" t="s">
        <v>236</v>
      </c>
      <c r="M115" s="35">
        <v>0.11</v>
      </c>
      <c r="N115" s="36">
        <v>317</v>
      </c>
      <c r="O115" t="s">
        <v>209</v>
      </c>
      <c r="P115" s="75" t="s">
        <v>762</v>
      </c>
      <c r="Q115" s="77">
        <v>0.035</v>
      </c>
    </row>
    <row r="116" spans="9:17" ht="15.75">
      <c r="I116" s="2" t="s">
        <v>155</v>
      </c>
      <c r="J116" s="3">
        <f>IF(STM="S",VLOOKUP(J100,STXTBLS,2),IF(STM="M",VLOOKUP(J100,STXTBLM,2),IF(STM="H",VLOOKUP(J100,STXTBLUH,2),0)))</f>
        <v>0.0495</v>
      </c>
      <c r="K116" s="3"/>
      <c r="L116" t="s">
        <v>237</v>
      </c>
      <c r="M116" s="35">
        <v>0.11</v>
      </c>
      <c r="N116" s="36">
        <v>317</v>
      </c>
      <c r="O116" t="s">
        <v>9</v>
      </c>
      <c r="P116" s="75" t="s">
        <v>763</v>
      </c>
      <c r="Q116" s="77">
        <v>0.014</v>
      </c>
    </row>
    <row r="117" spans="1:17" ht="15.75">
      <c r="A117" s="28"/>
      <c r="I117" s="2" t="s">
        <v>156</v>
      </c>
      <c r="J117" s="3">
        <f>IF(STM="S",VLOOKUP(J101,STXTBLS,2),IF(STM="M",VLOOKUP(J101,STXTBLM,2),IF(STM="H",VLOOKUP(J101,STXTBLUH,2),0)))</f>
        <v>0.0495</v>
      </c>
      <c r="K117" s="3"/>
      <c r="L117" t="s">
        <v>238</v>
      </c>
      <c r="M117" s="35">
        <v>0.11</v>
      </c>
      <c r="N117" s="36">
        <v>317</v>
      </c>
      <c r="O117" t="s">
        <v>9</v>
      </c>
      <c r="P117" s="75" t="s">
        <v>764</v>
      </c>
      <c r="Q117" s="77">
        <v>0.035</v>
      </c>
    </row>
    <row r="118" spans="9:17" ht="15.75">
      <c r="I118" s="2" t="s">
        <v>157</v>
      </c>
      <c r="J118" s="3">
        <f>IF(STM="S",VLOOKUP(J102,STXTBLS,2),IF(STM="M",VLOOKUP(J102,STXTBLM,2),IF(STM="H",VLOOKUP(J102,STXTBLUH,2),0)))</f>
        <v>0.0495</v>
      </c>
      <c r="K118" s="3"/>
      <c r="L118" t="s">
        <v>239</v>
      </c>
      <c r="M118" s="35">
        <v>0.11</v>
      </c>
      <c r="N118" s="36">
        <v>317</v>
      </c>
      <c r="O118" t="s">
        <v>209</v>
      </c>
      <c r="P118" s="75" t="s">
        <v>765</v>
      </c>
      <c r="Q118" s="77">
        <v>0.045</v>
      </c>
    </row>
    <row r="119" spans="9:17" ht="15.75">
      <c r="I119" s="2" t="s">
        <v>158</v>
      </c>
      <c r="J119" s="3">
        <f>IF(STM="S",VLOOKUP(J103,STXTBLS,2),IF(STM="M",VLOOKUP(J103,STXTBLM,2),IF(STM="H",VLOOKUP(J103,STXTBLUH,2),0)))</f>
        <v>0.0495</v>
      </c>
      <c r="K119" s="3"/>
      <c r="L119" t="s">
        <v>240</v>
      </c>
      <c r="M119" s="35">
        <v>0.105</v>
      </c>
      <c r="N119" s="36">
        <v>0</v>
      </c>
      <c r="O119" t="s">
        <v>9</v>
      </c>
      <c r="P119" s="75" t="s">
        <v>766</v>
      </c>
      <c r="Q119" s="77">
        <v>0.03</v>
      </c>
    </row>
    <row r="120" spans="1:17" ht="15.75">
      <c r="A120" s="28"/>
      <c r="I120" s="2" t="s">
        <v>159</v>
      </c>
      <c r="J120" s="3">
        <f>IF(STM="S",VLOOKUP(J104,STXTBLS,2),IF(STM="M",VLOOKUP(J104,STXTBLM,2),IF(STM="H",VLOOKUP(J104,STXTBLUH,2),0)))</f>
        <v>0.0495</v>
      </c>
      <c r="K120" s="3"/>
      <c r="L120" t="s">
        <v>241</v>
      </c>
      <c r="M120" s="35">
        <v>0.06</v>
      </c>
      <c r="N120" s="36">
        <v>317</v>
      </c>
      <c r="O120" t="s">
        <v>209</v>
      </c>
      <c r="P120" s="75" t="s">
        <v>767</v>
      </c>
      <c r="Q120" s="77">
        <v>0.035</v>
      </c>
    </row>
    <row r="121" spans="12:17" ht="15.75">
      <c r="L121" t="s">
        <v>242</v>
      </c>
      <c r="M121" s="35">
        <v>0.11</v>
      </c>
      <c r="N121" s="36">
        <v>317</v>
      </c>
      <c r="O121" t="s">
        <v>9</v>
      </c>
      <c r="P121" s="75" t="s">
        <v>768</v>
      </c>
      <c r="Q121" s="77">
        <v>0.035</v>
      </c>
    </row>
    <row r="122" spans="9:17" ht="15.75">
      <c r="I122" s="2" t="s">
        <v>160</v>
      </c>
      <c r="K122" s="3"/>
      <c r="L122" t="s">
        <v>243</v>
      </c>
      <c r="M122" s="35">
        <v>0.105</v>
      </c>
      <c r="N122" s="36">
        <v>317</v>
      </c>
      <c r="O122" t="s">
        <v>209</v>
      </c>
      <c r="P122" s="75" t="s">
        <v>769</v>
      </c>
      <c r="Q122" s="77">
        <v>0.024</v>
      </c>
    </row>
    <row r="123" spans="9:17" ht="15.75">
      <c r="I123" s="2" t="s">
        <v>161</v>
      </c>
      <c r="J123" s="3">
        <f>IF(STM="S",VLOOKUP(STG1,STXTBLS,3),IF(STM="M",VLOOKUP(STG1,STXTBLM,3),IF(STM="H",VLOOKUP(STG1,STXTBLUH,3),0)))</f>
        <v>0</v>
      </c>
      <c r="K123" s="3"/>
      <c r="L123" t="s">
        <v>244</v>
      </c>
      <c r="M123" s="35">
        <v>0.11</v>
      </c>
      <c r="N123" s="36">
        <v>317</v>
      </c>
      <c r="O123" t="s">
        <v>209</v>
      </c>
      <c r="P123" s="75" t="s">
        <v>770</v>
      </c>
      <c r="Q123" s="77">
        <v>0.024</v>
      </c>
    </row>
    <row r="124" spans="9:17" ht="15.75">
      <c r="I124" s="2" t="s">
        <v>162</v>
      </c>
      <c r="J124" s="3">
        <f>IF(STM="S",VLOOKUP(J100,STXTBLS,3),IF(STM="M",VLOOKUP(J100,STXTBLM,3),IF(STM="H",VLOOKUP(J100,STXTBLUH,3),0)))</f>
        <v>0</v>
      </c>
      <c r="K124" s="3"/>
      <c r="L124" t="s">
        <v>245</v>
      </c>
      <c r="M124" s="35">
        <v>0.11</v>
      </c>
      <c r="N124" s="36">
        <v>317</v>
      </c>
      <c r="O124" t="s">
        <v>9</v>
      </c>
      <c r="P124" s="75" t="s">
        <v>771</v>
      </c>
      <c r="Q124" s="77">
        <v>0.024</v>
      </c>
    </row>
    <row r="125" spans="9:17" ht="15.75">
      <c r="I125" s="2" t="s">
        <v>163</v>
      </c>
      <c r="J125" s="3">
        <f>IF(STM="S",VLOOKUP(J101,STXTBLS,3),IF(STM="M",VLOOKUP(J101,STXTBLM,3),IF(STM="H",VLOOKUP(J101,STXTBLUH,3),0)))</f>
        <v>0</v>
      </c>
      <c r="K125" s="3"/>
      <c r="L125" t="s">
        <v>246</v>
      </c>
      <c r="M125" s="35">
        <v>0.11</v>
      </c>
      <c r="N125" s="36">
        <v>317</v>
      </c>
      <c r="O125" t="s">
        <v>209</v>
      </c>
      <c r="P125" s="75" t="s">
        <v>772</v>
      </c>
      <c r="Q125" s="77">
        <v>0.024</v>
      </c>
    </row>
    <row r="126" spans="9:17" ht="15.75">
      <c r="I126" s="2" t="s">
        <v>164</v>
      </c>
      <c r="J126" s="3">
        <f>IF(STM="S",VLOOKUP(J102,STXTBLS,3),IF(STM="M",VLOOKUP(J102,STXTBLM,3),IF(STM="H",VLOOKUP(J102,STXTBLUH,3),0)))</f>
        <v>0</v>
      </c>
      <c r="K126" s="3"/>
      <c r="L126" t="s">
        <v>247</v>
      </c>
      <c r="M126" s="35">
        <v>0.06</v>
      </c>
      <c r="N126" s="36">
        <v>317</v>
      </c>
      <c r="O126" t="s">
        <v>9</v>
      </c>
      <c r="P126" s="75" t="s">
        <v>773</v>
      </c>
      <c r="Q126" s="77">
        <v>0.024</v>
      </c>
    </row>
    <row r="127" spans="9:17" ht="15.75">
      <c r="I127" s="2" t="s">
        <v>165</v>
      </c>
      <c r="J127" s="3">
        <f>IF(STM="S",VLOOKUP(J103,STXTBLS,3),IF(STM="M",VLOOKUP(J103,STXTBLM,3),IF(STM="H",VLOOKUP(J103,STXTBLUH,3),0)))</f>
        <v>0</v>
      </c>
      <c r="K127" s="3"/>
      <c r="L127" t="s">
        <v>248</v>
      </c>
      <c r="M127" s="35">
        <v>0.11</v>
      </c>
      <c r="N127" s="36">
        <v>317</v>
      </c>
      <c r="O127" t="s">
        <v>9</v>
      </c>
      <c r="P127" s="75" t="s">
        <v>774</v>
      </c>
      <c r="Q127" s="77">
        <v>0.024</v>
      </c>
    </row>
    <row r="128" spans="9:17" ht="15.75">
      <c r="I128" s="2" t="s">
        <v>166</v>
      </c>
      <c r="J128" s="3">
        <f>IF(STM="S",VLOOKUP(J104,STXTBLS,3),IF(STM="M",VLOOKUP(J104,STXTBLM,3),IF(STM="H",VLOOKUP(J104,STXTBLUH,3),0)))</f>
        <v>0</v>
      </c>
      <c r="L128" t="s">
        <v>249</v>
      </c>
      <c r="M128" s="35">
        <v>0.11</v>
      </c>
      <c r="N128" s="36">
        <v>317</v>
      </c>
      <c r="O128" t="s">
        <v>209</v>
      </c>
      <c r="P128" s="75" t="s">
        <v>775</v>
      </c>
      <c r="Q128" s="77">
        <v>0.024</v>
      </c>
    </row>
    <row r="129" spans="12:17" ht="15.75">
      <c r="L129" t="s">
        <v>250</v>
      </c>
      <c r="M129" s="35">
        <v>0.11</v>
      </c>
      <c r="N129" s="36">
        <v>317</v>
      </c>
      <c r="O129" t="s">
        <v>9</v>
      </c>
      <c r="P129" s="75" t="s">
        <v>776</v>
      </c>
      <c r="Q129" s="77">
        <v>0.024</v>
      </c>
    </row>
    <row r="130" spans="9:17" ht="15.75">
      <c r="I130" s="2" t="s">
        <v>167</v>
      </c>
      <c r="K130" s="3"/>
      <c r="L130" t="s">
        <v>251</v>
      </c>
      <c r="M130" s="35">
        <v>0.135</v>
      </c>
      <c r="N130" s="36">
        <v>317</v>
      </c>
      <c r="O130" t="s">
        <v>209</v>
      </c>
      <c r="P130" s="75" t="s">
        <v>777</v>
      </c>
      <c r="Q130" s="77">
        <v>0.024</v>
      </c>
    </row>
    <row r="131" spans="9:17" ht="15.75">
      <c r="I131" s="2" t="s">
        <v>168</v>
      </c>
      <c r="J131" s="3">
        <f>(STG1-SBSA1)</f>
        <v>88739.59999999999</v>
      </c>
      <c r="K131" s="3"/>
      <c r="L131" t="s">
        <v>252</v>
      </c>
      <c r="M131" s="35">
        <v>0.135</v>
      </c>
      <c r="N131" s="36">
        <v>317</v>
      </c>
      <c r="O131" t="s">
        <v>9</v>
      </c>
      <c r="P131" s="75" t="s">
        <v>778</v>
      </c>
      <c r="Q131" s="77">
        <v>0.023</v>
      </c>
    </row>
    <row r="132" spans="9:17" ht="15.75">
      <c r="I132" s="2" t="s">
        <v>169</v>
      </c>
      <c r="J132" s="3">
        <f>(J100-J108)</f>
        <v>87539.59999999999</v>
      </c>
      <c r="K132" s="3"/>
      <c r="L132" t="s">
        <v>253</v>
      </c>
      <c r="M132" s="35">
        <v>0.1</v>
      </c>
      <c r="N132" s="36">
        <v>317</v>
      </c>
      <c r="O132" t="s">
        <v>9</v>
      </c>
      <c r="P132" s="75" t="s">
        <v>779</v>
      </c>
      <c r="Q132" s="77">
        <v>0.023</v>
      </c>
    </row>
    <row r="133" spans="9:17" ht="15.75">
      <c r="I133" s="2" t="s">
        <v>170</v>
      </c>
      <c r="J133" s="3">
        <f>(J101-J109)</f>
        <v>86339.59999999999</v>
      </c>
      <c r="K133" s="3"/>
      <c r="L133" t="s">
        <v>254</v>
      </c>
      <c r="M133" s="35">
        <v>0</v>
      </c>
      <c r="N133" s="36">
        <v>0</v>
      </c>
      <c r="O133" t="s">
        <v>9</v>
      </c>
      <c r="P133" s="75" t="s">
        <v>780</v>
      </c>
      <c r="Q133" s="77">
        <v>0.024</v>
      </c>
    </row>
    <row r="134" spans="9:17" ht="15.75">
      <c r="I134" s="2" t="s">
        <v>171</v>
      </c>
      <c r="J134" s="3">
        <f>(J102-J110)</f>
        <v>85139.59999999999</v>
      </c>
      <c r="K134" s="3"/>
      <c r="L134" t="s">
        <v>255</v>
      </c>
      <c r="M134" s="35">
        <v>0</v>
      </c>
      <c r="N134" s="36">
        <v>0</v>
      </c>
      <c r="O134" t="s">
        <v>9</v>
      </c>
      <c r="P134" s="75" t="s">
        <v>781</v>
      </c>
      <c r="Q134" s="77">
        <v>0.024</v>
      </c>
    </row>
    <row r="135" spans="9:17" ht="15.75">
      <c r="I135" s="2" t="s">
        <v>172</v>
      </c>
      <c r="J135" s="3">
        <f>(J103-J111)</f>
        <v>82739.59999999999</v>
      </c>
      <c r="K135" s="3"/>
      <c r="L135" t="s">
        <v>256</v>
      </c>
      <c r="M135" s="35">
        <v>0.06</v>
      </c>
      <c r="N135" s="36">
        <v>317</v>
      </c>
      <c r="O135" t="s">
        <v>9</v>
      </c>
      <c r="P135" s="75" t="s">
        <v>782</v>
      </c>
      <c r="Q135" s="77">
        <v>0.024</v>
      </c>
    </row>
    <row r="136" spans="9:17" ht="15.75">
      <c r="I136" s="2" t="s">
        <v>173</v>
      </c>
      <c r="J136" s="3">
        <f>(J104-J112)</f>
        <v>81239.59999999999</v>
      </c>
      <c r="L136" t="s">
        <v>257</v>
      </c>
      <c r="M136" s="35">
        <v>0.08</v>
      </c>
      <c r="N136" s="36">
        <v>513</v>
      </c>
      <c r="O136" t="s">
        <v>11</v>
      </c>
      <c r="P136" s="75" t="s">
        <v>783</v>
      </c>
      <c r="Q136" s="77">
        <v>0.035</v>
      </c>
    </row>
    <row r="137" spans="12:17" ht="15.75">
      <c r="L137" t="s">
        <v>258</v>
      </c>
      <c r="M137" s="35">
        <v>0.125</v>
      </c>
      <c r="N137" s="36">
        <v>513</v>
      </c>
      <c r="O137" t="s">
        <v>11</v>
      </c>
      <c r="P137" s="75" t="s">
        <v>784</v>
      </c>
      <c r="Q137" s="77">
        <v>0.02</v>
      </c>
    </row>
    <row r="138" spans="9:17" ht="15.75">
      <c r="I138" s="2" t="s">
        <v>174</v>
      </c>
      <c r="K138" s="3"/>
      <c r="L138" t="s">
        <v>259</v>
      </c>
      <c r="M138" s="35">
        <v>0.08</v>
      </c>
      <c r="N138" s="36">
        <v>513</v>
      </c>
      <c r="O138" t="s">
        <v>11</v>
      </c>
      <c r="P138" s="75" t="s">
        <v>785</v>
      </c>
      <c r="Q138" s="77">
        <v>0.035</v>
      </c>
    </row>
    <row r="139" spans="9:17" ht="15.75">
      <c r="I139" s="2" t="s">
        <v>175</v>
      </c>
      <c r="J139" s="3">
        <f>(SBST1+ROUND(SOVR1*SMTR1,5))</f>
        <v>4392.6102</v>
      </c>
      <c r="K139" s="3"/>
      <c r="L139" t="s">
        <v>260</v>
      </c>
      <c r="M139" s="35">
        <v>0.11</v>
      </c>
      <c r="N139" s="36">
        <v>317</v>
      </c>
      <c r="O139" t="s">
        <v>209</v>
      </c>
      <c r="P139" s="75" t="s">
        <v>786</v>
      </c>
      <c r="Q139" s="77">
        <v>0.035</v>
      </c>
    </row>
    <row r="140" spans="9:17" ht="15.75">
      <c r="I140" s="2" t="s">
        <v>176</v>
      </c>
      <c r="J140" s="3">
        <f>(J124+ROUND(J132*SMTR2,5))</f>
        <v>4333.2102</v>
      </c>
      <c r="K140" s="3"/>
      <c r="L140" t="s">
        <v>261</v>
      </c>
      <c r="M140" s="35">
        <v>0.11</v>
      </c>
      <c r="N140" s="36">
        <v>317</v>
      </c>
      <c r="O140" t="s">
        <v>9</v>
      </c>
      <c r="P140" s="75" t="s">
        <v>787</v>
      </c>
      <c r="Q140" s="77">
        <v>0.017</v>
      </c>
    </row>
    <row r="141" spans="9:17" ht="15.75">
      <c r="I141" s="2" t="s">
        <v>177</v>
      </c>
      <c r="J141" s="3">
        <f>(J125+ROUND(J133*SMTR3,5))</f>
        <v>4273.8102</v>
      </c>
      <c r="K141" s="3"/>
      <c r="L141" t="s">
        <v>262</v>
      </c>
      <c r="M141" s="35">
        <v>0.1</v>
      </c>
      <c r="N141" s="36">
        <v>513</v>
      </c>
      <c r="O141" t="s">
        <v>11</v>
      </c>
      <c r="P141" s="75" t="s">
        <v>788</v>
      </c>
      <c r="Q141" s="77">
        <v>0.04</v>
      </c>
    </row>
    <row r="142" spans="9:17" ht="15.75">
      <c r="I142" s="2" t="s">
        <v>178</v>
      </c>
      <c r="J142" s="3">
        <f>(J126+ROUND(J134*SMTR4,5))</f>
        <v>4214.4102</v>
      </c>
      <c r="K142" s="3"/>
      <c r="L142" t="s">
        <v>263</v>
      </c>
      <c r="M142" s="35">
        <v>0.1</v>
      </c>
      <c r="N142" s="36">
        <v>513</v>
      </c>
      <c r="O142" t="s">
        <v>11</v>
      </c>
      <c r="P142" s="75" t="s">
        <v>789</v>
      </c>
      <c r="Q142" s="77">
        <v>0.04</v>
      </c>
    </row>
    <row r="143" spans="9:17" ht="15.75">
      <c r="I143" s="2" t="s">
        <v>179</v>
      </c>
      <c r="J143" s="3">
        <f>(J127+ROUND(J135*SMTR5,5))</f>
        <v>4095.6102</v>
      </c>
      <c r="K143" s="3"/>
      <c r="L143" t="s">
        <v>264</v>
      </c>
      <c r="M143" s="35">
        <v>0.1</v>
      </c>
      <c r="N143" s="36">
        <v>513</v>
      </c>
      <c r="O143" t="s">
        <v>11</v>
      </c>
      <c r="P143" s="75" t="s">
        <v>790</v>
      </c>
      <c r="Q143" s="77">
        <v>0.044</v>
      </c>
    </row>
    <row r="144" spans="9:17" ht="15.75">
      <c r="I144" s="2" t="s">
        <v>180</v>
      </c>
      <c r="J144" s="3">
        <f>(J128+ROUND(J136*SMTR6,5))</f>
        <v>4021.3602</v>
      </c>
      <c r="L144" t="s">
        <v>265</v>
      </c>
      <c r="M144" s="35">
        <v>0.1</v>
      </c>
      <c r="N144" s="36">
        <v>513</v>
      </c>
      <c r="O144" t="s">
        <v>11</v>
      </c>
      <c r="P144" s="75" t="s">
        <v>791</v>
      </c>
      <c r="Q144" s="77">
        <v>0.02</v>
      </c>
    </row>
    <row r="145" spans="12:17" ht="15.75">
      <c r="L145" t="s">
        <v>266</v>
      </c>
      <c r="M145" s="35">
        <v>0.1</v>
      </c>
      <c r="N145" s="36">
        <v>513</v>
      </c>
      <c r="O145" t="s">
        <v>11</v>
      </c>
      <c r="P145" s="75" t="s">
        <v>792</v>
      </c>
      <c r="Q145" s="77">
        <v>0.021</v>
      </c>
    </row>
    <row r="146" spans="9:17" ht="15.75">
      <c r="I146" s="2" t="s">
        <v>181</v>
      </c>
      <c r="K146" s="3"/>
      <c r="L146" t="s">
        <v>267</v>
      </c>
      <c r="M146" s="35">
        <v>0.1</v>
      </c>
      <c r="N146" s="36">
        <v>513</v>
      </c>
      <c r="O146" t="s">
        <v>11</v>
      </c>
      <c r="P146" s="75" t="s">
        <v>793</v>
      </c>
      <c r="Q146" s="77">
        <v>0.035</v>
      </c>
    </row>
    <row r="147" spans="9:17" ht="15.75">
      <c r="I147" s="2" t="s">
        <v>182</v>
      </c>
      <c r="J147" s="3">
        <f>IF(OR(TG1*PAYFACT&lt;=LIE,(STA1-TXCREDIT)/PAYFACT&lt;=0),0,IF(STA1-TXCREDIT/PAYFACT&gt;0,ROUND((STA1-TXCREDIT)/PAYFACT,2)))</f>
        <v>366.05</v>
      </c>
      <c r="K147" s="3"/>
      <c r="L147" t="s">
        <v>268</v>
      </c>
      <c r="M147" s="35">
        <v>0.08</v>
      </c>
      <c r="N147" s="36">
        <v>513</v>
      </c>
      <c r="O147" t="s">
        <v>11</v>
      </c>
      <c r="P147" s="75" t="s">
        <v>794</v>
      </c>
      <c r="Q147" s="77">
        <v>0.041</v>
      </c>
    </row>
    <row r="148" spans="9:17" ht="15.75">
      <c r="I148" s="2" t="s">
        <v>183</v>
      </c>
      <c r="J148" s="3">
        <f>IF(OR(TG2*PAYFACT&lt;=LIE,(J140-TXCREDIT)/PAYFACT&lt;=0),0,IF(J140-TXCREDIT/PAYFACT&gt;0,ROUND((J140-TXCREDIT)/PAYFACT,2)))</f>
        <v>361.1</v>
      </c>
      <c r="K148" s="3"/>
      <c r="L148" t="s">
        <v>269</v>
      </c>
      <c r="M148" s="35">
        <v>0.1</v>
      </c>
      <c r="N148" s="36">
        <v>513</v>
      </c>
      <c r="O148" t="s">
        <v>11</v>
      </c>
      <c r="P148" s="75" t="s">
        <v>795</v>
      </c>
      <c r="Q148" s="77">
        <v>0.034</v>
      </c>
    </row>
    <row r="149" spans="9:17" ht="15.75">
      <c r="I149" s="2" t="s">
        <v>184</v>
      </c>
      <c r="J149" s="3">
        <f>IF(OR(TG3*PAYFACT&lt;=LIE,(J141-TXCREDIT)/PAYFACT&lt;=0),0,IF(J141-TXCREDIT/PAYFACT&gt;0,ROUND((J141-TXCREDIT)/PAYFACT,2)))</f>
        <v>356.15</v>
      </c>
      <c r="K149" s="3"/>
      <c r="L149" t="s">
        <v>270</v>
      </c>
      <c r="M149" s="35">
        <v>0.09</v>
      </c>
      <c r="N149" s="36">
        <v>317</v>
      </c>
      <c r="O149" t="s">
        <v>209</v>
      </c>
      <c r="P149" s="75" t="s">
        <v>796</v>
      </c>
      <c r="Q149" s="77">
        <v>0.035</v>
      </c>
    </row>
    <row r="150" spans="9:17" ht="15.75">
      <c r="I150" s="2" t="s">
        <v>185</v>
      </c>
      <c r="J150" s="3">
        <f>IF(OR(TG4*PAYFACT&lt;=LIE,(J142-TXCREDIT)/PAYFACT&lt;=0),0,IF(J142-TXCREDIT/PAYFACT&gt;0,ROUND((J142-TXCREDIT)/PAYFACT,2)))</f>
        <v>351.2</v>
      </c>
      <c r="K150" s="3"/>
      <c r="L150" t="s">
        <v>271</v>
      </c>
      <c r="M150" s="35">
        <v>0.1</v>
      </c>
      <c r="N150" s="36">
        <v>513</v>
      </c>
      <c r="O150" t="s">
        <v>11</v>
      </c>
      <c r="P150" s="75" t="s">
        <v>797</v>
      </c>
      <c r="Q150" s="77">
        <v>0.035</v>
      </c>
    </row>
    <row r="151" spans="9:17" ht="15.75">
      <c r="I151" s="2" t="s">
        <v>186</v>
      </c>
      <c r="J151" s="3">
        <f>IF(OR(TG5*PAYFACT&lt;=LIE,(J143-TXCREDIT)/PAYFACT&lt;=0),0,IF(J143-TXCREDIT/PAYFACT&gt;0,ROUND((J143-TXCREDIT)/PAYFACT,2)))</f>
        <v>341.3</v>
      </c>
      <c r="K151" s="3"/>
      <c r="L151" t="s">
        <v>272</v>
      </c>
      <c r="M151" s="35">
        <v>0.08</v>
      </c>
      <c r="N151" s="36">
        <v>513</v>
      </c>
      <c r="O151" t="s">
        <v>11</v>
      </c>
      <c r="P151" s="75" t="s">
        <v>798</v>
      </c>
      <c r="Q151" s="77">
        <v>0.014</v>
      </c>
    </row>
    <row r="152" spans="9:17" ht="15.75">
      <c r="I152" s="2" t="s">
        <v>187</v>
      </c>
      <c r="J152" s="3">
        <f>IF(OR(TG6*PAYFACT&lt;=LIE,(J144-TXCREDIT)/PAYFACT&lt;=0),0,IF(J144-TXCREDIT/PAYFACT&gt;0,ROUND((J144-TXCREDIT)/PAYFACT,2)))</f>
        <v>335.11</v>
      </c>
      <c r="L152" t="s">
        <v>273</v>
      </c>
      <c r="M152" s="35">
        <v>0.08</v>
      </c>
      <c r="N152" s="36">
        <v>0</v>
      </c>
      <c r="O152" t="s">
        <v>11</v>
      </c>
      <c r="P152" s="75" t="s">
        <v>799</v>
      </c>
      <c r="Q152" s="77">
        <v>0.035</v>
      </c>
    </row>
    <row r="153" spans="12:17" ht="15.75">
      <c r="L153" t="s">
        <v>274</v>
      </c>
      <c r="M153" s="35">
        <v>0.125</v>
      </c>
      <c r="N153" s="36">
        <v>513</v>
      </c>
      <c r="O153" t="s">
        <v>11</v>
      </c>
      <c r="P153" s="75" t="s">
        <v>800</v>
      </c>
      <c r="Q153" s="77">
        <v>0.045</v>
      </c>
    </row>
    <row r="154" spans="11:17" ht="15.75">
      <c r="K154" s="3"/>
      <c r="L154" t="s">
        <v>275</v>
      </c>
      <c r="M154" s="35">
        <v>0.08</v>
      </c>
      <c r="N154" s="36">
        <v>513</v>
      </c>
      <c r="O154" t="s">
        <v>11</v>
      </c>
      <c r="P154" s="75" t="s">
        <v>801</v>
      </c>
      <c r="Q154" s="77">
        <v>0.03</v>
      </c>
    </row>
    <row r="155" spans="11:17" ht="15.75">
      <c r="K155" s="3"/>
      <c r="L155" t="s">
        <v>276</v>
      </c>
      <c r="M155" s="35">
        <v>0.1</v>
      </c>
      <c r="N155" s="36">
        <v>317</v>
      </c>
      <c r="O155" t="s">
        <v>209</v>
      </c>
      <c r="P155" s="75" t="s">
        <v>802</v>
      </c>
      <c r="Q155" s="77">
        <v>0.035</v>
      </c>
    </row>
    <row r="156" spans="11:17" ht="15.75">
      <c r="K156" s="3"/>
      <c r="L156" t="s">
        <v>277</v>
      </c>
      <c r="M156" s="35">
        <v>0.08</v>
      </c>
      <c r="N156" s="36">
        <v>513</v>
      </c>
      <c r="O156" t="s">
        <v>11</v>
      </c>
      <c r="P156" s="75" t="s">
        <v>803</v>
      </c>
      <c r="Q156" s="77">
        <v>0.035</v>
      </c>
    </row>
    <row r="157" spans="11:17" ht="15.75">
      <c r="K157" s="3"/>
      <c r="L157" t="s">
        <v>278</v>
      </c>
      <c r="M157" s="35">
        <v>0.09</v>
      </c>
      <c r="N157" s="36">
        <v>317</v>
      </c>
      <c r="O157" t="s">
        <v>209</v>
      </c>
      <c r="P157" s="75" t="s">
        <v>804</v>
      </c>
      <c r="Q157" s="77">
        <v>0</v>
      </c>
    </row>
    <row r="158" spans="11:17" ht="15.75">
      <c r="K158" s="3"/>
      <c r="L158" t="s">
        <v>279</v>
      </c>
      <c r="M158" s="35">
        <v>0.09</v>
      </c>
      <c r="N158" s="36">
        <v>317</v>
      </c>
      <c r="O158" t="s">
        <v>9</v>
      </c>
      <c r="P158" s="75" t="s">
        <v>805</v>
      </c>
      <c r="Q158" s="77">
        <v>0.035</v>
      </c>
    </row>
    <row r="159" spans="11:17" ht="15.75">
      <c r="K159" s="3"/>
      <c r="L159" t="s">
        <v>280</v>
      </c>
      <c r="M159" s="35">
        <v>0.06</v>
      </c>
      <c r="N159" s="36">
        <v>317</v>
      </c>
      <c r="O159" t="s">
        <v>209</v>
      </c>
      <c r="P159" s="75" t="s">
        <v>806</v>
      </c>
      <c r="Q159" s="77">
        <v>0.02</v>
      </c>
    </row>
    <row r="160" spans="12:17" ht="15.75">
      <c r="L160" t="s">
        <v>281</v>
      </c>
      <c r="M160" s="35">
        <v>0.09</v>
      </c>
      <c r="N160" s="36">
        <v>317</v>
      </c>
      <c r="O160" t="s">
        <v>9</v>
      </c>
      <c r="P160" s="75" t="s">
        <v>807</v>
      </c>
      <c r="Q160" s="77">
        <v>0.035</v>
      </c>
    </row>
    <row r="161" spans="12:17" ht="15.75">
      <c r="L161" t="s">
        <v>282</v>
      </c>
      <c r="M161" s="35">
        <v>0.09</v>
      </c>
      <c r="N161" s="36">
        <v>513</v>
      </c>
      <c r="O161" t="s">
        <v>11</v>
      </c>
      <c r="P161" s="75" t="s">
        <v>808</v>
      </c>
      <c r="Q161" s="77">
        <v>0.035</v>
      </c>
    </row>
    <row r="162" spans="11:17" ht="15.75">
      <c r="K162" s="3"/>
      <c r="L162" t="s">
        <v>283</v>
      </c>
      <c r="M162" s="35">
        <v>0.08</v>
      </c>
      <c r="N162" s="36">
        <v>513</v>
      </c>
      <c r="O162" t="s">
        <v>11</v>
      </c>
      <c r="P162" s="75" t="s">
        <v>809</v>
      </c>
      <c r="Q162" s="77">
        <v>0.017</v>
      </c>
    </row>
    <row r="163" spans="11:17" ht="15.75">
      <c r="K163" s="3"/>
      <c r="L163" t="s">
        <v>284</v>
      </c>
      <c r="M163" s="35">
        <v>0.08</v>
      </c>
      <c r="N163" s="36">
        <v>513</v>
      </c>
      <c r="O163" t="s">
        <v>11</v>
      </c>
      <c r="P163" s="75" t="s">
        <v>810</v>
      </c>
      <c r="Q163" s="77">
        <v>0.04</v>
      </c>
    </row>
    <row r="164" spans="11:17" ht="15.75">
      <c r="K164" s="3"/>
      <c r="L164" t="s">
        <v>285</v>
      </c>
      <c r="M164" s="35">
        <v>0.05</v>
      </c>
      <c r="N164" s="36">
        <v>513</v>
      </c>
      <c r="O164" t="s">
        <v>11</v>
      </c>
      <c r="P164" s="75" t="s">
        <v>811</v>
      </c>
      <c r="Q164" s="77">
        <v>0.04</v>
      </c>
    </row>
    <row r="165" spans="11:17" ht="15.75">
      <c r="K165" s="3"/>
      <c r="L165" t="s">
        <v>286</v>
      </c>
      <c r="M165" s="35">
        <v>0.105</v>
      </c>
      <c r="N165" s="36">
        <v>317</v>
      </c>
      <c r="O165" t="s">
        <v>209</v>
      </c>
      <c r="P165" s="75" t="s">
        <v>812</v>
      </c>
      <c r="Q165" s="77">
        <v>0.044</v>
      </c>
    </row>
    <row r="166" spans="11:17" ht="15.75">
      <c r="K166" s="3"/>
      <c r="L166" t="s">
        <v>287</v>
      </c>
      <c r="M166" s="35">
        <v>0.08</v>
      </c>
      <c r="N166" s="36">
        <v>238</v>
      </c>
      <c r="O166" t="s">
        <v>209</v>
      </c>
      <c r="P166" s="75" t="s">
        <v>813</v>
      </c>
      <c r="Q166" s="77">
        <v>0.02</v>
      </c>
    </row>
    <row r="167" spans="11:17" ht="15.75">
      <c r="K167" s="3"/>
      <c r="L167" t="s">
        <v>288</v>
      </c>
      <c r="M167" s="35">
        <v>0.08</v>
      </c>
      <c r="N167" s="36">
        <v>238</v>
      </c>
      <c r="O167" t="s">
        <v>9</v>
      </c>
      <c r="P167" s="75" t="s">
        <v>814</v>
      </c>
      <c r="Q167" s="77">
        <v>0.021</v>
      </c>
    </row>
    <row r="168" spans="12:17" ht="15.75">
      <c r="L168" t="s">
        <v>289</v>
      </c>
      <c r="M168" s="35">
        <v>0.01</v>
      </c>
      <c r="N168" s="36">
        <v>317</v>
      </c>
      <c r="O168" t="s">
        <v>9</v>
      </c>
      <c r="P168" s="75" t="s">
        <v>815</v>
      </c>
      <c r="Q168" s="77">
        <v>0.035</v>
      </c>
    </row>
    <row r="169" spans="12:17" ht="15.75">
      <c r="L169" t="s">
        <v>290</v>
      </c>
      <c r="M169" s="35">
        <v>0.06</v>
      </c>
      <c r="N169" s="36">
        <v>238</v>
      </c>
      <c r="O169" t="s">
        <v>209</v>
      </c>
      <c r="P169" s="75" t="s">
        <v>816</v>
      </c>
      <c r="Q169" s="77">
        <v>0.041</v>
      </c>
    </row>
    <row r="170" spans="11:17" ht="15.75">
      <c r="K170" s="3"/>
      <c r="L170" t="s">
        <v>291</v>
      </c>
      <c r="M170" s="35">
        <v>0.115</v>
      </c>
      <c r="N170" s="36">
        <v>513</v>
      </c>
      <c r="O170" t="s">
        <v>9</v>
      </c>
      <c r="P170" s="75" t="s">
        <v>817</v>
      </c>
      <c r="Q170" s="77">
        <v>0.034</v>
      </c>
    </row>
    <row r="171" spans="11:17" ht="15.75">
      <c r="K171" s="3"/>
      <c r="L171" t="s">
        <v>292</v>
      </c>
      <c r="M171" s="35">
        <v>0.08</v>
      </c>
      <c r="N171" s="36">
        <v>863</v>
      </c>
      <c r="O171" t="s">
        <v>209</v>
      </c>
      <c r="P171" s="75" t="s">
        <v>818</v>
      </c>
      <c r="Q171" s="77">
        <v>0.035</v>
      </c>
    </row>
    <row r="172" spans="11:17" ht="15.75">
      <c r="K172" s="3"/>
      <c r="L172" t="s">
        <v>293</v>
      </c>
      <c r="M172" s="35">
        <v>0.08</v>
      </c>
      <c r="N172" s="36">
        <v>238</v>
      </c>
      <c r="O172" t="s">
        <v>209</v>
      </c>
      <c r="P172" s="75" t="s">
        <v>819</v>
      </c>
      <c r="Q172" s="77">
        <v>0.035</v>
      </c>
    </row>
    <row r="173" spans="11:17" ht="15.75">
      <c r="K173" s="3"/>
      <c r="L173" t="s">
        <v>294</v>
      </c>
      <c r="M173" s="35">
        <v>0.13</v>
      </c>
      <c r="N173" s="36">
        <v>863</v>
      </c>
      <c r="O173" t="s">
        <v>209</v>
      </c>
      <c r="P173" s="75" t="s">
        <v>820</v>
      </c>
      <c r="Q173" s="77">
        <v>0.014</v>
      </c>
    </row>
    <row r="174" spans="11:17" ht="15.75">
      <c r="K174" s="3"/>
      <c r="L174" t="s">
        <v>295</v>
      </c>
      <c r="M174" s="35">
        <v>0.13</v>
      </c>
      <c r="N174" s="36">
        <v>863</v>
      </c>
      <c r="O174" t="s">
        <v>9</v>
      </c>
      <c r="P174" s="75" t="s">
        <v>821</v>
      </c>
      <c r="Q174" s="77">
        <v>0.035</v>
      </c>
    </row>
    <row r="175" spans="11:17" ht="15.75">
      <c r="K175" s="3"/>
      <c r="L175" t="s">
        <v>296</v>
      </c>
      <c r="M175" s="35">
        <v>0.13</v>
      </c>
      <c r="N175" s="36">
        <v>863</v>
      </c>
      <c r="O175" t="s">
        <v>209</v>
      </c>
      <c r="P175" s="75" t="s">
        <v>822</v>
      </c>
      <c r="Q175" s="77">
        <v>0.045</v>
      </c>
    </row>
    <row r="176" spans="12:17" ht="15.75">
      <c r="L176" t="s">
        <v>297</v>
      </c>
      <c r="M176" s="35">
        <v>0.13</v>
      </c>
      <c r="N176" s="36">
        <v>863</v>
      </c>
      <c r="O176" t="s">
        <v>9</v>
      </c>
      <c r="P176" s="75" t="s">
        <v>823</v>
      </c>
      <c r="Q176" s="77">
        <v>0.03</v>
      </c>
    </row>
    <row r="177" spans="12:17" ht="15.75">
      <c r="L177" t="s">
        <v>298</v>
      </c>
      <c r="M177" s="35">
        <v>0.13</v>
      </c>
      <c r="N177" s="36">
        <v>863</v>
      </c>
      <c r="O177" t="s">
        <v>209</v>
      </c>
      <c r="P177" s="75" t="s">
        <v>824</v>
      </c>
      <c r="Q177" s="77">
        <v>0.035</v>
      </c>
    </row>
    <row r="178" spans="12:17" ht="15.75">
      <c r="L178" t="s">
        <v>299</v>
      </c>
      <c r="M178" s="35">
        <v>0.13</v>
      </c>
      <c r="N178" s="36">
        <v>863</v>
      </c>
      <c r="O178" t="s">
        <v>9</v>
      </c>
      <c r="P178" s="75" t="s">
        <v>825</v>
      </c>
      <c r="Q178" s="77">
        <v>0.035</v>
      </c>
    </row>
    <row r="179" spans="12:17" ht="15.75">
      <c r="L179" t="s">
        <v>300</v>
      </c>
      <c r="M179" s="35">
        <v>0.1325</v>
      </c>
      <c r="N179" s="36">
        <v>0</v>
      </c>
      <c r="O179" t="s">
        <v>209</v>
      </c>
      <c r="P179" s="75" t="s">
        <v>826</v>
      </c>
      <c r="Q179" s="77">
        <v>0.035</v>
      </c>
    </row>
    <row r="180" spans="12:17" ht="15.75">
      <c r="L180" t="s">
        <v>301</v>
      </c>
      <c r="M180" s="35">
        <v>0.1325</v>
      </c>
      <c r="N180" s="36">
        <v>0</v>
      </c>
      <c r="O180" t="s">
        <v>9</v>
      </c>
      <c r="P180" s="75" t="s">
        <v>827</v>
      </c>
      <c r="Q180" s="77">
        <v>0.02</v>
      </c>
    </row>
    <row r="181" spans="12:17" ht="15.75">
      <c r="L181" t="s">
        <v>302</v>
      </c>
      <c r="M181" s="35">
        <v>0.08</v>
      </c>
      <c r="N181" s="36">
        <v>513</v>
      </c>
      <c r="O181" t="s">
        <v>209</v>
      </c>
      <c r="P181" s="75" t="s">
        <v>828</v>
      </c>
      <c r="Q181" s="77">
        <v>0.035</v>
      </c>
    </row>
    <row r="182" spans="12:17" ht="15.75">
      <c r="L182" t="s">
        <v>303</v>
      </c>
      <c r="M182" s="35">
        <v>0.08</v>
      </c>
      <c r="N182" s="36">
        <v>513</v>
      </c>
      <c r="O182" t="s">
        <v>9</v>
      </c>
      <c r="P182" s="75" t="s">
        <v>829</v>
      </c>
      <c r="Q182" s="77">
        <v>0.035</v>
      </c>
    </row>
    <row r="183" spans="12:17" ht="15.75">
      <c r="L183" t="s">
        <v>304</v>
      </c>
      <c r="M183" s="35">
        <v>0.11</v>
      </c>
      <c r="N183" s="36">
        <v>863</v>
      </c>
      <c r="O183" t="s">
        <v>209</v>
      </c>
      <c r="P183" s="75" t="s">
        <v>830</v>
      </c>
      <c r="Q183" s="77">
        <v>0.017</v>
      </c>
    </row>
    <row r="184" spans="12:17" ht="15.75">
      <c r="L184" t="s">
        <v>305</v>
      </c>
      <c r="M184" s="35">
        <v>0.13</v>
      </c>
      <c r="N184" s="36">
        <v>863</v>
      </c>
      <c r="O184" t="s">
        <v>9</v>
      </c>
      <c r="P184" s="75" t="s">
        <v>831</v>
      </c>
      <c r="Q184" s="77">
        <v>0.04</v>
      </c>
    </row>
    <row r="185" spans="12:17" ht="15.75">
      <c r="L185" t="s">
        <v>306</v>
      </c>
      <c r="M185" s="35">
        <v>0.08</v>
      </c>
      <c r="N185" s="36">
        <v>238</v>
      </c>
      <c r="O185" t="s">
        <v>209</v>
      </c>
      <c r="P185" s="75" t="s">
        <v>832</v>
      </c>
      <c r="Q185" s="77">
        <v>0.04</v>
      </c>
    </row>
    <row r="186" spans="12:17" ht="15.75">
      <c r="L186" t="s">
        <v>307</v>
      </c>
      <c r="M186" s="35">
        <v>0.08</v>
      </c>
      <c r="N186" s="36">
        <v>238</v>
      </c>
      <c r="O186" t="s">
        <v>9</v>
      </c>
      <c r="P186" s="75" t="s">
        <v>833</v>
      </c>
      <c r="Q186" s="77">
        <v>0.044</v>
      </c>
    </row>
    <row r="187" spans="12:17" ht="15.75">
      <c r="L187" t="s">
        <v>308</v>
      </c>
      <c r="M187" s="35">
        <v>0.08</v>
      </c>
      <c r="N187" s="36">
        <v>238</v>
      </c>
      <c r="O187" t="s">
        <v>209</v>
      </c>
      <c r="P187" s="75" t="s">
        <v>834</v>
      </c>
      <c r="Q187" s="77">
        <v>0.02</v>
      </c>
    </row>
    <row r="188" spans="12:17" ht="15.75">
      <c r="L188" t="s">
        <v>309</v>
      </c>
      <c r="M188" s="35">
        <v>0.08</v>
      </c>
      <c r="N188" s="36">
        <v>238</v>
      </c>
      <c r="O188" t="s">
        <v>9</v>
      </c>
      <c r="P188" s="75" t="s">
        <v>835</v>
      </c>
      <c r="Q188" s="77">
        <v>0.021</v>
      </c>
    </row>
    <row r="189" spans="12:17" ht="15.75">
      <c r="L189" t="s">
        <v>310</v>
      </c>
      <c r="M189" s="35">
        <v>0.125</v>
      </c>
      <c r="N189" s="36">
        <v>863</v>
      </c>
      <c r="O189" t="s">
        <v>209</v>
      </c>
      <c r="P189" s="75" t="s">
        <v>836</v>
      </c>
      <c r="Q189" s="77">
        <v>0.035</v>
      </c>
    </row>
    <row r="190" spans="12:17" ht="15.75">
      <c r="L190" t="s">
        <v>311</v>
      </c>
      <c r="M190" s="35">
        <v>0.13</v>
      </c>
      <c r="N190" s="36">
        <v>863</v>
      </c>
      <c r="O190" t="s">
        <v>9</v>
      </c>
      <c r="P190" s="75" t="s">
        <v>837</v>
      </c>
      <c r="Q190" s="77">
        <v>0.041</v>
      </c>
    </row>
    <row r="191" spans="12:17" ht="15.75">
      <c r="L191" t="s">
        <v>312</v>
      </c>
      <c r="M191" s="35">
        <v>0.125</v>
      </c>
      <c r="N191" s="36">
        <v>863</v>
      </c>
      <c r="O191" t="s">
        <v>209</v>
      </c>
      <c r="P191" s="75" t="s">
        <v>838</v>
      </c>
      <c r="Q191" s="77">
        <v>0.034</v>
      </c>
    </row>
    <row r="192" spans="12:17" ht="15.75">
      <c r="L192" t="s">
        <v>313</v>
      </c>
      <c r="M192" s="35">
        <v>0.125</v>
      </c>
      <c r="N192" s="36">
        <v>863</v>
      </c>
      <c r="O192" t="s">
        <v>9</v>
      </c>
      <c r="P192" s="75" t="s">
        <v>839</v>
      </c>
      <c r="Q192" s="77">
        <v>0.035</v>
      </c>
    </row>
    <row r="193" spans="12:17" ht="15.75">
      <c r="L193" t="s">
        <v>314</v>
      </c>
      <c r="M193" s="35">
        <v>0.1325</v>
      </c>
      <c r="N193" s="36">
        <v>0</v>
      </c>
      <c r="O193" t="s">
        <v>209</v>
      </c>
      <c r="P193" s="75" t="s">
        <v>840</v>
      </c>
      <c r="Q193" s="77">
        <v>0.035</v>
      </c>
    </row>
    <row r="194" spans="12:17" ht="15.75">
      <c r="L194" t="s">
        <v>315</v>
      </c>
      <c r="M194" s="35">
        <v>0.1</v>
      </c>
      <c r="N194" s="36">
        <v>513</v>
      </c>
      <c r="O194" t="s">
        <v>209</v>
      </c>
      <c r="P194" s="75" t="s">
        <v>841</v>
      </c>
      <c r="Q194" s="77">
        <v>0.014</v>
      </c>
    </row>
    <row r="195" spans="12:17" ht="15.75">
      <c r="L195" t="s">
        <v>316</v>
      </c>
      <c r="M195" s="35">
        <v>0.13</v>
      </c>
      <c r="N195" s="36">
        <v>513</v>
      </c>
      <c r="O195" t="s">
        <v>9</v>
      </c>
      <c r="P195" s="75" t="s">
        <v>842</v>
      </c>
      <c r="Q195" s="77">
        <v>0.035</v>
      </c>
    </row>
    <row r="196" spans="12:17" ht="15.75">
      <c r="L196" t="s">
        <v>317</v>
      </c>
      <c r="M196" s="35">
        <v>0.1325</v>
      </c>
      <c r="N196" s="36">
        <v>0</v>
      </c>
      <c r="O196" t="s">
        <v>9</v>
      </c>
      <c r="P196" s="75" t="s">
        <v>843</v>
      </c>
      <c r="Q196" s="77">
        <v>0.045</v>
      </c>
    </row>
    <row r="197" spans="12:17" ht="15.75">
      <c r="L197" t="s">
        <v>318</v>
      </c>
      <c r="M197" s="35">
        <v>0.105</v>
      </c>
      <c r="N197" s="36">
        <v>317</v>
      </c>
      <c r="O197" t="s">
        <v>209</v>
      </c>
      <c r="P197" s="75" t="s">
        <v>844</v>
      </c>
      <c r="Q197" s="77">
        <v>0.03</v>
      </c>
    </row>
    <row r="198" spans="12:17" ht="15.75">
      <c r="L198" t="s">
        <v>319</v>
      </c>
      <c r="M198" s="35">
        <v>0.0375</v>
      </c>
      <c r="N198" s="36">
        <v>0</v>
      </c>
      <c r="O198" t="s">
        <v>11</v>
      </c>
      <c r="P198" s="75" t="s">
        <v>845</v>
      </c>
      <c r="Q198" s="77">
        <v>0.035</v>
      </c>
    </row>
    <row r="199" spans="12:17" ht="15.75">
      <c r="L199" t="s">
        <v>320</v>
      </c>
      <c r="M199" s="35">
        <v>0.06</v>
      </c>
      <c r="N199" s="36">
        <v>317</v>
      </c>
      <c r="O199" t="s">
        <v>9</v>
      </c>
      <c r="P199" s="75" t="s">
        <v>846</v>
      </c>
      <c r="Q199" s="77">
        <v>0.035</v>
      </c>
    </row>
    <row r="200" spans="12:15" ht="15.75">
      <c r="L200" t="s">
        <v>321</v>
      </c>
      <c r="M200" s="35">
        <v>0.05</v>
      </c>
      <c r="N200" s="36">
        <v>513</v>
      </c>
      <c r="O200" t="s">
        <v>11</v>
      </c>
    </row>
    <row r="201" spans="12:15" ht="15.75">
      <c r="L201" t="s">
        <v>322</v>
      </c>
      <c r="M201" s="35">
        <v>0.0375</v>
      </c>
      <c r="N201" s="36">
        <v>0</v>
      </c>
      <c r="O201" t="s">
        <v>11</v>
      </c>
    </row>
    <row r="202" spans="12:15" ht="15.75">
      <c r="L202" t="s">
        <v>323</v>
      </c>
      <c r="M202" s="35">
        <v>0.08</v>
      </c>
      <c r="N202" s="36">
        <v>513</v>
      </c>
      <c r="O202" t="s">
        <v>11</v>
      </c>
    </row>
    <row r="203" spans="12:15" ht="15.75">
      <c r="L203" t="s">
        <v>324</v>
      </c>
      <c r="M203" s="35">
        <v>0.06</v>
      </c>
      <c r="N203" s="36">
        <v>317</v>
      </c>
      <c r="O203" t="s">
        <v>209</v>
      </c>
    </row>
    <row r="204" spans="12:15" ht="15.75">
      <c r="L204" t="s">
        <v>325</v>
      </c>
      <c r="M204" s="35">
        <v>0.0375</v>
      </c>
      <c r="N204" s="36">
        <v>0</v>
      </c>
      <c r="O204" t="s">
        <v>11</v>
      </c>
    </row>
    <row r="205" spans="12:15" ht="15.75">
      <c r="L205" t="s">
        <v>326</v>
      </c>
      <c r="M205" s="35">
        <v>0.06</v>
      </c>
      <c r="N205" s="36">
        <v>317</v>
      </c>
      <c r="O205" t="s">
        <v>9</v>
      </c>
    </row>
    <row r="206" spans="12:15" ht="15.75">
      <c r="L206" t="s">
        <v>327</v>
      </c>
      <c r="M206" s="35">
        <v>0.09</v>
      </c>
      <c r="N206" s="36">
        <v>513</v>
      </c>
      <c r="O206" t="s">
        <v>11</v>
      </c>
    </row>
    <row r="207" spans="12:15" ht="15.75">
      <c r="L207" t="s">
        <v>328</v>
      </c>
      <c r="M207" s="35">
        <v>0.08</v>
      </c>
      <c r="N207" s="36">
        <v>513</v>
      </c>
      <c r="O207" t="s">
        <v>11</v>
      </c>
    </row>
    <row r="208" spans="12:15" ht="15.75">
      <c r="L208" t="s">
        <v>329</v>
      </c>
      <c r="M208" s="35">
        <v>0.08</v>
      </c>
      <c r="N208" s="36">
        <v>513</v>
      </c>
      <c r="O208" t="s">
        <v>11</v>
      </c>
    </row>
    <row r="209" spans="12:15" ht="15.75">
      <c r="L209" t="s">
        <v>330</v>
      </c>
      <c r="M209" s="35">
        <v>0.06</v>
      </c>
      <c r="N209" s="36">
        <v>317</v>
      </c>
      <c r="O209" t="s">
        <v>209</v>
      </c>
    </row>
    <row r="210" spans="12:15" ht="15.75">
      <c r="L210" t="s">
        <v>331</v>
      </c>
      <c r="M210" s="35">
        <v>0.0375</v>
      </c>
      <c r="N210" s="36">
        <v>0</v>
      </c>
      <c r="O210" t="s">
        <v>11</v>
      </c>
    </row>
    <row r="211" spans="12:15" ht="15.75">
      <c r="L211" t="s">
        <v>332</v>
      </c>
      <c r="M211" s="35">
        <v>0.0375</v>
      </c>
      <c r="N211" s="36">
        <v>0</v>
      </c>
      <c r="O211" t="s">
        <v>11</v>
      </c>
    </row>
    <row r="212" spans="12:15" ht="15.75">
      <c r="L212" t="s">
        <v>333</v>
      </c>
      <c r="M212" s="35">
        <v>0.0375</v>
      </c>
      <c r="N212" s="36">
        <v>0</v>
      </c>
      <c r="O212" t="s">
        <v>11</v>
      </c>
    </row>
    <row r="213" spans="12:15" ht="15.75">
      <c r="L213" t="s">
        <v>334</v>
      </c>
      <c r="M213" s="35">
        <v>0.09</v>
      </c>
      <c r="N213" s="36">
        <v>513</v>
      </c>
      <c r="O213" t="s">
        <v>11</v>
      </c>
    </row>
    <row r="214" spans="12:15" ht="15.75">
      <c r="L214" t="s">
        <v>335</v>
      </c>
      <c r="M214" s="35">
        <v>0.09</v>
      </c>
      <c r="N214" s="36">
        <v>513</v>
      </c>
      <c r="O214" t="s">
        <v>11</v>
      </c>
    </row>
    <row r="215" spans="12:15" ht="15.75">
      <c r="L215" t="s">
        <v>336</v>
      </c>
      <c r="M215" s="35">
        <v>0.03</v>
      </c>
      <c r="N215" s="36">
        <v>513</v>
      </c>
      <c r="O215" t="s">
        <v>11</v>
      </c>
    </row>
    <row r="216" spans="12:15" ht="15.75">
      <c r="L216" t="s">
        <v>337</v>
      </c>
      <c r="M216" s="35">
        <v>0.07</v>
      </c>
      <c r="N216" s="36">
        <v>317</v>
      </c>
      <c r="O216" t="s">
        <v>209</v>
      </c>
    </row>
    <row r="217" spans="12:15" ht="15.75">
      <c r="L217" t="s">
        <v>338</v>
      </c>
      <c r="M217" s="35">
        <v>0.08</v>
      </c>
      <c r="N217" s="36">
        <v>513</v>
      </c>
      <c r="O217" t="s">
        <v>11</v>
      </c>
    </row>
    <row r="218" spans="12:15" ht="15.75">
      <c r="L218" t="s">
        <v>339</v>
      </c>
      <c r="M218" s="35">
        <v>0.11</v>
      </c>
      <c r="N218" s="36">
        <v>317</v>
      </c>
      <c r="O218" t="s">
        <v>209</v>
      </c>
    </row>
    <row r="219" spans="12:15" ht="15.75">
      <c r="L219" t="s">
        <v>340</v>
      </c>
      <c r="M219" s="35">
        <v>0.11</v>
      </c>
      <c r="N219" s="36">
        <v>317</v>
      </c>
      <c r="O219" t="s">
        <v>9</v>
      </c>
    </row>
    <row r="220" spans="12:15" ht="15.75">
      <c r="L220" t="s">
        <v>341</v>
      </c>
      <c r="M220" s="35">
        <v>0.08</v>
      </c>
      <c r="N220" s="36">
        <v>513</v>
      </c>
      <c r="O220" t="s">
        <v>11</v>
      </c>
    </row>
    <row r="221" spans="12:15" ht="15.75">
      <c r="L221" t="s">
        <v>522</v>
      </c>
      <c r="M221" s="35">
        <v>0.08</v>
      </c>
      <c r="N221" s="36">
        <v>513</v>
      </c>
      <c r="O221" t="s">
        <v>11</v>
      </c>
    </row>
    <row r="222" spans="12:15" ht="15.75">
      <c r="L222" t="s">
        <v>342</v>
      </c>
      <c r="M222" s="35">
        <v>0.0375</v>
      </c>
      <c r="N222" s="36">
        <v>0</v>
      </c>
      <c r="O222" t="s">
        <v>11</v>
      </c>
    </row>
    <row r="223" spans="12:15" ht="15.75">
      <c r="L223" t="s">
        <v>343</v>
      </c>
      <c r="M223" s="35">
        <v>0.0375</v>
      </c>
      <c r="N223" s="36">
        <v>0</v>
      </c>
      <c r="O223" t="s">
        <v>11</v>
      </c>
    </row>
    <row r="224" spans="12:15" ht="15.75">
      <c r="L224" t="s">
        <v>344</v>
      </c>
      <c r="M224" s="35">
        <v>0.1</v>
      </c>
      <c r="N224" s="36">
        <v>513</v>
      </c>
      <c r="O224" t="s">
        <v>11</v>
      </c>
    </row>
    <row r="225" spans="12:15" ht="15.75">
      <c r="L225" t="s">
        <v>345</v>
      </c>
      <c r="M225" s="35">
        <v>0.08</v>
      </c>
      <c r="N225" s="36">
        <v>0</v>
      </c>
      <c r="O225" t="s">
        <v>209</v>
      </c>
    </row>
    <row r="226" spans="12:15" ht="15.75">
      <c r="L226" t="s">
        <v>346</v>
      </c>
      <c r="M226" s="35">
        <v>0.08</v>
      </c>
      <c r="N226" s="36">
        <v>513</v>
      </c>
      <c r="O226" t="s">
        <v>11</v>
      </c>
    </row>
    <row r="227" spans="12:15" ht="15.75">
      <c r="L227" t="s">
        <v>347</v>
      </c>
      <c r="M227" s="35">
        <v>0.1</v>
      </c>
      <c r="N227" s="36">
        <v>513</v>
      </c>
      <c r="O227" t="s">
        <v>11</v>
      </c>
    </row>
    <row r="228" spans="12:15" ht="15.75">
      <c r="L228" t="s">
        <v>348</v>
      </c>
      <c r="M228" s="35">
        <v>0.05</v>
      </c>
      <c r="N228" s="36">
        <v>513</v>
      </c>
      <c r="O228" t="s">
        <v>11</v>
      </c>
    </row>
    <row r="229" spans="12:15" ht="15.75">
      <c r="L229" t="s">
        <v>349</v>
      </c>
      <c r="M229" s="35">
        <v>0.0375</v>
      </c>
      <c r="N229" s="36">
        <v>0</v>
      </c>
      <c r="O229" t="s">
        <v>11</v>
      </c>
    </row>
    <row r="230" spans="12:15" ht="15.75">
      <c r="L230" t="s">
        <v>350</v>
      </c>
      <c r="M230" s="35">
        <v>0</v>
      </c>
      <c r="N230" s="36">
        <v>0</v>
      </c>
      <c r="O230" t="s">
        <v>11</v>
      </c>
    </row>
    <row r="231" spans="12:15" ht="15.75">
      <c r="L231" t="s">
        <v>351</v>
      </c>
      <c r="M231" s="35">
        <v>0.08</v>
      </c>
      <c r="N231" s="36">
        <v>238</v>
      </c>
      <c r="O231" t="s">
        <v>9</v>
      </c>
    </row>
    <row r="232" spans="12:15" ht="15.75">
      <c r="L232" t="s">
        <v>352</v>
      </c>
      <c r="M232" s="35">
        <v>0.08</v>
      </c>
      <c r="N232" s="36">
        <v>238</v>
      </c>
      <c r="O232" t="s">
        <v>209</v>
      </c>
    </row>
    <row r="233" spans="12:15" ht="15.75">
      <c r="L233" t="s">
        <v>353</v>
      </c>
      <c r="M233" s="35">
        <v>0.08</v>
      </c>
      <c r="N233" s="36">
        <v>238</v>
      </c>
      <c r="O233" t="s">
        <v>9</v>
      </c>
    </row>
    <row r="234" spans="12:15" ht="15.75">
      <c r="L234" t="s">
        <v>354</v>
      </c>
      <c r="M234" s="35">
        <v>0.08</v>
      </c>
      <c r="N234" s="36">
        <v>238</v>
      </c>
      <c r="O234" t="s">
        <v>209</v>
      </c>
    </row>
    <row r="235" spans="12:15" ht="15.75">
      <c r="L235" t="s">
        <v>355</v>
      </c>
      <c r="M235" s="35">
        <v>0.08</v>
      </c>
      <c r="N235" s="36">
        <v>238</v>
      </c>
      <c r="O235" t="s">
        <v>9</v>
      </c>
    </row>
    <row r="236" spans="12:15" ht="15.75">
      <c r="L236" t="s">
        <v>356</v>
      </c>
      <c r="M236" s="35">
        <v>0.13</v>
      </c>
      <c r="N236" s="36">
        <v>863</v>
      </c>
      <c r="O236" t="s">
        <v>209</v>
      </c>
    </row>
    <row r="237" spans="12:15" ht="15.75">
      <c r="L237" t="s">
        <v>357</v>
      </c>
      <c r="M237" s="35">
        <v>0.08</v>
      </c>
      <c r="N237" s="36">
        <v>863</v>
      </c>
      <c r="O237" t="s">
        <v>9</v>
      </c>
    </row>
    <row r="238" spans="12:15" ht="15.75">
      <c r="L238" t="s">
        <v>358</v>
      </c>
      <c r="M238" s="35">
        <v>0.08</v>
      </c>
      <c r="N238" s="36">
        <v>513</v>
      </c>
      <c r="O238" t="s">
        <v>209</v>
      </c>
    </row>
    <row r="239" spans="12:15" ht="15.75">
      <c r="L239" t="s">
        <v>359</v>
      </c>
      <c r="M239" s="35">
        <v>0.08</v>
      </c>
      <c r="N239" s="36">
        <v>513</v>
      </c>
      <c r="O239" t="s">
        <v>9</v>
      </c>
    </row>
    <row r="240" spans="12:15" ht="15.75">
      <c r="L240" t="s">
        <v>360</v>
      </c>
      <c r="M240" s="35">
        <v>0.06</v>
      </c>
      <c r="N240" s="36">
        <v>513</v>
      </c>
      <c r="O240" t="s">
        <v>209</v>
      </c>
    </row>
    <row r="241" spans="12:15" ht="15.75">
      <c r="L241" t="s">
        <v>361</v>
      </c>
      <c r="M241" s="35">
        <v>0.14</v>
      </c>
      <c r="N241" s="36">
        <v>863</v>
      </c>
      <c r="O241" t="s">
        <v>9</v>
      </c>
    </row>
    <row r="242" spans="12:15" ht="15.75">
      <c r="L242" t="s">
        <v>362</v>
      </c>
      <c r="M242" s="35">
        <v>0.13</v>
      </c>
      <c r="N242" s="36">
        <v>513</v>
      </c>
      <c r="O242" t="s">
        <v>209</v>
      </c>
    </row>
    <row r="243" spans="12:15" ht="15.75">
      <c r="L243" t="s">
        <v>363</v>
      </c>
      <c r="M243" s="35">
        <v>0.13</v>
      </c>
      <c r="N243" s="36">
        <v>513</v>
      </c>
      <c r="O243" t="s">
        <v>9</v>
      </c>
    </row>
    <row r="244" spans="12:15" ht="15.75">
      <c r="L244" t="s">
        <v>364</v>
      </c>
      <c r="M244" s="35">
        <v>0.13</v>
      </c>
      <c r="N244" s="36">
        <v>513</v>
      </c>
      <c r="O244" t="s">
        <v>209</v>
      </c>
    </row>
    <row r="245" spans="12:15" ht="15.75">
      <c r="L245" t="s">
        <v>365</v>
      </c>
      <c r="M245" s="35">
        <v>0.13</v>
      </c>
      <c r="N245" s="36">
        <v>513</v>
      </c>
      <c r="O245" t="s">
        <v>9</v>
      </c>
    </row>
    <row r="246" spans="12:15" ht="15.75">
      <c r="L246" t="s">
        <v>366</v>
      </c>
      <c r="M246" s="35">
        <v>0.13</v>
      </c>
      <c r="N246" s="36">
        <v>513</v>
      </c>
      <c r="O246" t="s">
        <v>209</v>
      </c>
    </row>
    <row r="247" spans="12:15" ht="15.75">
      <c r="L247" t="s">
        <v>367</v>
      </c>
      <c r="M247" s="35">
        <v>0.13</v>
      </c>
      <c r="N247" s="36">
        <v>513</v>
      </c>
      <c r="O247" t="s">
        <v>9</v>
      </c>
    </row>
    <row r="248" spans="12:15" ht="15.75">
      <c r="L248" t="s">
        <v>368</v>
      </c>
      <c r="M248" s="35">
        <v>0.13</v>
      </c>
      <c r="N248" s="36">
        <v>863</v>
      </c>
      <c r="O248" t="s">
        <v>209</v>
      </c>
    </row>
    <row r="249" spans="12:15" ht="15.75">
      <c r="L249" t="s">
        <v>369</v>
      </c>
      <c r="M249" s="35">
        <v>0.13</v>
      </c>
      <c r="N249" s="36">
        <v>863</v>
      </c>
      <c r="O249" t="s">
        <v>9</v>
      </c>
    </row>
    <row r="250" spans="12:15" ht="15.75">
      <c r="L250" t="s">
        <v>370</v>
      </c>
      <c r="M250" s="35">
        <v>0.06</v>
      </c>
      <c r="N250" s="36">
        <v>513</v>
      </c>
      <c r="O250" t="s">
        <v>209</v>
      </c>
    </row>
    <row r="251" spans="12:15" ht="15.75">
      <c r="L251" t="s">
        <v>371</v>
      </c>
      <c r="M251" s="35">
        <v>0.06</v>
      </c>
      <c r="N251" s="36">
        <v>513</v>
      </c>
      <c r="O251" t="s">
        <v>9</v>
      </c>
    </row>
    <row r="252" spans="12:15" ht="15.75">
      <c r="L252" t="s">
        <v>372</v>
      </c>
      <c r="M252" s="35">
        <v>0.06</v>
      </c>
      <c r="N252" s="36">
        <v>513</v>
      </c>
      <c r="O252" t="s">
        <v>209</v>
      </c>
    </row>
    <row r="253" spans="12:15" ht="15.75">
      <c r="L253" t="s">
        <v>373</v>
      </c>
      <c r="M253" s="35">
        <v>0.06</v>
      </c>
      <c r="N253" s="36">
        <v>513</v>
      </c>
      <c r="O253" t="s">
        <v>9</v>
      </c>
    </row>
    <row r="254" spans="12:15" ht="15.75">
      <c r="L254" t="s">
        <v>852</v>
      </c>
      <c r="M254" s="35">
        <v>0.14</v>
      </c>
      <c r="N254" s="36">
        <v>513</v>
      </c>
      <c r="O254" t="s">
        <v>9</v>
      </c>
    </row>
    <row r="255" spans="12:15" ht="15.75">
      <c r="L255" t="s">
        <v>853</v>
      </c>
      <c r="M255" s="35">
        <v>0.14</v>
      </c>
      <c r="N255" s="36">
        <v>513</v>
      </c>
      <c r="O255" t="s">
        <v>209</v>
      </c>
    </row>
    <row r="256" spans="12:15" ht="15.75">
      <c r="L256" t="s">
        <v>374</v>
      </c>
      <c r="M256" s="35">
        <v>0.13</v>
      </c>
      <c r="N256" s="36">
        <v>513</v>
      </c>
      <c r="O256" t="s">
        <v>9</v>
      </c>
    </row>
    <row r="257" spans="12:15" ht="15.75">
      <c r="L257" t="s">
        <v>375</v>
      </c>
      <c r="M257" s="35">
        <v>0.11</v>
      </c>
      <c r="N257" s="36">
        <v>863</v>
      </c>
      <c r="O257" t="s">
        <v>209</v>
      </c>
    </row>
    <row r="258" spans="12:15" ht="15.75">
      <c r="L258" t="s">
        <v>376</v>
      </c>
      <c r="M258" s="35">
        <v>0.13</v>
      </c>
      <c r="N258" s="36">
        <v>863</v>
      </c>
      <c r="O258" t="s">
        <v>9</v>
      </c>
    </row>
    <row r="259" spans="12:15" ht="15.75">
      <c r="L259" t="s">
        <v>377</v>
      </c>
      <c r="M259" s="35">
        <v>0.11</v>
      </c>
      <c r="N259" s="36">
        <v>513</v>
      </c>
      <c r="O259" t="s">
        <v>209</v>
      </c>
    </row>
    <row r="260" spans="12:15" ht="15.75">
      <c r="L260" t="s">
        <v>378</v>
      </c>
      <c r="M260" s="35">
        <v>0.125</v>
      </c>
      <c r="N260" s="36">
        <v>863</v>
      </c>
      <c r="O260" t="s">
        <v>9</v>
      </c>
    </row>
    <row r="261" spans="12:15" ht="15.75">
      <c r="L261" t="s">
        <v>379</v>
      </c>
      <c r="M261" s="35">
        <v>0.125</v>
      </c>
      <c r="N261" s="36">
        <v>863</v>
      </c>
      <c r="O261" t="s">
        <v>209</v>
      </c>
    </row>
    <row r="262" spans="12:15" ht="15.75">
      <c r="L262" t="s">
        <v>380</v>
      </c>
      <c r="M262" s="35">
        <v>0.08</v>
      </c>
      <c r="N262" s="36">
        <v>238</v>
      </c>
      <c r="O262" t="s">
        <v>9</v>
      </c>
    </row>
    <row r="263" spans="12:15" ht="15.75">
      <c r="L263" t="s">
        <v>381</v>
      </c>
      <c r="M263" s="35">
        <v>0.08</v>
      </c>
      <c r="N263" s="36">
        <v>317</v>
      </c>
      <c r="O263" t="s">
        <v>209</v>
      </c>
    </row>
    <row r="264" spans="12:15" ht="15.75">
      <c r="L264" t="s">
        <v>382</v>
      </c>
      <c r="M264" s="35">
        <v>0.01</v>
      </c>
      <c r="N264" s="36">
        <v>317</v>
      </c>
      <c r="O264" t="s">
        <v>9</v>
      </c>
    </row>
    <row r="265" spans="12:15" ht="15.75">
      <c r="L265" t="s">
        <v>383</v>
      </c>
      <c r="M265" s="35">
        <v>0.01</v>
      </c>
      <c r="N265" s="36">
        <v>317</v>
      </c>
      <c r="O265" t="s">
        <v>209</v>
      </c>
    </row>
    <row r="266" spans="12:15" ht="15.75">
      <c r="L266" t="s">
        <v>384</v>
      </c>
      <c r="M266" s="35">
        <v>0.115</v>
      </c>
      <c r="N266" s="36">
        <v>317</v>
      </c>
      <c r="O266" t="s">
        <v>9</v>
      </c>
    </row>
    <row r="267" spans="12:15" ht="15.75">
      <c r="L267" t="s">
        <v>385</v>
      </c>
      <c r="M267" s="35">
        <v>0.11</v>
      </c>
      <c r="N267" s="36">
        <v>317</v>
      </c>
      <c r="O267" t="s">
        <v>209</v>
      </c>
    </row>
    <row r="268" spans="12:15" ht="15.75">
      <c r="L268" t="s">
        <v>386</v>
      </c>
      <c r="M268" s="35">
        <v>0.11</v>
      </c>
      <c r="N268" s="36">
        <v>317</v>
      </c>
      <c r="O268" t="s">
        <v>9</v>
      </c>
    </row>
    <row r="269" spans="12:15" ht="15.75">
      <c r="L269" t="s">
        <v>387</v>
      </c>
      <c r="M269" s="35">
        <v>0.07</v>
      </c>
      <c r="N269" s="36">
        <v>317</v>
      </c>
      <c r="O269" t="s">
        <v>209</v>
      </c>
    </row>
    <row r="270" spans="12:15" ht="15.75">
      <c r="L270" t="s">
        <v>388</v>
      </c>
      <c r="M270" s="35">
        <v>0.11</v>
      </c>
      <c r="N270" s="36">
        <v>317</v>
      </c>
      <c r="O270" t="s">
        <v>9</v>
      </c>
    </row>
    <row r="271" spans="12:15" ht="15.75">
      <c r="L271" t="s">
        <v>389</v>
      </c>
      <c r="M271" s="35">
        <v>0.11</v>
      </c>
      <c r="N271" s="36">
        <v>317</v>
      </c>
      <c r="O271" t="s">
        <v>209</v>
      </c>
    </row>
    <row r="272" spans="12:15" ht="15.75">
      <c r="L272" t="s">
        <v>390</v>
      </c>
      <c r="M272" s="35">
        <v>0.135</v>
      </c>
      <c r="N272" s="36">
        <v>863</v>
      </c>
      <c r="O272" t="s">
        <v>209</v>
      </c>
    </row>
    <row r="273" spans="12:15" ht="15.75">
      <c r="L273" t="s">
        <v>391</v>
      </c>
      <c r="M273" s="35">
        <v>0.135</v>
      </c>
      <c r="N273" s="36">
        <v>863</v>
      </c>
      <c r="O273" t="s">
        <v>9</v>
      </c>
    </row>
    <row r="274" spans="12:15" ht="15.75">
      <c r="L274" t="s">
        <v>392</v>
      </c>
      <c r="M274" s="35">
        <v>0.1</v>
      </c>
      <c r="N274" s="36">
        <v>317</v>
      </c>
      <c r="O274" t="s">
        <v>9</v>
      </c>
    </row>
    <row r="275" spans="12:15" ht="15.75">
      <c r="L275" t="s">
        <v>393</v>
      </c>
      <c r="M275" s="35">
        <v>0.1</v>
      </c>
      <c r="N275" s="36">
        <v>317</v>
      </c>
      <c r="O275" t="s">
        <v>209</v>
      </c>
    </row>
    <row r="276" spans="12:15" ht="15.75">
      <c r="L276" t="s">
        <v>394</v>
      </c>
      <c r="M276" s="35">
        <v>0.135</v>
      </c>
      <c r="N276" s="36">
        <v>317</v>
      </c>
      <c r="O276" t="s">
        <v>209</v>
      </c>
    </row>
    <row r="277" spans="12:15" ht="15.75">
      <c r="L277" t="s">
        <v>395</v>
      </c>
      <c r="M277" s="35">
        <v>0.135</v>
      </c>
      <c r="N277" s="36">
        <v>317</v>
      </c>
      <c r="O277" t="s">
        <v>9</v>
      </c>
    </row>
    <row r="278" spans="12:15" ht="15.75">
      <c r="L278" t="s">
        <v>396</v>
      </c>
      <c r="M278" s="35">
        <v>0.135</v>
      </c>
      <c r="N278" s="36">
        <v>317</v>
      </c>
      <c r="O278" t="s">
        <v>9</v>
      </c>
    </row>
    <row r="279" spans="12:15" ht="15.75">
      <c r="L279" t="s">
        <v>533</v>
      </c>
      <c r="M279" s="35">
        <v>0.115</v>
      </c>
      <c r="N279" s="36">
        <v>317</v>
      </c>
      <c r="O279" t="s">
        <v>9</v>
      </c>
    </row>
    <row r="280" spans="12:15" ht="15.75">
      <c r="L280" t="s">
        <v>534</v>
      </c>
      <c r="M280" s="35">
        <v>0.115</v>
      </c>
      <c r="N280" s="36">
        <v>317</v>
      </c>
      <c r="O280" t="s">
        <v>209</v>
      </c>
    </row>
    <row r="281" spans="12:15" ht="15.75">
      <c r="L281" t="s">
        <v>535</v>
      </c>
      <c r="M281" s="35">
        <v>0.115</v>
      </c>
      <c r="N281" s="36">
        <v>317</v>
      </c>
      <c r="O281" t="s">
        <v>9</v>
      </c>
    </row>
    <row r="282" spans="12:15" ht="15.75">
      <c r="L282" t="s">
        <v>536</v>
      </c>
      <c r="M282" s="35">
        <v>0.115</v>
      </c>
      <c r="N282" s="36">
        <v>317</v>
      </c>
      <c r="O282" t="s">
        <v>9</v>
      </c>
    </row>
    <row r="283" spans="12:15" ht="15.75">
      <c r="L283" t="s">
        <v>537</v>
      </c>
      <c r="M283" s="35">
        <v>0.115</v>
      </c>
      <c r="N283" s="36">
        <v>317</v>
      </c>
      <c r="O283" t="s">
        <v>9</v>
      </c>
    </row>
    <row r="284" spans="12:15" ht="15.75">
      <c r="L284" t="s">
        <v>538</v>
      </c>
      <c r="M284" s="35">
        <v>0.115</v>
      </c>
      <c r="N284" s="36">
        <v>317</v>
      </c>
      <c r="O284" t="s">
        <v>209</v>
      </c>
    </row>
    <row r="285" spans="12:15" ht="15.75">
      <c r="L285" t="s">
        <v>539</v>
      </c>
      <c r="M285" s="35">
        <v>0.115</v>
      </c>
      <c r="N285" s="36">
        <v>317</v>
      </c>
      <c r="O285" t="s">
        <v>9</v>
      </c>
    </row>
    <row r="286" spans="12:15" ht="15.75">
      <c r="L286" t="s">
        <v>540</v>
      </c>
      <c r="M286" s="35">
        <v>0.115</v>
      </c>
      <c r="N286" s="36">
        <v>317</v>
      </c>
      <c r="O286" t="s">
        <v>209</v>
      </c>
    </row>
    <row r="287" spans="12:15" ht="15.75">
      <c r="L287" t="s">
        <v>541</v>
      </c>
      <c r="M287" s="35">
        <v>0.115</v>
      </c>
      <c r="N287" s="36">
        <v>317</v>
      </c>
      <c r="O287" t="s">
        <v>9</v>
      </c>
    </row>
    <row r="288" spans="12:15" ht="15.75">
      <c r="L288" t="s">
        <v>542</v>
      </c>
      <c r="M288" s="35">
        <v>0.115</v>
      </c>
      <c r="N288" s="36">
        <v>317</v>
      </c>
      <c r="O288" t="s">
        <v>9</v>
      </c>
    </row>
    <row r="289" spans="12:15" ht="15.75">
      <c r="L289" t="s">
        <v>543</v>
      </c>
      <c r="M289" s="35">
        <v>0.115</v>
      </c>
      <c r="N289" s="36">
        <v>317</v>
      </c>
      <c r="O289" t="s">
        <v>9</v>
      </c>
    </row>
    <row r="290" spans="12:15" ht="15.75">
      <c r="L290" t="s">
        <v>544</v>
      </c>
      <c r="M290" s="35">
        <v>0.115</v>
      </c>
      <c r="N290" s="36">
        <v>317</v>
      </c>
      <c r="O290" t="s">
        <v>9</v>
      </c>
    </row>
    <row r="291" spans="12:15" ht="15.75">
      <c r="L291" t="s">
        <v>397</v>
      </c>
      <c r="M291" s="35">
        <v>0.06</v>
      </c>
      <c r="N291" s="36">
        <v>317</v>
      </c>
      <c r="O291" t="s">
        <v>9</v>
      </c>
    </row>
    <row r="292" spans="12:15" ht="15.75">
      <c r="L292" t="s">
        <v>398</v>
      </c>
      <c r="M292" s="35">
        <v>0.06</v>
      </c>
      <c r="N292" s="36">
        <v>317</v>
      </c>
      <c r="O292" t="s">
        <v>209</v>
      </c>
    </row>
    <row r="293" spans="12:15" ht="15.75">
      <c r="L293" t="s">
        <v>399</v>
      </c>
      <c r="M293" s="35">
        <v>0</v>
      </c>
      <c r="N293" s="36">
        <v>238</v>
      </c>
      <c r="O293" t="s">
        <v>209</v>
      </c>
    </row>
    <row r="294" spans="12:15" ht="15.75">
      <c r="L294" t="s">
        <v>400</v>
      </c>
      <c r="M294" s="35">
        <v>0.08</v>
      </c>
      <c r="N294" s="36">
        <v>238</v>
      </c>
      <c r="O294" t="s">
        <v>209</v>
      </c>
    </row>
    <row r="295" spans="12:15" ht="15.75">
      <c r="L295" t="s">
        <v>401</v>
      </c>
      <c r="M295" s="35">
        <v>0</v>
      </c>
      <c r="N295" s="36">
        <v>238</v>
      </c>
      <c r="O295" t="s">
        <v>9</v>
      </c>
    </row>
    <row r="296" spans="12:15" ht="15.75">
      <c r="L296" t="s">
        <v>402</v>
      </c>
      <c r="M296" s="35">
        <v>0.08</v>
      </c>
      <c r="N296" s="36">
        <v>238</v>
      </c>
      <c r="O296" t="s">
        <v>9</v>
      </c>
    </row>
    <row r="297" spans="12:15" ht="15.75">
      <c r="L297" t="s">
        <v>403</v>
      </c>
      <c r="M297" s="35">
        <v>0</v>
      </c>
      <c r="N297" s="36">
        <v>0</v>
      </c>
      <c r="O297" t="s">
        <v>209</v>
      </c>
    </row>
    <row r="298" spans="12:15" ht="15.75">
      <c r="L298" t="s">
        <v>404</v>
      </c>
      <c r="M298" s="35">
        <v>0</v>
      </c>
      <c r="N298" s="36">
        <v>0</v>
      </c>
      <c r="O298" t="s">
        <v>209</v>
      </c>
    </row>
    <row r="299" spans="12:15" ht="15.75">
      <c r="L299" t="s">
        <v>405</v>
      </c>
      <c r="M299" s="35">
        <v>0.01</v>
      </c>
      <c r="N299" s="36">
        <v>317</v>
      </c>
      <c r="O299" t="s">
        <v>209</v>
      </c>
    </row>
    <row r="300" spans="12:15" ht="15.75">
      <c r="L300" t="s">
        <v>406</v>
      </c>
      <c r="M300" s="35">
        <v>0.05</v>
      </c>
      <c r="N300" s="36">
        <v>513</v>
      </c>
      <c r="O300" t="s">
        <v>11</v>
      </c>
    </row>
    <row r="301" spans="12:15" ht="15.75">
      <c r="L301" t="s">
        <v>407</v>
      </c>
      <c r="M301" s="35">
        <v>0.0375</v>
      </c>
      <c r="N301" s="36">
        <v>0</v>
      </c>
      <c r="O301" t="s">
        <v>11</v>
      </c>
    </row>
    <row r="302" spans="12:15" ht="15.75">
      <c r="L302" t="s">
        <v>408</v>
      </c>
      <c r="M302" s="35">
        <v>0.0375</v>
      </c>
      <c r="N302" s="36">
        <v>0</v>
      </c>
      <c r="O302" t="s">
        <v>11</v>
      </c>
    </row>
    <row r="303" spans="12:15" ht="15.75">
      <c r="L303" t="s">
        <v>409</v>
      </c>
      <c r="M303" s="35">
        <v>0.01</v>
      </c>
      <c r="N303" s="36">
        <v>317</v>
      </c>
      <c r="O303" t="s">
        <v>9</v>
      </c>
    </row>
    <row r="304" spans="12:15" ht="15.75">
      <c r="L304" t="s">
        <v>410</v>
      </c>
      <c r="M304" s="35">
        <v>0.015</v>
      </c>
      <c r="N304" s="36">
        <v>0</v>
      </c>
      <c r="O304" t="s">
        <v>9</v>
      </c>
    </row>
    <row r="305" spans="12:15" ht="15.75">
      <c r="L305" t="s">
        <v>411</v>
      </c>
      <c r="M305" s="35">
        <v>0</v>
      </c>
      <c r="N305" s="36">
        <v>513</v>
      </c>
      <c r="O305" t="s">
        <v>11</v>
      </c>
    </row>
    <row r="306" spans="12:15" ht="15.75">
      <c r="L306" t="s">
        <v>412</v>
      </c>
      <c r="M306" s="35">
        <v>0.09</v>
      </c>
      <c r="N306" s="36">
        <v>513</v>
      </c>
      <c r="O306" t="s">
        <v>11</v>
      </c>
    </row>
    <row r="307" spans="12:15" ht="15.75">
      <c r="L307" t="s">
        <v>413</v>
      </c>
      <c r="M307" s="35">
        <v>0.09</v>
      </c>
      <c r="N307" s="36">
        <v>513</v>
      </c>
      <c r="O307" t="s">
        <v>11</v>
      </c>
    </row>
    <row r="308" spans="12:15" ht="15.75">
      <c r="L308" t="s">
        <v>414</v>
      </c>
      <c r="M308" s="35">
        <v>0.09</v>
      </c>
      <c r="N308" s="36">
        <v>513</v>
      </c>
      <c r="O308" t="s">
        <v>11</v>
      </c>
    </row>
    <row r="309" spans="12:15" ht="15.75">
      <c r="L309" t="s">
        <v>415</v>
      </c>
      <c r="M309" s="35">
        <v>0.0375</v>
      </c>
      <c r="N309" s="36">
        <v>0</v>
      </c>
      <c r="O309" t="s">
        <v>11</v>
      </c>
    </row>
    <row r="310" spans="12:15" ht="15.75">
      <c r="L310" t="s">
        <v>416</v>
      </c>
      <c r="M310" s="35">
        <v>0.11</v>
      </c>
      <c r="N310" s="36">
        <v>317</v>
      </c>
      <c r="O310" t="s">
        <v>209</v>
      </c>
    </row>
    <row r="311" spans="12:15" ht="15.75">
      <c r="L311" t="s">
        <v>417</v>
      </c>
      <c r="M311" s="35">
        <v>0.11</v>
      </c>
      <c r="N311" s="36">
        <v>317</v>
      </c>
      <c r="O311" t="s">
        <v>9</v>
      </c>
    </row>
    <row r="312" spans="12:15" ht="15.75">
      <c r="L312" t="s">
        <v>418</v>
      </c>
      <c r="M312" s="35">
        <v>0.1</v>
      </c>
      <c r="N312" s="36">
        <v>513</v>
      </c>
      <c r="O312" t="s">
        <v>11</v>
      </c>
    </row>
    <row r="313" spans="12:15" ht="15.75">
      <c r="L313" t="s">
        <v>419</v>
      </c>
      <c r="M313" s="35">
        <v>0.11</v>
      </c>
      <c r="N313" s="36">
        <v>317</v>
      </c>
      <c r="O313" t="s">
        <v>209</v>
      </c>
    </row>
    <row r="314" spans="12:15" ht="15.75">
      <c r="L314" t="s">
        <v>420</v>
      </c>
      <c r="M314" s="35">
        <v>0.11</v>
      </c>
      <c r="N314" s="36">
        <v>317</v>
      </c>
      <c r="O314" t="s">
        <v>9</v>
      </c>
    </row>
    <row r="315" spans="12:15" ht="15.75">
      <c r="L315" t="s">
        <v>421</v>
      </c>
      <c r="M315" s="35">
        <v>0.05</v>
      </c>
      <c r="N315" s="36">
        <v>513</v>
      </c>
      <c r="O315" t="s">
        <v>11</v>
      </c>
    </row>
    <row r="316" spans="12:15" ht="15.75">
      <c r="L316" t="s">
        <v>422</v>
      </c>
      <c r="M316" s="35">
        <v>0.1</v>
      </c>
      <c r="N316" s="36">
        <v>513</v>
      </c>
      <c r="O316" t="s">
        <v>11</v>
      </c>
    </row>
    <row r="317" spans="12:15" ht="15.75">
      <c r="L317" t="s">
        <v>423</v>
      </c>
      <c r="M317" s="35">
        <v>0.1</v>
      </c>
      <c r="N317" s="36">
        <v>513</v>
      </c>
      <c r="O317" t="s">
        <v>11</v>
      </c>
    </row>
    <row r="318" spans="12:15" ht="15.75">
      <c r="L318" t="s">
        <v>424</v>
      </c>
      <c r="M318" s="35">
        <v>0.09</v>
      </c>
      <c r="N318" s="36">
        <v>513</v>
      </c>
      <c r="O318" t="s">
        <v>11</v>
      </c>
    </row>
    <row r="319" spans="12:15" ht="15.75">
      <c r="L319" t="s">
        <v>425</v>
      </c>
      <c r="M319" s="35">
        <v>0.09</v>
      </c>
      <c r="N319" s="36">
        <v>513</v>
      </c>
      <c r="O319" t="s">
        <v>11</v>
      </c>
    </row>
    <row r="320" spans="12:15" ht="15.75">
      <c r="L320" t="s">
        <v>426</v>
      </c>
      <c r="M320" s="35">
        <v>0.09</v>
      </c>
      <c r="N320" s="36">
        <v>317</v>
      </c>
      <c r="O320" t="s">
        <v>209</v>
      </c>
    </row>
    <row r="321" spans="12:15" ht="15.75">
      <c r="L321" t="s">
        <v>427</v>
      </c>
      <c r="M321" s="35">
        <v>0.1</v>
      </c>
      <c r="N321" s="36">
        <v>317</v>
      </c>
      <c r="O321" t="s">
        <v>9</v>
      </c>
    </row>
    <row r="322" spans="12:15" ht="15.75">
      <c r="L322" t="s">
        <v>428</v>
      </c>
      <c r="M322" s="35">
        <v>0.1</v>
      </c>
      <c r="N322" s="36">
        <v>317</v>
      </c>
      <c r="O322" t="s">
        <v>209</v>
      </c>
    </row>
    <row r="323" spans="12:15" ht="15.75">
      <c r="L323" t="s">
        <v>429</v>
      </c>
      <c r="M323" s="35">
        <v>0.1</v>
      </c>
      <c r="N323" s="36">
        <v>317</v>
      </c>
      <c r="O323" t="s">
        <v>9</v>
      </c>
    </row>
    <row r="324" spans="12:15" ht="15.75">
      <c r="L324" t="s">
        <v>430</v>
      </c>
      <c r="M324" s="35">
        <v>0.09</v>
      </c>
      <c r="N324" s="36">
        <v>513</v>
      </c>
      <c r="O324" t="s">
        <v>11</v>
      </c>
    </row>
    <row r="325" spans="12:15" ht="15.75">
      <c r="L325" t="s">
        <v>431</v>
      </c>
      <c r="M325" s="35">
        <v>0.09</v>
      </c>
      <c r="N325" s="36">
        <v>513</v>
      </c>
      <c r="O325" t="s">
        <v>11</v>
      </c>
    </row>
    <row r="326" spans="12:15" ht="15.75">
      <c r="L326" t="s">
        <v>432</v>
      </c>
      <c r="M326" s="35">
        <v>0.095</v>
      </c>
      <c r="N326" s="36">
        <v>513</v>
      </c>
      <c r="O326" t="s">
        <v>11</v>
      </c>
    </row>
    <row r="327" spans="12:15" ht="15.75">
      <c r="L327" t="s">
        <v>433</v>
      </c>
      <c r="M327" s="35">
        <v>0.1</v>
      </c>
      <c r="N327" s="36">
        <v>513</v>
      </c>
      <c r="O327" t="s">
        <v>11</v>
      </c>
    </row>
    <row r="328" spans="12:15" ht="15.75">
      <c r="L328" t="s">
        <v>434</v>
      </c>
      <c r="M328" s="35">
        <v>0.1</v>
      </c>
      <c r="N328" s="36">
        <v>513</v>
      </c>
      <c r="O328" t="s">
        <v>11</v>
      </c>
    </row>
    <row r="329" spans="12:15" ht="15.75">
      <c r="L329" t="s">
        <v>206</v>
      </c>
      <c r="M329" s="35">
        <v>0.1</v>
      </c>
      <c r="N329" s="36">
        <v>513</v>
      </c>
      <c r="O329" t="s">
        <v>11</v>
      </c>
    </row>
    <row r="330" spans="12:15" ht="15.75">
      <c r="L330" t="s">
        <v>435</v>
      </c>
      <c r="M330" s="35">
        <v>0.05</v>
      </c>
      <c r="N330" s="36">
        <v>513</v>
      </c>
      <c r="O330" t="s">
        <v>11</v>
      </c>
    </row>
    <row r="331" spans="12:15" ht="15.75">
      <c r="L331" t="s">
        <v>436</v>
      </c>
      <c r="M331" s="35">
        <v>0.1</v>
      </c>
      <c r="N331" s="36">
        <v>513</v>
      </c>
      <c r="O331" t="s">
        <v>11</v>
      </c>
    </row>
    <row r="332" spans="12:15" ht="15.75">
      <c r="L332" t="s">
        <v>437</v>
      </c>
      <c r="M332" s="35">
        <v>0.1</v>
      </c>
      <c r="N332" s="36">
        <v>513</v>
      </c>
      <c r="O332" t="s">
        <v>11</v>
      </c>
    </row>
    <row r="333" spans="12:15" ht="15.75">
      <c r="L333" t="s">
        <v>438</v>
      </c>
      <c r="M333" s="35">
        <v>0.1</v>
      </c>
      <c r="N333" s="36">
        <v>513</v>
      </c>
      <c r="O333" t="s">
        <v>11</v>
      </c>
    </row>
    <row r="334" spans="12:15" ht="15.75">
      <c r="L334" t="s">
        <v>439</v>
      </c>
      <c r="M334" s="35">
        <v>0.1</v>
      </c>
      <c r="N334" s="36">
        <v>513</v>
      </c>
      <c r="O334" t="s">
        <v>11</v>
      </c>
    </row>
    <row r="335" spans="12:15" ht="15.75">
      <c r="L335" t="s">
        <v>440</v>
      </c>
      <c r="M335" s="35">
        <v>0.1</v>
      </c>
      <c r="N335" s="36">
        <v>513</v>
      </c>
      <c r="O335" t="s">
        <v>11</v>
      </c>
    </row>
    <row r="336" spans="12:15" ht="15.75">
      <c r="L336" t="s">
        <v>441</v>
      </c>
      <c r="M336" s="35">
        <v>0.05</v>
      </c>
      <c r="N336" s="36">
        <v>513</v>
      </c>
      <c r="O336" t="s">
        <v>11</v>
      </c>
    </row>
    <row r="337" spans="12:15" ht="15.75">
      <c r="L337" t="s">
        <v>442</v>
      </c>
      <c r="M337" s="35">
        <v>0.1</v>
      </c>
      <c r="N337" s="36">
        <v>513</v>
      </c>
      <c r="O337" t="s">
        <v>11</v>
      </c>
    </row>
    <row r="338" spans="12:15" ht="15.75">
      <c r="L338" t="s">
        <v>443</v>
      </c>
      <c r="M338" s="35">
        <v>0.125</v>
      </c>
      <c r="N338" s="36">
        <v>513</v>
      </c>
      <c r="O338" t="s">
        <v>11</v>
      </c>
    </row>
    <row r="339" spans="12:15" ht="15.75">
      <c r="L339" t="s">
        <v>444</v>
      </c>
      <c r="M339" s="35">
        <v>0.1</v>
      </c>
      <c r="N339" s="36">
        <v>513</v>
      </c>
      <c r="O339" t="s">
        <v>11</v>
      </c>
    </row>
    <row r="340" spans="12:15" ht="15.75">
      <c r="L340" t="s">
        <v>445</v>
      </c>
      <c r="M340" s="35">
        <v>0.1</v>
      </c>
      <c r="N340" s="36">
        <v>513</v>
      </c>
      <c r="O340" t="s">
        <v>11</v>
      </c>
    </row>
    <row r="341" spans="12:15" ht="15.75">
      <c r="L341" t="s">
        <v>446</v>
      </c>
      <c r="M341" s="35">
        <v>0.1</v>
      </c>
      <c r="N341" s="36">
        <v>513</v>
      </c>
      <c r="O341" t="s">
        <v>11</v>
      </c>
    </row>
    <row r="342" spans="12:15" ht="15.75">
      <c r="L342" t="s">
        <v>447</v>
      </c>
      <c r="M342" s="35">
        <v>0.08</v>
      </c>
      <c r="N342" s="36">
        <v>513</v>
      </c>
      <c r="O342" t="s">
        <v>11</v>
      </c>
    </row>
    <row r="343" spans="12:15" ht="15.75">
      <c r="L343" t="s">
        <v>448</v>
      </c>
      <c r="M343" s="35">
        <v>0.08</v>
      </c>
      <c r="N343" s="36">
        <v>513</v>
      </c>
      <c r="O343" t="s">
        <v>11</v>
      </c>
    </row>
    <row r="344" spans="12:15" ht="15.75">
      <c r="L344" t="s">
        <v>449</v>
      </c>
      <c r="M344" s="35">
        <v>0.09</v>
      </c>
      <c r="N344" s="36">
        <v>513</v>
      </c>
      <c r="O344" t="s">
        <v>11</v>
      </c>
    </row>
    <row r="345" spans="12:15" ht="15.75">
      <c r="L345" t="s">
        <v>450</v>
      </c>
      <c r="M345" s="35">
        <v>0.09</v>
      </c>
      <c r="N345" s="36">
        <v>513</v>
      </c>
      <c r="O345" t="s">
        <v>11</v>
      </c>
    </row>
    <row r="346" spans="12:15" ht="15.75">
      <c r="L346" t="s">
        <v>451</v>
      </c>
      <c r="M346" s="35">
        <v>0.08</v>
      </c>
      <c r="N346" s="36">
        <v>513</v>
      </c>
      <c r="O346" t="s">
        <v>11</v>
      </c>
    </row>
    <row r="347" spans="12:15" ht="15.75">
      <c r="L347" t="s">
        <v>452</v>
      </c>
      <c r="M347" s="35">
        <v>0.09</v>
      </c>
      <c r="N347" s="36">
        <v>513</v>
      </c>
      <c r="O347" t="s">
        <v>11</v>
      </c>
    </row>
    <row r="348" spans="12:15" ht="15.75">
      <c r="L348" t="s">
        <v>453</v>
      </c>
      <c r="M348" s="35">
        <v>0.125</v>
      </c>
      <c r="N348" s="36">
        <v>513</v>
      </c>
      <c r="O348" t="s">
        <v>11</v>
      </c>
    </row>
    <row r="349" spans="12:15" ht="15.75">
      <c r="L349" t="s">
        <v>454</v>
      </c>
      <c r="M349" s="35">
        <v>0.09</v>
      </c>
      <c r="N349" s="36">
        <v>513</v>
      </c>
      <c r="O349" t="s">
        <v>11</v>
      </c>
    </row>
    <row r="350" spans="12:15" ht="15.75">
      <c r="L350" t="s">
        <v>455</v>
      </c>
      <c r="M350" s="35">
        <v>0.09</v>
      </c>
      <c r="N350" s="36">
        <v>513</v>
      </c>
      <c r="O350" t="s">
        <v>11</v>
      </c>
    </row>
    <row r="351" spans="12:15" ht="15.75">
      <c r="L351" t="s">
        <v>456</v>
      </c>
      <c r="M351" s="35">
        <v>0.08</v>
      </c>
      <c r="N351" s="36">
        <v>513</v>
      </c>
      <c r="O351" t="s">
        <v>11</v>
      </c>
    </row>
    <row r="352" spans="12:15" ht="15.75">
      <c r="L352" t="s">
        <v>457</v>
      </c>
      <c r="M352" s="35">
        <v>0.095</v>
      </c>
      <c r="N352" s="36">
        <v>513</v>
      </c>
      <c r="O352" t="s">
        <v>11</v>
      </c>
    </row>
    <row r="353" spans="12:15" ht="15.75">
      <c r="L353" t="s">
        <v>458</v>
      </c>
      <c r="M353" s="35">
        <v>0.08</v>
      </c>
      <c r="N353" s="36">
        <v>0</v>
      </c>
      <c r="O353" t="s">
        <v>209</v>
      </c>
    </row>
    <row r="354" spans="12:15" ht="15.75">
      <c r="L354" t="s">
        <v>459</v>
      </c>
      <c r="M354" s="35">
        <v>0.01</v>
      </c>
      <c r="N354" s="36">
        <v>0</v>
      </c>
      <c r="O354" t="s">
        <v>209</v>
      </c>
    </row>
    <row r="355" spans="12:15" ht="15.75">
      <c r="L355" t="s">
        <v>460</v>
      </c>
      <c r="M355" s="35">
        <v>0.01</v>
      </c>
      <c r="N355" s="36">
        <v>0</v>
      </c>
      <c r="O355" t="s">
        <v>9</v>
      </c>
    </row>
    <row r="356" spans="12:15" ht="15.75">
      <c r="L356" t="s">
        <v>461</v>
      </c>
      <c r="M356" s="35">
        <v>0</v>
      </c>
      <c r="N356" s="36">
        <v>0</v>
      </c>
      <c r="O356" t="s">
        <v>209</v>
      </c>
    </row>
    <row r="357" spans="12:15" ht="15.75">
      <c r="L357" t="s">
        <v>462</v>
      </c>
      <c r="M357" s="35">
        <v>0.16</v>
      </c>
      <c r="N357" s="36">
        <v>0</v>
      </c>
      <c r="O357" t="s">
        <v>9</v>
      </c>
    </row>
    <row r="358" spans="12:15" ht="15.75">
      <c r="L358" t="s">
        <v>463</v>
      </c>
      <c r="M358" s="35">
        <v>0.16</v>
      </c>
      <c r="N358" s="36">
        <v>0</v>
      </c>
      <c r="O358" t="s">
        <v>209</v>
      </c>
    </row>
    <row r="359" spans="12:15" ht="15.75">
      <c r="L359" t="s">
        <v>464</v>
      </c>
      <c r="M359" s="35">
        <v>0.08</v>
      </c>
      <c r="N359" s="36">
        <v>0</v>
      </c>
      <c r="O359" t="s">
        <v>9</v>
      </c>
    </row>
    <row r="360" spans="12:15" ht="15.75">
      <c r="L360" t="s">
        <v>465</v>
      </c>
      <c r="M360" s="35">
        <v>0</v>
      </c>
      <c r="N360" s="36">
        <v>0</v>
      </c>
      <c r="O360" t="s">
        <v>209</v>
      </c>
    </row>
    <row r="361" spans="12:15" ht="15.75">
      <c r="L361" t="s">
        <v>466</v>
      </c>
      <c r="M361" s="35">
        <v>0</v>
      </c>
      <c r="N361" s="36">
        <v>0</v>
      </c>
      <c r="O361" t="s">
        <v>9</v>
      </c>
    </row>
    <row r="362" spans="12:15" ht="15.75">
      <c r="L362" t="s">
        <v>467</v>
      </c>
      <c r="M362" s="35">
        <v>0</v>
      </c>
      <c r="N362" s="36">
        <v>0</v>
      </c>
      <c r="O362" t="s">
        <v>209</v>
      </c>
    </row>
    <row r="363" spans="12:15" ht="15.75">
      <c r="L363" t="s">
        <v>468</v>
      </c>
      <c r="M363" s="35">
        <v>0</v>
      </c>
      <c r="N363" s="36">
        <v>0</v>
      </c>
      <c r="O363" t="s">
        <v>9</v>
      </c>
    </row>
    <row r="364" spans="12:15" ht="15.75">
      <c r="L364" t="s">
        <v>469</v>
      </c>
      <c r="M364" s="35">
        <v>0</v>
      </c>
      <c r="N364" s="36">
        <v>0</v>
      </c>
      <c r="O364" t="s">
        <v>209</v>
      </c>
    </row>
    <row r="365" spans="12:15" ht="15.75">
      <c r="L365" t="s">
        <v>470</v>
      </c>
      <c r="M365" s="35">
        <v>0</v>
      </c>
      <c r="N365" s="36">
        <v>0</v>
      </c>
      <c r="O365" t="s">
        <v>9</v>
      </c>
    </row>
    <row r="366" spans="12:15" ht="15.75">
      <c r="L366" t="s">
        <v>471</v>
      </c>
      <c r="M366" s="35">
        <v>0.08</v>
      </c>
      <c r="N366" s="36">
        <v>0</v>
      </c>
      <c r="O366" t="s">
        <v>9</v>
      </c>
    </row>
    <row r="367" spans="12:15" ht="15.75">
      <c r="L367" t="s">
        <v>472</v>
      </c>
      <c r="M367" s="35">
        <v>0.04</v>
      </c>
      <c r="N367" s="36">
        <v>0</v>
      </c>
      <c r="O367" t="s">
        <v>11</v>
      </c>
    </row>
    <row r="368" spans="12:15" ht="15.75">
      <c r="L368" t="s">
        <v>473</v>
      </c>
      <c r="M368" s="35">
        <v>0.08</v>
      </c>
      <c r="N368" s="36">
        <v>0</v>
      </c>
      <c r="O368" t="s">
        <v>11</v>
      </c>
    </row>
    <row r="369" spans="12:15" ht="15.75">
      <c r="L369" t="s">
        <v>474</v>
      </c>
      <c r="M369" s="35">
        <v>0</v>
      </c>
      <c r="N369" s="36">
        <v>0</v>
      </c>
      <c r="O369" t="s">
        <v>209</v>
      </c>
    </row>
    <row r="370" spans="12:15" ht="15.75">
      <c r="L370" t="s">
        <v>475</v>
      </c>
      <c r="M370" s="35">
        <v>0</v>
      </c>
      <c r="N370" s="36">
        <v>0</v>
      </c>
      <c r="O370" t="s">
        <v>9</v>
      </c>
    </row>
    <row r="371" spans="12:15" ht="15.75">
      <c r="L371" t="s">
        <v>476</v>
      </c>
      <c r="M371" s="35">
        <v>0</v>
      </c>
      <c r="N371" s="36">
        <v>0</v>
      </c>
      <c r="O371" t="s">
        <v>9</v>
      </c>
    </row>
    <row r="372" spans="12:15" ht="15.75">
      <c r="L372" t="s">
        <v>209</v>
      </c>
      <c r="M372" s="35">
        <v>0</v>
      </c>
      <c r="N372" s="36">
        <v>0</v>
      </c>
      <c r="O372" t="s">
        <v>11</v>
      </c>
    </row>
    <row r="373" spans="12:15" ht="15.75">
      <c r="L373" t="s">
        <v>500</v>
      </c>
      <c r="M373" s="35">
        <v>0</v>
      </c>
      <c r="N373" s="36">
        <v>0</v>
      </c>
      <c r="O373" t="s">
        <v>209</v>
      </c>
    </row>
    <row r="374" spans="12:15" ht="15.75">
      <c r="L374" t="s">
        <v>477</v>
      </c>
      <c r="M374" s="35">
        <v>0.08</v>
      </c>
      <c r="N374" s="36">
        <v>0</v>
      </c>
      <c r="O374" t="s">
        <v>209</v>
      </c>
    </row>
    <row r="375" spans="12:15" ht="15.75">
      <c r="L375" t="s">
        <v>478</v>
      </c>
      <c r="M375" s="35">
        <v>0.1025</v>
      </c>
      <c r="N375" s="36">
        <v>0</v>
      </c>
      <c r="O375" t="s">
        <v>9</v>
      </c>
    </row>
    <row r="376" spans="12:15" ht="15.75">
      <c r="L376" t="s">
        <v>502</v>
      </c>
      <c r="M376" s="35">
        <v>0.10205</v>
      </c>
      <c r="N376" s="36">
        <v>0</v>
      </c>
      <c r="O376" t="s">
        <v>9</v>
      </c>
    </row>
    <row r="377" spans="12:15" ht="15.75">
      <c r="L377" t="s">
        <v>479</v>
      </c>
      <c r="M377" s="35">
        <v>0.075</v>
      </c>
      <c r="N377" s="36">
        <v>0</v>
      </c>
      <c r="O377" t="s">
        <v>209</v>
      </c>
    </row>
    <row r="378" spans="12:15" ht="15.75">
      <c r="L378" t="s">
        <v>480</v>
      </c>
      <c r="M378" s="35">
        <v>0.09</v>
      </c>
      <c r="N378" s="36">
        <v>513</v>
      </c>
      <c r="O378" t="s">
        <v>11</v>
      </c>
    </row>
    <row r="379" spans="12:15" ht="15.75">
      <c r="L379" t="s">
        <v>481</v>
      </c>
      <c r="M379" s="35">
        <v>0.09</v>
      </c>
      <c r="N379" s="36">
        <v>513</v>
      </c>
      <c r="O379" t="s">
        <v>11</v>
      </c>
    </row>
    <row r="380" spans="12:15" ht="15.75">
      <c r="L380" t="s">
        <v>482</v>
      </c>
      <c r="M380" s="35">
        <v>0.09</v>
      </c>
      <c r="N380" s="36">
        <v>513</v>
      </c>
      <c r="O380" t="s">
        <v>11</v>
      </c>
    </row>
    <row r="381" spans="12:15" ht="15.75">
      <c r="L381" t="s">
        <v>483</v>
      </c>
      <c r="M381" s="35">
        <v>0.09</v>
      </c>
      <c r="N381" s="36">
        <v>513</v>
      </c>
      <c r="O381" t="s">
        <v>11</v>
      </c>
    </row>
    <row r="382" spans="12:15" ht="15.75">
      <c r="L382" t="s">
        <v>484</v>
      </c>
      <c r="M382" s="35">
        <v>0.08</v>
      </c>
      <c r="N382" s="36">
        <v>513</v>
      </c>
      <c r="O382" t="s">
        <v>11</v>
      </c>
    </row>
    <row r="383" spans="12:15" ht="15.75">
      <c r="L383" t="s">
        <v>485</v>
      </c>
      <c r="M383" s="35">
        <v>0.08</v>
      </c>
      <c r="N383" s="36">
        <v>513</v>
      </c>
      <c r="O383" t="s">
        <v>11</v>
      </c>
    </row>
    <row r="384" spans="12:15" ht="15.75">
      <c r="L384" t="s">
        <v>486</v>
      </c>
      <c r="M384" s="35">
        <v>0.05</v>
      </c>
      <c r="N384" s="36">
        <v>513</v>
      </c>
      <c r="O384" t="s">
        <v>11</v>
      </c>
    </row>
    <row r="385" spans="12:15" ht="15.75">
      <c r="L385" t="s">
        <v>487</v>
      </c>
      <c r="M385" s="35">
        <v>0.075</v>
      </c>
      <c r="N385" s="36">
        <v>0</v>
      </c>
      <c r="O385" t="s">
        <v>9</v>
      </c>
    </row>
    <row r="386" spans="12:15" ht="15.75">
      <c r="L386" t="s">
        <v>488</v>
      </c>
      <c r="M386" s="35">
        <v>0.05</v>
      </c>
      <c r="N386" s="36">
        <v>513</v>
      </c>
      <c r="O386" t="s">
        <v>11</v>
      </c>
    </row>
    <row r="387" spans="12:15" ht="15.75">
      <c r="L387" t="s">
        <v>489</v>
      </c>
      <c r="M387" s="35">
        <v>0.095</v>
      </c>
      <c r="N387" s="36">
        <v>513</v>
      </c>
      <c r="O387" t="s">
        <v>11</v>
      </c>
    </row>
    <row r="388" spans="12:15" ht="15.75">
      <c r="L388" t="s">
        <v>490</v>
      </c>
      <c r="M388" s="35">
        <v>0.05</v>
      </c>
      <c r="N388" s="36">
        <v>513</v>
      </c>
      <c r="O388" t="s">
        <v>11</v>
      </c>
    </row>
    <row r="389" spans="12:15" ht="15.75">
      <c r="L389" t="s">
        <v>491</v>
      </c>
      <c r="M389" s="35">
        <v>0.09</v>
      </c>
      <c r="N389" s="36">
        <v>513</v>
      </c>
      <c r="O389" t="s">
        <v>11</v>
      </c>
    </row>
    <row r="390" spans="12:15" ht="15.75">
      <c r="L390" t="s">
        <v>492</v>
      </c>
      <c r="M390" s="35">
        <v>0.075</v>
      </c>
      <c r="N390" s="36">
        <v>0</v>
      </c>
      <c r="O390" t="s">
        <v>209</v>
      </c>
    </row>
    <row r="391" spans="12:15" ht="15.75">
      <c r="L391" t="s">
        <v>493</v>
      </c>
      <c r="M391" s="35">
        <v>0.075</v>
      </c>
      <c r="N391" s="36">
        <v>0</v>
      </c>
      <c r="O391" t="s">
        <v>9</v>
      </c>
    </row>
    <row r="392" spans="12:15" ht="15.75">
      <c r="L392" t="s">
        <v>494</v>
      </c>
      <c r="M392" s="35">
        <v>0.05</v>
      </c>
      <c r="N392" s="36">
        <v>513</v>
      </c>
      <c r="O392" t="s">
        <v>11</v>
      </c>
    </row>
    <row r="393" spans="12:15" ht="15.75">
      <c r="L393" t="s">
        <v>570</v>
      </c>
      <c r="M393" s="72">
        <v>0.0375</v>
      </c>
      <c r="N393" s="72">
        <v>0</v>
      </c>
      <c r="O393" t="s">
        <v>209</v>
      </c>
    </row>
    <row r="394" spans="12:15" ht="15.75">
      <c r="L394" t="s">
        <v>571</v>
      </c>
      <c r="M394" s="72">
        <v>0.0375</v>
      </c>
      <c r="N394" s="72">
        <v>0</v>
      </c>
      <c r="O394" t="s">
        <v>11</v>
      </c>
    </row>
    <row r="395" spans="12:15" ht="15.75">
      <c r="L395" t="s">
        <v>572</v>
      </c>
      <c r="M395" s="72">
        <v>0.037500000000000006</v>
      </c>
      <c r="N395" s="72">
        <v>0</v>
      </c>
      <c r="O395" t="s">
        <v>11</v>
      </c>
    </row>
    <row r="396" spans="12:15" ht="15.75">
      <c r="L396" t="s">
        <v>573</v>
      </c>
      <c r="M396" s="72">
        <v>0.095</v>
      </c>
      <c r="N396" s="73">
        <v>513</v>
      </c>
      <c r="O396" t="s">
        <v>11</v>
      </c>
    </row>
    <row r="397" spans="12:15" ht="15.75">
      <c r="L397" t="s">
        <v>574</v>
      </c>
      <c r="M397" s="72">
        <v>0.01</v>
      </c>
      <c r="N397" s="73">
        <v>317</v>
      </c>
      <c r="O397" t="s">
        <v>9</v>
      </c>
    </row>
    <row r="398" spans="12:15" ht="15.75">
      <c r="L398" t="s">
        <v>575</v>
      </c>
      <c r="M398" s="72">
        <v>0.08</v>
      </c>
      <c r="N398" s="73">
        <v>513</v>
      </c>
      <c r="O398" t="s">
        <v>11</v>
      </c>
    </row>
    <row r="399" spans="12:15" ht="15.75">
      <c r="L399" t="s">
        <v>576</v>
      </c>
      <c r="M399" s="72">
        <v>0.085</v>
      </c>
      <c r="N399" s="73">
        <v>513</v>
      </c>
      <c r="O399" t="s">
        <v>11</v>
      </c>
    </row>
    <row r="400" spans="12:15" ht="15.75">
      <c r="L400" t="s">
        <v>577</v>
      </c>
      <c r="M400" s="72">
        <v>0.085</v>
      </c>
      <c r="N400" s="73">
        <v>513</v>
      </c>
      <c r="O400" t="s">
        <v>11</v>
      </c>
    </row>
    <row r="401" spans="12:15" ht="15.75">
      <c r="L401" t="s">
        <v>578</v>
      </c>
      <c r="M401" s="72">
        <v>0.085</v>
      </c>
      <c r="N401" s="73">
        <v>513</v>
      </c>
      <c r="O401" t="s">
        <v>11</v>
      </c>
    </row>
    <row r="402" spans="12:15" ht="15.75">
      <c r="L402" t="s">
        <v>579</v>
      </c>
      <c r="M402" s="72">
        <v>0.0875</v>
      </c>
      <c r="N402" s="73">
        <v>513</v>
      </c>
      <c r="O402" t="s">
        <v>11</v>
      </c>
    </row>
    <row r="403" spans="12:15" ht="15.75">
      <c r="L403" t="s">
        <v>580</v>
      </c>
      <c r="M403" s="72">
        <v>0.085</v>
      </c>
      <c r="N403" s="73">
        <v>513</v>
      </c>
      <c r="O403" t="s">
        <v>11</v>
      </c>
    </row>
    <row r="404" spans="12:15" ht="15.75">
      <c r="L404" t="s">
        <v>581</v>
      </c>
      <c r="M404" s="72">
        <v>0.085</v>
      </c>
      <c r="N404" s="73">
        <v>513</v>
      </c>
      <c r="O404" t="s">
        <v>11</v>
      </c>
    </row>
    <row r="405" spans="12:15" ht="15.75">
      <c r="L405" t="s">
        <v>582</v>
      </c>
      <c r="M405" s="72">
        <v>0.085</v>
      </c>
      <c r="N405" s="73">
        <v>513</v>
      </c>
      <c r="O405" t="s">
        <v>11</v>
      </c>
    </row>
    <row r="406" spans="12:15" ht="15.75">
      <c r="L406" t="s">
        <v>583</v>
      </c>
      <c r="M406" s="72">
        <v>0.085</v>
      </c>
      <c r="N406" s="73">
        <v>513</v>
      </c>
      <c r="O406" t="s">
        <v>11</v>
      </c>
    </row>
    <row r="407" spans="12:15" ht="15.75">
      <c r="L407" t="s">
        <v>584</v>
      </c>
      <c r="M407" s="72">
        <v>0.037500000000000006</v>
      </c>
      <c r="N407" s="73">
        <v>0</v>
      </c>
      <c r="O407" t="s">
        <v>9</v>
      </c>
    </row>
    <row r="408" spans="12:15" ht="15.75">
      <c r="L408" t="s">
        <v>585</v>
      </c>
      <c r="M408" s="72">
        <v>0</v>
      </c>
      <c r="N408" s="73">
        <v>0</v>
      </c>
      <c r="O408" t="s">
        <v>209</v>
      </c>
    </row>
    <row r="409" spans="12:15" ht="15.75">
      <c r="L409" t="s">
        <v>586</v>
      </c>
      <c r="M409" s="72">
        <v>0.11000000000000001</v>
      </c>
      <c r="N409" s="73">
        <v>317</v>
      </c>
      <c r="O409" t="s">
        <v>9</v>
      </c>
    </row>
    <row r="410" spans="12:15" ht="15.75">
      <c r="L410" t="s">
        <v>587</v>
      </c>
      <c r="M410" s="72">
        <v>0.11000000000000001</v>
      </c>
      <c r="N410" s="73">
        <v>317</v>
      </c>
      <c r="O410" t="s">
        <v>209</v>
      </c>
    </row>
    <row r="411" spans="12:15" ht="15.75">
      <c r="L411" t="s">
        <v>588</v>
      </c>
      <c r="M411" s="72">
        <v>0.11000000000000001</v>
      </c>
      <c r="N411" s="73">
        <v>317</v>
      </c>
      <c r="O411" t="s">
        <v>9</v>
      </c>
    </row>
    <row r="412" spans="12:15" ht="15.75">
      <c r="L412" t="s">
        <v>589</v>
      </c>
      <c r="M412" s="72">
        <v>0.11000000000000001</v>
      </c>
      <c r="N412" s="73">
        <v>317</v>
      </c>
      <c r="O412" t="s">
        <v>9</v>
      </c>
    </row>
    <row r="413" spans="12:15" ht="15.75">
      <c r="L413" t="s">
        <v>590</v>
      </c>
      <c r="M413" s="72">
        <v>0.11000000000000001</v>
      </c>
      <c r="N413" s="73">
        <v>317</v>
      </c>
      <c r="O413" t="s">
        <v>209</v>
      </c>
    </row>
    <row r="414" spans="12:15" ht="15.75">
      <c r="L414" t="s">
        <v>591</v>
      </c>
      <c r="M414" s="72">
        <v>0.11000000000000001</v>
      </c>
      <c r="N414" s="73">
        <v>317</v>
      </c>
      <c r="O414" t="s">
        <v>9</v>
      </c>
    </row>
    <row r="415" spans="12:15" ht="15.75">
      <c r="L415" t="s">
        <v>592</v>
      </c>
      <c r="M415" s="72">
        <v>0.11000000000000001</v>
      </c>
      <c r="N415" s="73">
        <v>317</v>
      </c>
      <c r="O415" t="s">
        <v>209</v>
      </c>
    </row>
    <row r="416" spans="12:15" ht="15.75">
      <c r="L416" t="s">
        <v>593</v>
      </c>
      <c r="M416" s="72">
        <v>0.11000000000000001</v>
      </c>
      <c r="N416" s="73">
        <v>317</v>
      </c>
      <c r="O416" t="s">
        <v>209</v>
      </c>
    </row>
    <row r="417" spans="12:15" ht="15.75">
      <c r="L417" t="s">
        <v>594</v>
      </c>
      <c r="M417" s="72">
        <v>0.11000000000000001</v>
      </c>
      <c r="N417" s="73">
        <v>317</v>
      </c>
      <c r="O417" t="s">
        <v>9</v>
      </c>
    </row>
    <row r="418" spans="12:15" ht="15.75">
      <c r="L418" t="s">
        <v>595</v>
      </c>
      <c r="M418" s="72">
        <v>0.11000000000000001</v>
      </c>
      <c r="N418" s="73">
        <v>317</v>
      </c>
      <c r="O418" t="s">
        <v>9</v>
      </c>
    </row>
    <row r="419" spans="12:15" ht="15.75">
      <c r="L419" t="s">
        <v>596</v>
      </c>
      <c r="M419" s="72">
        <v>0.11000000000000001</v>
      </c>
      <c r="N419" s="73">
        <v>317</v>
      </c>
      <c r="O419" t="s">
        <v>209</v>
      </c>
    </row>
    <row r="420" spans="12:15" ht="15.75">
      <c r="L420" t="s">
        <v>597</v>
      </c>
      <c r="M420" s="72">
        <v>0.11000000000000001</v>
      </c>
      <c r="N420" s="73">
        <v>317</v>
      </c>
      <c r="O420" t="s">
        <v>9</v>
      </c>
    </row>
    <row r="421" spans="12:15" ht="15.75">
      <c r="L421" t="s">
        <v>598</v>
      </c>
      <c r="M421" s="72">
        <v>0.10500000000000001</v>
      </c>
      <c r="N421" s="73">
        <v>317</v>
      </c>
      <c r="O421" t="s">
        <v>209</v>
      </c>
    </row>
    <row r="422" spans="12:15" ht="15.75">
      <c r="L422" t="s">
        <v>599</v>
      </c>
      <c r="M422" s="72">
        <v>0.11000000000000001</v>
      </c>
      <c r="N422" s="73">
        <v>317</v>
      </c>
      <c r="O422" t="s">
        <v>209</v>
      </c>
    </row>
    <row r="423" spans="12:15" ht="15.75">
      <c r="L423" t="s">
        <v>600</v>
      </c>
      <c r="M423" s="72">
        <v>0.11000000000000001</v>
      </c>
      <c r="N423" s="73">
        <v>317</v>
      </c>
      <c r="O423" t="s">
        <v>9</v>
      </c>
    </row>
    <row r="424" spans="12:15" ht="15.75">
      <c r="L424" t="s">
        <v>601</v>
      </c>
      <c r="M424" s="72">
        <v>0.11000000000000001</v>
      </c>
      <c r="N424" s="73">
        <v>317</v>
      </c>
      <c r="O424" t="s">
        <v>209</v>
      </c>
    </row>
    <row r="425" spans="12:15" ht="15.75">
      <c r="L425" t="s">
        <v>602</v>
      </c>
      <c r="M425" s="72">
        <v>0.11000000000000001</v>
      </c>
      <c r="N425" s="73">
        <v>317</v>
      </c>
      <c r="O425" t="s">
        <v>9</v>
      </c>
    </row>
    <row r="426" spans="12:15" ht="15.75">
      <c r="L426" t="s">
        <v>603</v>
      </c>
      <c r="M426" s="72">
        <v>0.11000000000000001</v>
      </c>
      <c r="N426" s="73">
        <v>317</v>
      </c>
      <c r="O426" t="s">
        <v>209</v>
      </c>
    </row>
    <row r="427" spans="12:15" ht="15.75">
      <c r="L427" t="s">
        <v>604</v>
      </c>
      <c r="M427" s="72">
        <v>0.11000000000000001</v>
      </c>
      <c r="N427" s="73">
        <v>317</v>
      </c>
      <c r="O427" t="s">
        <v>9</v>
      </c>
    </row>
    <row r="428" spans="12:15" ht="15.75">
      <c r="L428" t="s">
        <v>605</v>
      </c>
      <c r="M428" s="72">
        <v>0.135</v>
      </c>
      <c r="N428" s="73">
        <v>317</v>
      </c>
      <c r="O428" t="s">
        <v>209</v>
      </c>
    </row>
    <row r="429" spans="12:15" ht="15.75">
      <c r="L429" t="s">
        <v>606</v>
      </c>
      <c r="M429" s="72">
        <v>0.135</v>
      </c>
      <c r="N429" s="73">
        <v>317</v>
      </c>
      <c r="O429" t="s">
        <v>9</v>
      </c>
    </row>
    <row r="430" spans="12:15" ht="15.75">
      <c r="L430" t="s">
        <v>607</v>
      </c>
      <c r="M430" s="72">
        <v>0.08</v>
      </c>
      <c r="N430" s="73">
        <v>513</v>
      </c>
      <c r="O430" t="s">
        <v>11</v>
      </c>
    </row>
    <row r="431" spans="12:15" ht="15.75">
      <c r="L431" t="s">
        <v>608</v>
      </c>
      <c r="M431" s="72">
        <v>0.125</v>
      </c>
      <c r="N431" s="73">
        <v>513</v>
      </c>
      <c r="O431" t="s">
        <v>11</v>
      </c>
    </row>
    <row r="432" spans="12:15" ht="15.75">
      <c r="L432" t="s">
        <v>609</v>
      </c>
      <c r="M432" s="72">
        <v>0.08</v>
      </c>
      <c r="N432" s="73">
        <v>513</v>
      </c>
      <c r="O432" t="s">
        <v>11</v>
      </c>
    </row>
    <row r="433" spans="12:15" ht="15.75">
      <c r="L433" t="s">
        <v>610</v>
      </c>
      <c r="M433" s="72">
        <v>0.11000000000000001</v>
      </c>
      <c r="N433" s="73">
        <v>317</v>
      </c>
      <c r="O433" t="s">
        <v>209</v>
      </c>
    </row>
    <row r="434" spans="12:15" ht="15.75">
      <c r="L434" t="s">
        <v>611</v>
      </c>
      <c r="M434" s="72">
        <v>0.11000000000000001</v>
      </c>
      <c r="N434" s="73">
        <v>317</v>
      </c>
      <c r="O434" t="s">
        <v>9</v>
      </c>
    </row>
    <row r="435" spans="12:15" ht="15.75">
      <c r="L435" t="s">
        <v>612</v>
      </c>
      <c r="M435" s="72">
        <v>0.1</v>
      </c>
      <c r="N435" s="73">
        <v>513</v>
      </c>
      <c r="O435" t="s">
        <v>11</v>
      </c>
    </row>
    <row r="436" spans="12:15" ht="15.75">
      <c r="L436" t="s">
        <v>613</v>
      </c>
      <c r="M436" s="72">
        <v>0.1</v>
      </c>
      <c r="N436" s="73">
        <v>513</v>
      </c>
      <c r="O436" t="s">
        <v>11</v>
      </c>
    </row>
    <row r="437" spans="12:15" ht="15.75">
      <c r="L437" t="s">
        <v>614</v>
      </c>
      <c r="M437" s="72">
        <v>0.1</v>
      </c>
      <c r="N437" s="73">
        <v>513</v>
      </c>
      <c r="O437" t="s">
        <v>11</v>
      </c>
    </row>
    <row r="438" spans="12:15" ht="15.75">
      <c r="L438" t="s">
        <v>615</v>
      </c>
      <c r="M438" s="72">
        <v>0.1</v>
      </c>
      <c r="N438" s="73">
        <v>513</v>
      </c>
      <c r="O438" t="s">
        <v>11</v>
      </c>
    </row>
    <row r="439" spans="12:15" ht="15.75">
      <c r="L439" t="s">
        <v>616</v>
      </c>
      <c r="M439" s="72">
        <v>0.1</v>
      </c>
      <c r="N439" s="73">
        <v>513</v>
      </c>
      <c r="O439" t="s">
        <v>11</v>
      </c>
    </row>
    <row r="440" spans="12:15" ht="15.75">
      <c r="L440" t="s">
        <v>617</v>
      </c>
      <c r="M440" s="72">
        <v>0.1</v>
      </c>
      <c r="N440" s="73">
        <v>513</v>
      </c>
      <c r="O440" t="s">
        <v>11</v>
      </c>
    </row>
    <row r="441" spans="12:15" ht="15.75">
      <c r="L441" t="s">
        <v>618</v>
      </c>
      <c r="M441" s="72">
        <v>0.08</v>
      </c>
      <c r="N441" s="73">
        <v>513</v>
      </c>
      <c r="O441" t="s">
        <v>11</v>
      </c>
    </row>
    <row r="442" spans="12:15" ht="15.75">
      <c r="L442" t="s">
        <v>619</v>
      </c>
      <c r="M442" s="72">
        <v>0.1</v>
      </c>
      <c r="N442" s="73">
        <v>513</v>
      </c>
      <c r="O442" t="s">
        <v>11</v>
      </c>
    </row>
    <row r="443" spans="12:15" ht="15.75">
      <c r="L443" t="s">
        <v>620</v>
      </c>
      <c r="M443" s="72">
        <v>0.09000000000000001</v>
      </c>
      <c r="N443" s="73">
        <v>317</v>
      </c>
      <c r="O443" t="s">
        <v>209</v>
      </c>
    </row>
    <row r="444" spans="12:15" ht="15.75">
      <c r="L444" t="s">
        <v>621</v>
      </c>
      <c r="M444" s="72">
        <v>0.1</v>
      </c>
      <c r="N444" s="73">
        <v>513</v>
      </c>
      <c r="O444" t="s">
        <v>11</v>
      </c>
    </row>
    <row r="445" spans="12:15" ht="15.75">
      <c r="L445" t="s">
        <v>622</v>
      </c>
      <c r="M445" s="72">
        <v>0.08</v>
      </c>
      <c r="N445" s="73">
        <v>513</v>
      </c>
      <c r="O445" t="s">
        <v>11</v>
      </c>
    </row>
    <row r="446" spans="12:15" ht="15.75">
      <c r="L446" t="s">
        <v>623</v>
      </c>
      <c r="M446" s="72">
        <v>0.125</v>
      </c>
      <c r="N446" s="73">
        <v>513</v>
      </c>
      <c r="O446" t="s">
        <v>11</v>
      </c>
    </row>
    <row r="447" spans="12:15" ht="15.75">
      <c r="L447" t="s">
        <v>624</v>
      </c>
      <c r="M447" s="72">
        <v>0.08</v>
      </c>
      <c r="N447" s="73">
        <v>513</v>
      </c>
      <c r="O447" t="s">
        <v>11</v>
      </c>
    </row>
    <row r="448" spans="12:15" ht="15.75">
      <c r="L448" t="s">
        <v>625</v>
      </c>
      <c r="M448" s="72">
        <v>0.1</v>
      </c>
      <c r="N448" s="73">
        <v>317</v>
      </c>
      <c r="O448" t="s">
        <v>209</v>
      </c>
    </row>
    <row r="449" spans="12:15" ht="15.75">
      <c r="L449" t="s">
        <v>626</v>
      </c>
      <c r="M449" s="72">
        <v>0.08</v>
      </c>
      <c r="N449" s="73">
        <v>513</v>
      </c>
      <c r="O449" t="s">
        <v>11</v>
      </c>
    </row>
    <row r="450" spans="12:15" ht="15.75">
      <c r="L450" t="s">
        <v>627</v>
      </c>
      <c r="M450" s="72">
        <v>0.09000000000000001</v>
      </c>
      <c r="N450" s="73">
        <v>317</v>
      </c>
      <c r="O450" t="s">
        <v>209</v>
      </c>
    </row>
    <row r="451" spans="12:15" ht="15.75">
      <c r="L451" t="s">
        <v>628</v>
      </c>
      <c r="M451" s="72">
        <v>0.09000000000000001</v>
      </c>
      <c r="N451" s="73">
        <v>317</v>
      </c>
      <c r="O451" t="s">
        <v>9</v>
      </c>
    </row>
    <row r="452" spans="12:15" ht="15.75">
      <c r="L452" t="s">
        <v>629</v>
      </c>
      <c r="M452" s="72">
        <v>0.09000000000000001</v>
      </c>
      <c r="N452" s="73">
        <v>513</v>
      </c>
      <c r="O452" t="s">
        <v>11</v>
      </c>
    </row>
    <row r="453" spans="12:15" ht="15.75">
      <c r="L453" t="s">
        <v>630</v>
      </c>
      <c r="M453" s="72">
        <v>0.10500000000000001</v>
      </c>
      <c r="N453" s="73">
        <v>317</v>
      </c>
      <c r="O453" t="s">
        <v>209</v>
      </c>
    </row>
    <row r="454" spans="12:15" ht="15.75">
      <c r="L454" t="s">
        <v>631</v>
      </c>
      <c r="M454" s="72">
        <v>0.115</v>
      </c>
      <c r="N454" s="73">
        <v>513</v>
      </c>
      <c r="O454" t="s">
        <v>9</v>
      </c>
    </row>
    <row r="455" spans="12:15" ht="15.75">
      <c r="L455" t="s">
        <v>632</v>
      </c>
      <c r="M455" s="72">
        <v>0.13</v>
      </c>
      <c r="N455" s="73">
        <v>863</v>
      </c>
      <c r="O455" t="s">
        <v>209</v>
      </c>
    </row>
    <row r="456" spans="12:15" ht="15.75">
      <c r="L456" t="s">
        <v>633</v>
      </c>
      <c r="M456" s="72">
        <v>0.13</v>
      </c>
      <c r="N456" s="73">
        <v>863</v>
      </c>
      <c r="O456" t="s">
        <v>9</v>
      </c>
    </row>
    <row r="457" spans="12:15" ht="15.75">
      <c r="L457" t="s">
        <v>634</v>
      </c>
      <c r="M457" s="72">
        <v>0.13</v>
      </c>
      <c r="N457" s="73">
        <v>863</v>
      </c>
      <c r="O457" t="s">
        <v>209</v>
      </c>
    </row>
    <row r="458" spans="12:15" ht="15.75">
      <c r="L458" t="s">
        <v>635</v>
      </c>
      <c r="M458" s="72">
        <v>0.13</v>
      </c>
      <c r="N458" s="73">
        <v>863</v>
      </c>
      <c r="O458" t="s">
        <v>9</v>
      </c>
    </row>
    <row r="459" spans="12:15" ht="15.75">
      <c r="L459" t="s">
        <v>636</v>
      </c>
      <c r="M459" s="72">
        <v>0.13</v>
      </c>
      <c r="N459" s="73">
        <v>863</v>
      </c>
      <c r="O459" t="s">
        <v>209</v>
      </c>
    </row>
    <row r="460" spans="12:15" ht="15.75">
      <c r="L460" t="s">
        <v>637</v>
      </c>
      <c r="M460" s="72">
        <v>0.13</v>
      </c>
      <c r="N460" s="73">
        <v>863</v>
      </c>
      <c r="O460" t="s">
        <v>9</v>
      </c>
    </row>
    <row r="461" spans="12:15" ht="15.75">
      <c r="L461" t="s">
        <v>638</v>
      </c>
      <c r="M461" s="72">
        <v>0.13</v>
      </c>
      <c r="N461" s="73">
        <v>863</v>
      </c>
      <c r="O461" t="s">
        <v>9</v>
      </c>
    </row>
    <row r="462" spans="12:15" ht="15.75">
      <c r="L462" t="s">
        <v>639</v>
      </c>
      <c r="M462" s="72">
        <v>0.125</v>
      </c>
      <c r="N462" s="73">
        <v>863</v>
      </c>
      <c r="O462" t="s">
        <v>209</v>
      </c>
    </row>
    <row r="463" spans="12:15" ht="15.75">
      <c r="L463" t="s">
        <v>640</v>
      </c>
      <c r="M463" s="72">
        <v>0.13</v>
      </c>
      <c r="N463" s="73">
        <v>863</v>
      </c>
      <c r="O463" t="s">
        <v>9</v>
      </c>
    </row>
    <row r="464" spans="12:15" ht="15.75">
      <c r="L464" t="s">
        <v>641</v>
      </c>
      <c r="M464" s="72">
        <v>0.125</v>
      </c>
      <c r="N464" s="73">
        <v>863</v>
      </c>
      <c r="O464" t="s">
        <v>9</v>
      </c>
    </row>
    <row r="465" spans="12:15" ht="15.75">
      <c r="L465" t="s">
        <v>642</v>
      </c>
      <c r="M465" s="72">
        <v>0.13</v>
      </c>
      <c r="N465" s="73">
        <v>513</v>
      </c>
      <c r="O465" t="s">
        <v>9</v>
      </c>
    </row>
    <row r="466" spans="12:15" ht="15.75">
      <c r="L466" t="s">
        <v>643</v>
      </c>
      <c r="M466" s="72">
        <v>0.10500000000000001</v>
      </c>
      <c r="N466" s="73">
        <v>317</v>
      </c>
      <c r="O466" t="s">
        <v>209</v>
      </c>
    </row>
    <row r="467" spans="12:15" ht="15.75">
      <c r="L467" t="s">
        <v>644</v>
      </c>
      <c r="M467" s="72">
        <v>0.037500000000000006</v>
      </c>
      <c r="N467" s="73">
        <v>0</v>
      </c>
      <c r="O467" t="s">
        <v>11</v>
      </c>
    </row>
    <row r="468" spans="12:15" ht="15.75">
      <c r="L468" t="s">
        <v>645</v>
      </c>
      <c r="M468" s="72">
        <v>0.060000000000000005</v>
      </c>
      <c r="N468" s="73">
        <v>317</v>
      </c>
      <c r="O468" t="s">
        <v>9</v>
      </c>
    </row>
    <row r="469" spans="12:15" ht="15.75">
      <c r="L469" t="s">
        <v>646</v>
      </c>
      <c r="M469" s="72">
        <v>0.037500000000000006</v>
      </c>
      <c r="N469" s="73">
        <v>0</v>
      </c>
      <c r="O469" t="s">
        <v>11</v>
      </c>
    </row>
    <row r="470" spans="12:15" ht="15.75">
      <c r="L470" t="s">
        <v>647</v>
      </c>
      <c r="M470" s="72">
        <v>0.08</v>
      </c>
      <c r="N470" s="73">
        <v>513</v>
      </c>
      <c r="O470" t="s">
        <v>11</v>
      </c>
    </row>
    <row r="471" spans="12:15" ht="15.75">
      <c r="L471" t="s">
        <v>648</v>
      </c>
      <c r="M471" s="72">
        <v>0.037500000000000006</v>
      </c>
      <c r="N471" s="73">
        <v>0</v>
      </c>
      <c r="O471" t="s">
        <v>11</v>
      </c>
    </row>
    <row r="472" spans="12:15" ht="15.75">
      <c r="L472" t="s">
        <v>649</v>
      </c>
      <c r="M472" s="72">
        <v>0.060000000000000005</v>
      </c>
      <c r="N472" s="73">
        <v>317</v>
      </c>
      <c r="O472" t="s">
        <v>9</v>
      </c>
    </row>
    <row r="473" spans="12:15" ht="15.75">
      <c r="L473" t="s">
        <v>650</v>
      </c>
      <c r="M473" s="72">
        <v>0.09000000000000001</v>
      </c>
      <c r="N473" s="73">
        <v>513</v>
      </c>
      <c r="O473" t="s">
        <v>11</v>
      </c>
    </row>
    <row r="474" spans="12:15" ht="15.75">
      <c r="L474" t="s">
        <v>651</v>
      </c>
      <c r="M474" s="72">
        <v>0.08</v>
      </c>
      <c r="N474" s="73">
        <v>513</v>
      </c>
      <c r="O474" t="s">
        <v>11</v>
      </c>
    </row>
    <row r="475" spans="12:15" ht="15.75">
      <c r="L475" t="s">
        <v>652</v>
      </c>
      <c r="M475" s="72">
        <v>0.08</v>
      </c>
      <c r="N475" s="73">
        <v>513</v>
      </c>
      <c r="O475" t="s">
        <v>11</v>
      </c>
    </row>
    <row r="476" spans="12:15" ht="15.75">
      <c r="L476" t="s">
        <v>653</v>
      </c>
      <c r="M476" s="72">
        <v>0.037500000000000006</v>
      </c>
      <c r="N476" s="73">
        <v>0</v>
      </c>
      <c r="O476" t="s">
        <v>11</v>
      </c>
    </row>
    <row r="477" spans="12:15" ht="15.75">
      <c r="L477" t="s">
        <v>654</v>
      </c>
      <c r="M477" s="72">
        <v>0.037500000000000006</v>
      </c>
      <c r="N477" s="73">
        <v>0</v>
      </c>
      <c r="O477" t="s">
        <v>11</v>
      </c>
    </row>
    <row r="478" spans="12:15" ht="15.75">
      <c r="L478" t="s">
        <v>655</v>
      </c>
      <c r="M478" s="72">
        <v>0.09000000000000001</v>
      </c>
      <c r="N478" s="73">
        <v>513</v>
      </c>
      <c r="O478" t="s">
        <v>11</v>
      </c>
    </row>
    <row r="479" spans="12:15" ht="15.75">
      <c r="L479" t="s">
        <v>656</v>
      </c>
      <c r="M479" s="72">
        <v>0.09000000000000001</v>
      </c>
      <c r="N479" s="73">
        <v>513</v>
      </c>
      <c r="O479" t="s">
        <v>11</v>
      </c>
    </row>
    <row r="480" spans="12:15" ht="15.75">
      <c r="L480" t="s">
        <v>657</v>
      </c>
      <c r="M480" s="72">
        <v>0.08</v>
      </c>
      <c r="N480" s="73">
        <v>513</v>
      </c>
      <c r="O480" t="s">
        <v>11</v>
      </c>
    </row>
    <row r="481" spans="12:15" ht="15.75">
      <c r="L481" t="s">
        <v>658</v>
      </c>
      <c r="M481" s="72">
        <v>0.08</v>
      </c>
      <c r="N481" s="73">
        <v>513</v>
      </c>
      <c r="O481" t="s">
        <v>11</v>
      </c>
    </row>
    <row r="482" spans="12:15" ht="15.75">
      <c r="L482" t="s">
        <v>659</v>
      </c>
      <c r="M482" s="72">
        <v>0.037500000000000006</v>
      </c>
      <c r="N482" s="73">
        <v>0</v>
      </c>
      <c r="O482" t="s">
        <v>11</v>
      </c>
    </row>
    <row r="483" spans="12:15" ht="15.75">
      <c r="L483" t="s">
        <v>660</v>
      </c>
      <c r="M483" s="72">
        <v>0.037500000000000006</v>
      </c>
      <c r="N483" s="73">
        <v>0</v>
      </c>
      <c r="O483" t="s">
        <v>11</v>
      </c>
    </row>
    <row r="484" spans="12:15" ht="15.75">
      <c r="L484" t="s">
        <v>661</v>
      </c>
      <c r="M484" s="72">
        <v>0.1</v>
      </c>
      <c r="N484" s="73">
        <v>513</v>
      </c>
      <c r="O484" t="s">
        <v>11</v>
      </c>
    </row>
    <row r="485" spans="12:15" ht="15.75">
      <c r="L485" t="s">
        <v>662</v>
      </c>
      <c r="M485" s="72">
        <v>0.08</v>
      </c>
      <c r="N485" s="73">
        <v>513</v>
      </c>
      <c r="O485" t="s">
        <v>11</v>
      </c>
    </row>
    <row r="486" spans="12:15" ht="15.75">
      <c r="L486" t="s">
        <v>663</v>
      </c>
      <c r="M486" s="72">
        <v>0.1</v>
      </c>
      <c r="N486" s="73">
        <v>513</v>
      </c>
      <c r="O486" t="s">
        <v>11</v>
      </c>
    </row>
    <row r="487" spans="12:15" ht="15.75">
      <c r="L487" t="s">
        <v>664</v>
      </c>
      <c r="M487" s="72">
        <v>0.05</v>
      </c>
      <c r="N487" s="73">
        <v>513</v>
      </c>
      <c r="O487" t="s">
        <v>11</v>
      </c>
    </row>
    <row r="488" spans="12:15" ht="15.75">
      <c r="L488" t="s">
        <v>665</v>
      </c>
      <c r="M488" s="72">
        <v>0.037500000000000006</v>
      </c>
      <c r="N488" s="73">
        <v>0</v>
      </c>
      <c r="O488" t="s">
        <v>11</v>
      </c>
    </row>
    <row r="489" spans="12:15" ht="15.75">
      <c r="L489" t="s">
        <v>666</v>
      </c>
      <c r="M489" s="72">
        <v>0.13</v>
      </c>
      <c r="N489" s="73">
        <v>863</v>
      </c>
      <c r="O489" t="s">
        <v>209</v>
      </c>
    </row>
    <row r="490" spans="12:15" ht="15.75">
      <c r="L490" t="s">
        <v>667</v>
      </c>
      <c r="M490" s="72">
        <v>0.14</v>
      </c>
      <c r="N490" s="73">
        <v>863</v>
      </c>
      <c r="O490" t="s">
        <v>9</v>
      </c>
    </row>
    <row r="491" spans="12:15" ht="15.75">
      <c r="L491" t="s">
        <v>668</v>
      </c>
      <c r="M491" s="72">
        <v>0.13</v>
      </c>
      <c r="N491" s="73">
        <v>513</v>
      </c>
      <c r="O491" t="s">
        <v>209</v>
      </c>
    </row>
    <row r="492" spans="12:15" ht="15.75">
      <c r="L492" t="s">
        <v>669</v>
      </c>
      <c r="M492" s="72">
        <v>0.13</v>
      </c>
      <c r="N492" s="73">
        <v>513</v>
      </c>
      <c r="O492" t="s">
        <v>9</v>
      </c>
    </row>
    <row r="493" spans="12:15" ht="15.75">
      <c r="L493" t="s">
        <v>670</v>
      </c>
      <c r="M493" s="72">
        <v>0.13</v>
      </c>
      <c r="N493" s="73">
        <v>513</v>
      </c>
      <c r="O493" t="s">
        <v>209</v>
      </c>
    </row>
    <row r="494" spans="12:15" ht="15.75">
      <c r="L494" t="s">
        <v>671</v>
      </c>
      <c r="M494" s="72">
        <v>0.13</v>
      </c>
      <c r="N494" s="73">
        <v>513</v>
      </c>
      <c r="O494" t="s">
        <v>9</v>
      </c>
    </row>
    <row r="495" spans="12:15" ht="15.75">
      <c r="L495" t="s">
        <v>672</v>
      </c>
      <c r="M495" s="72">
        <v>0.13</v>
      </c>
      <c r="N495" s="73">
        <v>513</v>
      </c>
      <c r="O495" t="s">
        <v>209</v>
      </c>
    </row>
    <row r="496" spans="12:15" ht="15.75">
      <c r="L496" t="s">
        <v>673</v>
      </c>
      <c r="M496" s="72">
        <v>0.13</v>
      </c>
      <c r="N496" s="73">
        <v>513</v>
      </c>
      <c r="O496" t="s">
        <v>9</v>
      </c>
    </row>
    <row r="497" spans="12:15" ht="15.75">
      <c r="L497" t="s">
        <v>674</v>
      </c>
      <c r="M497" s="72">
        <v>0.13</v>
      </c>
      <c r="N497" s="73">
        <v>863</v>
      </c>
      <c r="O497" t="s">
        <v>209</v>
      </c>
    </row>
    <row r="498" spans="12:15" ht="15.75">
      <c r="L498" t="s">
        <v>675</v>
      </c>
      <c r="M498" s="72">
        <v>0.13</v>
      </c>
      <c r="N498" s="73">
        <v>863</v>
      </c>
      <c r="O498" t="s">
        <v>9</v>
      </c>
    </row>
    <row r="499" spans="12:15" ht="15.75">
      <c r="L499" t="s">
        <v>854</v>
      </c>
      <c r="M499" s="72">
        <v>0.14</v>
      </c>
      <c r="N499" s="73">
        <v>513</v>
      </c>
      <c r="O499" t="s">
        <v>9</v>
      </c>
    </row>
    <row r="500" spans="12:15" ht="15.75">
      <c r="L500" t="s">
        <v>855</v>
      </c>
      <c r="M500" s="72">
        <v>0.14</v>
      </c>
      <c r="N500" s="73">
        <v>513</v>
      </c>
      <c r="O500" t="s">
        <v>209</v>
      </c>
    </row>
    <row r="501" spans="12:15" ht="15.75">
      <c r="L501" t="s">
        <v>676</v>
      </c>
      <c r="M501" s="72">
        <v>0.13</v>
      </c>
      <c r="N501" s="73">
        <v>513</v>
      </c>
      <c r="O501" t="s">
        <v>9</v>
      </c>
    </row>
    <row r="502" spans="12:15" ht="15.75">
      <c r="L502" t="s">
        <v>677</v>
      </c>
      <c r="M502" s="72">
        <v>0.13</v>
      </c>
      <c r="N502" s="73">
        <v>863</v>
      </c>
      <c r="O502" t="s">
        <v>9</v>
      </c>
    </row>
    <row r="503" spans="12:15" ht="15.75">
      <c r="L503" t="s">
        <v>678</v>
      </c>
      <c r="M503" s="72">
        <v>0.115</v>
      </c>
      <c r="N503" s="73">
        <v>863</v>
      </c>
      <c r="O503" t="s">
        <v>9</v>
      </c>
    </row>
    <row r="504" spans="12:15" ht="15.75">
      <c r="L504" t="s">
        <v>679</v>
      </c>
      <c r="M504" s="72">
        <v>0.115</v>
      </c>
      <c r="N504" s="73">
        <v>863</v>
      </c>
      <c r="O504" t="s">
        <v>209</v>
      </c>
    </row>
    <row r="505" spans="12:15" ht="15.75">
      <c r="L505" t="s">
        <v>680</v>
      </c>
      <c r="M505" s="72">
        <v>0.115</v>
      </c>
      <c r="N505" s="73">
        <v>317</v>
      </c>
      <c r="O505" t="s">
        <v>9</v>
      </c>
    </row>
    <row r="506" spans="12:15" ht="15.75">
      <c r="L506" t="s">
        <v>681</v>
      </c>
      <c r="M506" s="72">
        <v>0.11000000000000001</v>
      </c>
      <c r="N506" s="73">
        <v>317</v>
      </c>
      <c r="O506" t="s">
        <v>9</v>
      </c>
    </row>
    <row r="507" spans="12:15" ht="15.75">
      <c r="L507" t="s">
        <v>682</v>
      </c>
      <c r="M507" s="72">
        <v>0.11000000000000001</v>
      </c>
      <c r="N507" s="73">
        <v>317</v>
      </c>
      <c r="O507" t="s">
        <v>9</v>
      </c>
    </row>
    <row r="508" spans="12:15" ht="15.75">
      <c r="L508" t="s">
        <v>683</v>
      </c>
      <c r="M508" s="72">
        <v>0.11000000000000001</v>
      </c>
      <c r="N508" s="73">
        <v>317</v>
      </c>
      <c r="O508" t="s">
        <v>209</v>
      </c>
    </row>
    <row r="509" spans="12:15" ht="15.75">
      <c r="L509" t="s">
        <v>684</v>
      </c>
      <c r="M509" s="72">
        <v>0.08</v>
      </c>
      <c r="N509" s="73">
        <v>863</v>
      </c>
      <c r="O509" t="s">
        <v>209</v>
      </c>
    </row>
    <row r="510" spans="12:15" ht="15.75">
      <c r="L510" t="s">
        <v>685</v>
      </c>
      <c r="M510" s="72">
        <v>0.135</v>
      </c>
      <c r="N510" s="73">
        <v>863</v>
      </c>
      <c r="O510" t="s">
        <v>9</v>
      </c>
    </row>
    <row r="511" spans="12:15" ht="15.75">
      <c r="L511" t="s">
        <v>686</v>
      </c>
      <c r="M511" s="72">
        <v>0.135</v>
      </c>
      <c r="N511" s="73">
        <v>317</v>
      </c>
      <c r="O511" t="s">
        <v>209</v>
      </c>
    </row>
    <row r="512" spans="12:15" ht="15.75">
      <c r="L512" t="s">
        <v>687</v>
      </c>
      <c r="M512" s="72">
        <v>0.135</v>
      </c>
      <c r="N512" s="73">
        <v>317</v>
      </c>
      <c r="O512" t="s">
        <v>9</v>
      </c>
    </row>
    <row r="513" spans="12:15" ht="15.75">
      <c r="L513" t="s">
        <v>688</v>
      </c>
      <c r="M513" s="72">
        <v>0.115</v>
      </c>
      <c r="N513" s="73">
        <v>317</v>
      </c>
      <c r="O513" t="s">
        <v>9</v>
      </c>
    </row>
    <row r="514" spans="12:15" ht="15.75">
      <c r="L514" t="s">
        <v>689</v>
      </c>
      <c r="M514" s="72">
        <v>0.115</v>
      </c>
      <c r="N514" s="73">
        <v>317</v>
      </c>
      <c r="O514" t="s">
        <v>209</v>
      </c>
    </row>
    <row r="515" spans="12:15" ht="15.75">
      <c r="L515" t="s">
        <v>690</v>
      </c>
      <c r="M515" s="72">
        <v>0.115</v>
      </c>
      <c r="N515" s="73">
        <v>317</v>
      </c>
      <c r="O515" t="s">
        <v>9</v>
      </c>
    </row>
    <row r="516" spans="12:15" ht="15.75">
      <c r="L516" t="s">
        <v>691</v>
      </c>
      <c r="M516" s="72">
        <v>0.115</v>
      </c>
      <c r="N516" s="73">
        <v>317</v>
      </c>
      <c r="O516" t="s">
        <v>9</v>
      </c>
    </row>
    <row r="517" spans="12:15" ht="15.75">
      <c r="L517" t="s">
        <v>692</v>
      </c>
      <c r="M517" s="72">
        <v>0.115</v>
      </c>
      <c r="N517" s="73">
        <v>317</v>
      </c>
      <c r="O517" t="s">
        <v>9</v>
      </c>
    </row>
    <row r="518" spans="12:15" ht="15.75">
      <c r="L518" t="s">
        <v>693</v>
      </c>
      <c r="M518" s="72">
        <v>0.115</v>
      </c>
      <c r="N518" s="73">
        <v>317</v>
      </c>
      <c r="O518" t="s">
        <v>209</v>
      </c>
    </row>
    <row r="519" spans="12:15" ht="15.75">
      <c r="L519" t="s">
        <v>694</v>
      </c>
      <c r="M519" s="72">
        <v>0.115</v>
      </c>
      <c r="N519" s="73">
        <v>317</v>
      </c>
      <c r="O519" t="s">
        <v>9</v>
      </c>
    </row>
    <row r="520" spans="12:15" ht="15.75">
      <c r="L520" t="s">
        <v>695</v>
      </c>
      <c r="M520" s="72">
        <v>0.115</v>
      </c>
      <c r="N520" s="73">
        <v>317</v>
      </c>
      <c r="O520" t="s">
        <v>209</v>
      </c>
    </row>
    <row r="521" spans="12:15" ht="15.75">
      <c r="L521" t="s">
        <v>696</v>
      </c>
      <c r="M521" s="72">
        <v>0.115</v>
      </c>
      <c r="N521" s="73">
        <v>317</v>
      </c>
      <c r="O521" t="s">
        <v>9</v>
      </c>
    </row>
    <row r="522" spans="12:15" ht="15.75">
      <c r="L522" t="s">
        <v>697</v>
      </c>
      <c r="M522" s="72">
        <v>0.115</v>
      </c>
      <c r="N522" s="73">
        <v>317</v>
      </c>
      <c r="O522" t="s">
        <v>9</v>
      </c>
    </row>
    <row r="523" spans="12:15" ht="15.75">
      <c r="L523" t="s">
        <v>698</v>
      </c>
      <c r="M523" s="72">
        <v>0.115</v>
      </c>
      <c r="N523" s="73">
        <v>317</v>
      </c>
      <c r="O523" t="s">
        <v>9</v>
      </c>
    </row>
    <row r="524" spans="12:15" ht="15.75">
      <c r="L524" t="s">
        <v>699</v>
      </c>
      <c r="M524" s="72">
        <v>0.115</v>
      </c>
      <c r="N524" s="73">
        <v>317</v>
      </c>
      <c r="O524" t="s">
        <v>9</v>
      </c>
    </row>
    <row r="525" spans="12:15" ht="15.75">
      <c r="L525" t="s">
        <v>700</v>
      </c>
      <c r="M525" s="72">
        <v>0</v>
      </c>
      <c r="N525" s="73">
        <v>0</v>
      </c>
      <c r="O525" t="s">
        <v>209</v>
      </c>
    </row>
    <row r="526" spans="12:15" ht="15.75">
      <c r="L526" t="s">
        <v>701</v>
      </c>
      <c r="M526" s="72">
        <v>0.037500000000000006</v>
      </c>
      <c r="N526" s="73">
        <v>0</v>
      </c>
      <c r="O526" t="s">
        <v>11</v>
      </c>
    </row>
    <row r="527" spans="12:15" ht="15.75">
      <c r="L527" t="s">
        <v>702</v>
      </c>
      <c r="M527" s="72">
        <v>0.037500000000000006</v>
      </c>
      <c r="N527" s="73">
        <v>0</v>
      </c>
      <c r="O527" t="s">
        <v>11</v>
      </c>
    </row>
    <row r="528" spans="12:15" ht="15.75">
      <c r="L528" t="s">
        <v>703</v>
      </c>
      <c r="M528" s="72">
        <v>0.01</v>
      </c>
      <c r="N528" s="73">
        <v>317</v>
      </c>
      <c r="O528" t="s">
        <v>9</v>
      </c>
    </row>
    <row r="529" spans="12:15" ht="15.75">
      <c r="L529" t="s">
        <v>704</v>
      </c>
      <c r="M529" s="72">
        <v>0.015000000000000001</v>
      </c>
      <c r="N529" s="73">
        <v>0</v>
      </c>
      <c r="O529" t="s">
        <v>9</v>
      </c>
    </row>
    <row r="530" spans="12:15" ht="15.75">
      <c r="L530" t="s">
        <v>705</v>
      </c>
      <c r="M530" s="72">
        <v>0.09000000000000001</v>
      </c>
      <c r="N530" s="73">
        <v>513</v>
      </c>
      <c r="O530" t="s">
        <v>11</v>
      </c>
    </row>
    <row r="531" spans="12:15" ht="15.75">
      <c r="L531" t="s">
        <v>706</v>
      </c>
      <c r="M531" s="72">
        <v>0.09000000000000001</v>
      </c>
      <c r="N531" s="73">
        <v>513</v>
      </c>
      <c r="O531" t="s">
        <v>11</v>
      </c>
    </row>
    <row r="532" spans="12:15" ht="15.75">
      <c r="L532" t="s">
        <v>707</v>
      </c>
      <c r="M532" s="72">
        <v>0.09000000000000001</v>
      </c>
      <c r="N532" s="73">
        <v>513</v>
      </c>
      <c r="O532" t="s">
        <v>11</v>
      </c>
    </row>
    <row r="533" spans="12:15" ht="15.75">
      <c r="L533" t="s">
        <v>708</v>
      </c>
      <c r="M533" s="72">
        <v>0.037500000000000006</v>
      </c>
      <c r="N533" s="73">
        <v>0</v>
      </c>
      <c r="O533" t="s">
        <v>11</v>
      </c>
    </row>
    <row r="534" spans="12:15" ht="15.75">
      <c r="L534" t="s">
        <v>709</v>
      </c>
      <c r="M534" s="72">
        <v>0.11000000000000001</v>
      </c>
      <c r="N534" s="73">
        <v>317</v>
      </c>
      <c r="O534" t="s">
        <v>209</v>
      </c>
    </row>
    <row r="535" spans="12:15" ht="15.75">
      <c r="L535" t="s">
        <v>710</v>
      </c>
      <c r="M535" s="72">
        <v>0.11000000000000001</v>
      </c>
      <c r="N535" s="73">
        <v>317</v>
      </c>
      <c r="O535" t="s">
        <v>9</v>
      </c>
    </row>
    <row r="536" spans="12:15" ht="15.75">
      <c r="L536" t="s">
        <v>711</v>
      </c>
      <c r="M536" s="72">
        <v>0.1</v>
      </c>
      <c r="N536" s="73">
        <v>513</v>
      </c>
      <c r="O536" t="s">
        <v>11</v>
      </c>
    </row>
    <row r="537" spans="12:15" ht="15.75">
      <c r="L537" t="s">
        <v>712</v>
      </c>
      <c r="M537" s="72">
        <v>0.11000000000000001</v>
      </c>
      <c r="N537" s="73">
        <v>317</v>
      </c>
      <c r="O537" t="s">
        <v>209</v>
      </c>
    </row>
    <row r="538" spans="12:15" ht="15.75">
      <c r="L538" t="s">
        <v>713</v>
      </c>
      <c r="M538" s="72">
        <v>0.11000000000000001</v>
      </c>
      <c r="N538" s="73">
        <v>317</v>
      </c>
      <c r="O538" t="s">
        <v>9</v>
      </c>
    </row>
    <row r="539" spans="12:15" ht="15.75">
      <c r="L539" t="s">
        <v>714</v>
      </c>
      <c r="M539" s="72">
        <v>0.1</v>
      </c>
      <c r="N539" s="73">
        <v>513</v>
      </c>
      <c r="O539" t="s">
        <v>11</v>
      </c>
    </row>
    <row r="540" spans="12:15" ht="15.75">
      <c r="L540" t="s">
        <v>715</v>
      </c>
      <c r="M540" s="72">
        <v>0.1</v>
      </c>
      <c r="N540" s="73">
        <v>513</v>
      </c>
      <c r="O540" t="s">
        <v>11</v>
      </c>
    </row>
    <row r="541" spans="12:15" ht="15.75">
      <c r="L541" t="s">
        <v>716</v>
      </c>
      <c r="M541" s="72">
        <v>0.09000000000000001</v>
      </c>
      <c r="N541" s="73">
        <v>513</v>
      </c>
      <c r="O541" t="s">
        <v>11</v>
      </c>
    </row>
    <row r="542" spans="12:15" ht="15.75">
      <c r="L542" t="s">
        <v>717</v>
      </c>
      <c r="M542" s="72">
        <v>0.09000000000000001</v>
      </c>
      <c r="N542" s="73">
        <v>513</v>
      </c>
      <c r="O542" t="s">
        <v>11</v>
      </c>
    </row>
    <row r="543" spans="12:15" ht="15.75">
      <c r="L543" t="s">
        <v>718</v>
      </c>
      <c r="M543" s="72">
        <v>0.09000000000000001</v>
      </c>
      <c r="N543" s="73">
        <v>317</v>
      </c>
      <c r="O543" t="s">
        <v>209</v>
      </c>
    </row>
    <row r="544" spans="12:15" ht="15.75">
      <c r="L544" t="s">
        <v>719</v>
      </c>
      <c r="M544" s="72">
        <v>0.1</v>
      </c>
      <c r="N544" s="73">
        <v>317</v>
      </c>
      <c r="O544" t="s">
        <v>9</v>
      </c>
    </row>
    <row r="545" spans="12:15" ht="15.75">
      <c r="L545" t="s">
        <v>720</v>
      </c>
      <c r="M545" s="72">
        <v>0.1</v>
      </c>
      <c r="N545" s="73">
        <v>317</v>
      </c>
      <c r="O545" t="s">
        <v>209</v>
      </c>
    </row>
    <row r="546" spans="12:15" ht="15.75">
      <c r="L546" t="s">
        <v>721</v>
      </c>
      <c r="M546" s="72">
        <v>0.1</v>
      </c>
      <c r="N546" s="73">
        <v>317</v>
      </c>
      <c r="O546" t="s">
        <v>9</v>
      </c>
    </row>
    <row r="547" spans="12:15" ht="15.75">
      <c r="L547" t="s">
        <v>722</v>
      </c>
      <c r="M547" s="72">
        <v>0.09000000000000001</v>
      </c>
      <c r="N547" s="73">
        <v>513</v>
      </c>
      <c r="O547" t="s">
        <v>11</v>
      </c>
    </row>
    <row r="548" spans="12:15" ht="15.75">
      <c r="L548" t="s">
        <v>723</v>
      </c>
      <c r="M548" s="72">
        <v>0.09000000000000001</v>
      </c>
      <c r="N548" s="73">
        <v>513</v>
      </c>
      <c r="O548" t="s">
        <v>11</v>
      </c>
    </row>
    <row r="549" spans="12:15" ht="15.75">
      <c r="L549" t="s">
        <v>724</v>
      </c>
      <c r="M549" s="72">
        <v>0.095</v>
      </c>
      <c r="N549" s="73">
        <v>513</v>
      </c>
      <c r="O549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2022-08-01T15:41:15Z</dcterms:modified>
  <cp:category>Check Calculator - Tax Rate - Semi-monthly Version</cp:category>
  <cp:version/>
  <cp:contentType/>
  <cp:contentStatus/>
</cp:coreProperties>
</file>