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260" windowHeight="5550" activeTab="0"/>
  </bookViews>
  <sheets>
    <sheet name="calcbi12" sheetId="1" r:id="rId1"/>
  </sheets>
  <definedNames>
    <definedName name="ADDALLOW">'calcbi12'!$J$89</definedName>
    <definedName name="CAT">'calcbi12'!$B$5</definedName>
    <definedName name="DCA1">'calcbi12'!$B$18</definedName>
    <definedName name="DCA2">'calcbi12'!$C$18</definedName>
    <definedName name="DCA3">'calcbi12'!$D$18</definedName>
    <definedName name="DCA4">'calcbi12'!$E$18</definedName>
    <definedName name="DCA5">'calcbi12'!$F$18</definedName>
    <definedName name="DCA6">'calcbi12'!$G$18</definedName>
    <definedName name="DED1">'calcbi12'!$L$7</definedName>
    <definedName name="DED2">'calcbi12'!$L$8</definedName>
    <definedName name="DED3">'calcbi12'!$L$9</definedName>
    <definedName name="DED4">'calcbi12'!$L$10</definedName>
    <definedName name="EPMC">'calcbi12'!$J$8</definedName>
    <definedName name="EPMC_">'calcbi12'!$J$7</definedName>
    <definedName name="EPMC2">'calcbi12'!$M$14</definedName>
    <definedName name="EPMCD">'calcbi12'!$J$6</definedName>
    <definedName name="FAN1">'calcbi12'!$J$24</definedName>
    <definedName name="FBSA1">'calcbi12'!$J$40</definedName>
    <definedName name="FBST1">'calcbi12'!$J$56</definedName>
    <definedName name="FEDE">'calcbi12'!$B$9</definedName>
    <definedName name="FEDERAL">'calcbi12'!$O$1:$Q$25</definedName>
    <definedName name="FEDEXM">'calcbi12'!$J$22</definedName>
    <definedName name="FEDEXMPT">'calcbi12'!$O$2</definedName>
    <definedName name="FEDM">'calcbi12'!$B$8</definedName>
    <definedName name="Flex_Cash">'calcbi12'!$B$14</definedName>
    <definedName name="FMTR1">'calcbi12'!$J$48</definedName>
    <definedName name="FMTR2">'calcbi12'!$J$49</definedName>
    <definedName name="FMTR3">'calcbi12'!$J$50</definedName>
    <definedName name="FMTR4">'calcbi12'!$J$51</definedName>
    <definedName name="FMTR5">'calcbi12'!$J$52</definedName>
    <definedName name="FMTR6">'calcbi12'!$J$53</definedName>
    <definedName name="FOVR1">'calcbi12'!$J$64</definedName>
    <definedName name="FTA1">'calcbi12'!$J$72</definedName>
    <definedName name="FTAX1">'calcbi12'!$J$80</definedName>
    <definedName name="FTAX2">'calcbi12'!$J$81</definedName>
    <definedName name="FTAX3">'calcbi12'!$J$82</definedName>
    <definedName name="FTAX4">'calcbi12'!$J$83</definedName>
    <definedName name="FTAX5">'calcbi12'!$J$84</definedName>
    <definedName name="FTAX6">'calcbi12'!$J$85</definedName>
    <definedName name="FTG1">'calcbi12'!$J$32</definedName>
    <definedName name="FTXTBLM">'calcbi12'!$O$18:$Q$24</definedName>
    <definedName name="FTXTBLSH">'calcbi12'!$O$6:$Q$12</definedName>
    <definedName name="GROSS">'calcbi12'!$B$3</definedName>
    <definedName name="INSTRUCTIONS">'calcbi12'!$A$36:$G$53</definedName>
    <definedName name="IT">'calcbi12'!$A$1:$G$22</definedName>
    <definedName name="LIE">'calcbi12'!$J$88</definedName>
    <definedName name="LIEH">'calcbi12'!$V$8</definedName>
    <definedName name="LIEM1">'calcbi12'!$T$8</definedName>
    <definedName name="LIEM2">'calcbi12'!$U$8</definedName>
    <definedName name="LIES">'calcbi12'!$S$8</definedName>
    <definedName name="MACROS">'calcbi12'!$AA$40:$AH$102</definedName>
    <definedName name="MD_">'calcbi12'!$M$2</definedName>
    <definedName name="MED">'calcbi12'!$J$3</definedName>
    <definedName name="MED_">'calcbi12'!$J$2</definedName>
    <definedName name="NOMED_">'calcbi12'!$M$3</definedName>
    <definedName name="NOOA_">'calcbi12'!$L$3</definedName>
    <definedName name="OA_">'calcbi12'!$L$2</definedName>
    <definedName name="OAC">'calcbi12'!$B$7</definedName>
    <definedName name="OASDI">'calcbi12'!$J$5</definedName>
    <definedName name="OASDI_">'calcbi12'!$J$4</definedName>
    <definedName name="PAYFACT">'calcbi12'!$J$21</definedName>
    <definedName name="PER1">'calcbi12'!$M$7</definedName>
    <definedName name="PER2">'calcbi12'!$M$8</definedName>
    <definedName name="PER3">'calcbi12'!$M$9</definedName>
    <definedName name="PER4">'calcbi12'!$M$10</definedName>
    <definedName name="_xlnm.Print_Area" localSheetId="0">'calcbi12'!$A$1:$G$30</definedName>
    <definedName name="SADDALL">'calcbi12'!$S$3</definedName>
    <definedName name="SafetyCheck">'calcbi12'!$M$15</definedName>
    <definedName name="SBSA1">'calcbi12'!$J$105</definedName>
    <definedName name="SBST1">'calcbi12'!$J$121</definedName>
    <definedName name="SDED">'calcbi12'!$J$90</definedName>
    <definedName name="SDH">'calcbi12'!$V$13</definedName>
    <definedName name="SDI">'calcbi12'!$B$13</definedName>
    <definedName name="SDI1">'calcbi12'!$J$11</definedName>
    <definedName name="SDIGRS">'calcbi12'!$J$12</definedName>
    <definedName name="SDM1">'calcbi12'!$T$13</definedName>
    <definedName name="SDM2">'calcbi12'!$U$13</definedName>
    <definedName name="SDS">'calcbi12'!$S$13</definedName>
    <definedName name="SMTR1">'calcbi12'!$J$113</definedName>
    <definedName name="SMTR2">'calcbi12'!$J$114</definedName>
    <definedName name="SMTR3">'calcbi12'!$J$115</definedName>
    <definedName name="SMTR4">'calcbi12'!$J$116</definedName>
    <definedName name="SMTR5">'calcbi12'!$J$117</definedName>
    <definedName name="SMTR6">'calcbi12'!$J$118</definedName>
    <definedName name="SOVR1">'calcbi12'!$J$129</definedName>
    <definedName name="STA">'calcbi12'!$B$12</definedName>
    <definedName name="STA1">'calcbi12'!$J$137</definedName>
    <definedName name="STATE">'calcbi12'!$S$1:$Z$98</definedName>
    <definedName name="STAX1">'calcbi12'!$J$145</definedName>
    <definedName name="STAX2">'calcbi12'!$J$146</definedName>
    <definedName name="STAX3">'calcbi12'!$J$147</definedName>
    <definedName name="STAX4">'calcbi12'!$J$148</definedName>
    <definedName name="STAX5">'calcbi12'!$J$149</definedName>
    <definedName name="STAX6">'calcbi12'!$J$150</definedName>
    <definedName name="STE">'calcbi12'!$B$11</definedName>
    <definedName name="STG1">'calcbi12'!$J$97</definedName>
    <definedName name="STM">'calcbi12'!$B$10</definedName>
    <definedName name="STXTBLM">'calcbi12'!$S$31:$U$37</definedName>
    <definedName name="STXTBLS">'calcbi12'!$S$17:$U$23</definedName>
    <definedName name="STXTBLUH">'calcbi12'!$S$45:$U$51</definedName>
    <definedName name="TCRM0">'calcbi12'!$T$61</definedName>
    <definedName name="TCRM1">'calcbi12'!$U$61</definedName>
    <definedName name="TCRM2">'calcbi12'!$V$61</definedName>
    <definedName name="TCRMR">'calcbi12'!$W$61</definedName>
    <definedName name="TCRS0">'calcbi12'!$T$60</definedName>
    <definedName name="TCRS1">'calcbi12'!$U$60</definedName>
    <definedName name="TCRS2">'calcbi12'!$V$60</definedName>
    <definedName name="TCRSR">'calcbi12'!$W$60</definedName>
    <definedName name="TG1">'calcbi12'!$J$13</definedName>
    <definedName name="TG2">'calcbi12'!$J$14</definedName>
    <definedName name="TG3">'calcbi12'!$J$15</definedName>
    <definedName name="TG4">'calcbi12'!$J$16</definedName>
    <definedName name="TG5">'calcbi12'!$J$17</definedName>
    <definedName name="TG6">'calcbi12'!$J$18</definedName>
    <definedName name="TIER">'calcbi12'!$B$6</definedName>
    <definedName name="Total_A_R_Deductions">'calcbi12'!$B$16</definedName>
    <definedName name="Total_Flex">'calcbi12'!$B$15</definedName>
    <definedName name="TXCRB">'calcbi12'!$J$91</definedName>
    <definedName name="TXCREDIT">'calcbi12'!$J$94</definedName>
    <definedName name="TXCROV2">'calcbi12'!$J$92</definedName>
    <definedName name="TXCRR">'calcbi12'!$J$93</definedName>
    <definedName name="VOLDEDS">'calcbi12'!$B$17</definedName>
    <definedName name="WORK">'calcbi12'!$I$1:$M$162</definedName>
  </definedNames>
  <calcPr fullCalcOnLoad="1"/>
</workbook>
</file>

<file path=xl/sharedStrings.xml><?xml version="1.0" encoding="utf-8"?>
<sst xmlns="http://schemas.openxmlformats.org/spreadsheetml/2006/main" count="334" uniqueCount="284">
  <si>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</si>
  <si>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</si>
  <si>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</si>
  <si>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</si>
  <si>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</si>
  <si>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</si>
  <si>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</si>
  <si>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</si>
  <si>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</si>
  <si>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</si>
  <si>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</si>
  <si>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MIS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</si>
  <si>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</si>
  <si>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</si>
  <si>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</si>
  <si>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</si>
  <si>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</si>
  <si>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</si>
  <si>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</si>
  <si>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</si>
  <si>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</si>
  <si>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</si>
  <si>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</si>
  <si>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</si>
  <si>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</si>
  <si>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</si>
  <si>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</si>
  <si>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</si>
  <si>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</si>
  <si>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</si>
  <si>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</si>
  <si>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</si>
  <si>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</si>
  <si>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</si>
  <si>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</si>
  <si>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</si>
  <si>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</si>
  <si>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</si>
  <si>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</si>
  <si>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</si>
  <si>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</si>
  <si>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</si>
  <si>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</si>
  <si>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</si>
  <si>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</si>
  <si>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</si>
  <si>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</si>
  <si>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</si>
  <si>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</si>
  <si>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</si>
  <si>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</si>
  <si>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</si>
  <si>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</si>
  <si>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</si>
  <si>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</si>
  <si>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</si>
  <si>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</si>
  <si>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</si>
  <si>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</si>
  <si>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</si>
  <si>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</si>
  <si>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</si>
  <si>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</si>
  <si>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</si>
  <si>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</si>
  <si>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</si>
  <si>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</si>
  <si>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</si>
  <si>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</si>
  <si>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</si>
  <si>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</si>
  <si>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</si>
  <si>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</si>
  <si>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</si>
  <si>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</si>
  <si>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</si>
  <si>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</si>
  <si>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</si>
  <si>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</si>
  <si>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</si>
  <si>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</si>
  <si>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</si>
  <si>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</si>
  <si>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</si>
  <si>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</si>
  <si>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</si>
  <si>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</si>
  <si>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</si>
  <si>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</si>
  <si>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</si>
  <si>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</si>
  <si>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</si>
  <si>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</si>
  <si>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</si>
  <si>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</si>
  <si>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</si>
  <si>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</si>
  <si>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</si>
  <si>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</si>
  <si>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</si>
  <si>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</si>
  <si>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</si>
  <si>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</si>
  <si>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</si>
  <si>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</si>
  <si>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</si>
  <si>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</si>
  <si>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</si>
  <si>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</si>
  <si>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</si>
  <si>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</si>
  <si>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deductions enter YES,  if it shows MEDICARE only enter MED or if it shows neither enter NO.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</si>
  <si>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</si>
  <si>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</si>
  <si>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</si>
  <si>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</si>
  <si>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</si>
  <si>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</si>
  <si>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</si>
  <si>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</si>
  <si>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</si>
  <si>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</si>
  <si>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</si>
  <si>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</si>
  <si>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</si>
  <si>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</si>
  <si>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</si>
  <si>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</si>
  <si>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</si>
  <si>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</si>
  <si>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</si>
  <si>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</si>
  <si>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</si>
  <si>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</si>
  <si>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</si>
  <si>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</si>
  <si>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</si>
  <si>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</si>
  <si>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</si>
  <si>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</si>
  <si>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</si>
  <si>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</si>
  <si>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</si>
  <si>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</si>
  <si>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</si>
  <si>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</si>
  <si>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</si>
  <si>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</si>
  <si>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</si>
  <si>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</si>
  <si>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</si>
  <si>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</si>
  <si>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</si>
  <si>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</si>
  <si>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</si>
  <si>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</si>
  <si>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</si>
  <si>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</si>
  <si>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</si>
  <si>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</si>
  <si>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</si>
  <si>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</si>
  <si>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</si>
  <si>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</si>
  <si>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</si>
  <si>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</si>
  <si>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</si>
  <si>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</si>
  <si>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</si>
  <si>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</si>
  <si>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</si>
  <si>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</si>
  <si>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</si>
  <si>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</si>
  <si>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</si>
  <si>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</si>
  <si>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</si>
  <si>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</si>
  <si>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</si>
  <si>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</si>
  <si>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</si>
  <si>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</si>
  <si>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</si>
  <si>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</si>
  <si>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</si>
  <si>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</si>
  <si>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</si>
  <si>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</si>
  <si>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</si>
  <si>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</si>
  <si>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</si>
  <si>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</si>
  <si>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</si>
  <si>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</si>
  <si>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</si>
  <si>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</si>
  <si>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</si>
  <si>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</si>
  <si>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</si>
  <si>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</si>
  <si>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</si>
  <si>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</si>
  <si>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</si>
  <si>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</si>
  <si>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</si>
  <si>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</si>
  <si>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</si>
  <si>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</si>
  <si>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</si>
  <si>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</si>
  <si>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</si>
  <si>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</si>
  <si>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</si>
  <si>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</si>
  <si>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</si>
  <si>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 xml:space="preserve">(1-21, U or C)                                                          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</si>
  <si>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</si>
  <si>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</si>
  <si>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</si>
  <si>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</si>
  <si>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</si>
  <si>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</si>
  <si>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</si>
  <si>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</si>
  <si>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</si>
  <si>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</si>
  <si>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</si>
  <si>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</si>
  <si>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</si>
  <si>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</si>
  <si>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</si>
  <si>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</si>
  <si>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</si>
  <si>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</si>
  <si>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</si>
  <si>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</si>
  <si>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</si>
  <si>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</si>
  <si>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</si>
  <si>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</si>
  <si>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</si>
  <si>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SDI1</t>
  </si>
  <si>
    <t>SDIGRS</t>
  </si>
  <si>
    <t>SDI %</t>
  </si>
  <si>
    <t>SDI Withheld</t>
  </si>
  <si>
    <t>NO</t>
  </si>
  <si>
    <t xml:space="preserve">(MIS, IND, SAF, PAT, POF, NONE, L ,T, J, TD, TM, TX, TY)  </t>
  </si>
  <si>
    <t>(NOTE: POF and PAT members with a rate of 0% should enter the code NONE, POF members with a $863 monthly exclusion</t>
  </si>
  <si>
    <t>YES</t>
  </si>
  <si>
    <t>M</t>
  </si>
  <si>
    <t>See instruction for special</t>
  </si>
  <si>
    <t>POF Ret Cat Codes</t>
  </si>
  <si>
    <t>Revision</t>
  </si>
  <si>
    <t>SD</t>
  </si>
  <si>
    <t>POF Retirement Categories</t>
  </si>
  <si>
    <t>Ret Cat</t>
  </si>
  <si>
    <t>Excl Amt</t>
  </si>
  <si>
    <t>Perct</t>
  </si>
  <si>
    <t>POA</t>
  </si>
  <si>
    <t>SEIU</t>
  </si>
  <si>
    <t>POB</t>
  </si>
  <si>
    <t>POC</t>
  </si>
  <si>
    <t>U - BU5/8</t>
  </si>
  <si>
    <t>POD</t>
  </si>
  <si>
    <t>POF</t>
  </si>
  <si>
    <t>All others</t>
  </si>
  <si>
    <t>POG</t>
  </si>
  <si>
    <t>BU5/8/12/16/18/19</t>
  </si>
  <si>
    <t>POH</t>
  </si>
  <si>
    <t>POI</t>
  </si>
  <si>
    <t>POJ</t>
  </si>
  <si>
    <t>POK</t>
  </si>
  <si>
    <t>POL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</si>
  <si>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</si>
  <si>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</si>
  <si>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</si>
  <si>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</si>
  <si>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</si>
  <si>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</si>
  <si>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</si>
  <si>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</si>
  <si>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</si>
  <si>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</si>
  <si>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1/1/13-1/30/13)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</si>
</sst>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 locked="0"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39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7" fontId="9" fillId="0" borderId="10" xfId="0" applyNumberFormat="1" applyFont="1" applyBorder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283</v>
      </c>
      <c r="C1" s="8"/>
      <c r="D1" s="8"/>
      <c r="E1" s="11"/>
      <c r="F1" s="11"/>
      <c r="G1" s="11"/>
      <c r="I1" s="2" t="s">
        <v>0</v>
      </c>
      <c r="K1" t="s">
        <v>252</v>
      </c>
      <c r="L1" s="2" t="s">
        <v>1</v>
      </c>
      <c r="M1" s="2" t="s">
        <v>2</v>
      </c>
      <c r="N1" s="2" t="s">
        <v>243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54">
        <v>39851</v>
      </c>
      <c r="L2">
        <v>0.062</v>
      </c>
      <c r="M2">
        <v>0.0145</v>
      </c>
      <c r="N2">
        <v>0.01</v>
      </c>
      <c r="O2" s="3">
        <v>3800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12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211</v>
      </c>
      <c r="B4" s="34">
        <v>4</v>
      </c>
      <c r="C4" s="15" t="s">
        <v>215</v>
      </c>
      <c r="D4" s="33"/>
      <c r="E4" s="33"/>
      <c r="F4" s="33"/>
      <c r="G4" s="24"/>
      <c r="I4" s="2" t="s">
        <v>15</v>
      </c>
      <c r="J4" s="5">
        <f>IF(OR(OR(OR(OAC="NO",CAT="SAF"),CAT="PAT"),CAT="POF"),0,IF(OAC="YES",OA_,IF(OAC="MED",NOOA_,0)))</f>
        <v>0.062</v>
      </c>
      <c r="L4" t="s">
        <v>7</v>
      </c>
      <c r="M4" t="s">
        <v>7</v>
      </c>
      <c r="O4" s="2" t="s">
        <v>16</v>
      </c>
    </row>
    <row r="5" spans="1:19" ht="16.5" thickBot="1">
      <c r="A5" s="10" t="s">
        <v>10</v>
      </c>
      <c r="B5" s="19" t="s">
        <v>11</v>
      </c>
      <c r="C5" s="15" t="s">
        <v>246</v>
      </c>
      <c r="D5" s="8"/>
      <c r="E5" s="8"/>
      <c r="F5" s="33"/>
      <c r="G5" s="47"/>
      <c r="I5" s="2" t="s">
        <v>19</v>
      </c>
      <c r="J5" s="3">
        <f>ROUND((GROSS+Flex_Cash-Total_Flex)*OASDI_,2)</f>
        <v>248</v>
      </c>
      <c r="L5" s="7" t="s">
        <v>20</v>
      </c>
      <c r="M5" s="2"/>
      <c r="O5" s="2" t="s">
        <v>21</v>
      </c>
      <c r="P5" s="2" t="s">
        <v>22</v>
      </c>
      <c r="Q5" s="2" t="s">
        <v>23</v>
      </c>
      <c r="S5" s="2" t="s">
        <v>24</v>
      </c>
    </row>
    <row r="6" spans="1:22" ht="16.5" thickTop="1">
      <c r="A6" s="10" t="s">
        <v>13</v>
      </c>
      <c r="B6" s="19">
        <v>1</v>
      </c>
      <c r="C6" s="15" t="s">
        <v>14</v>
      </c>
      <c r="D6" s="8"/>
      <c r="E6" s="50" t="s">
        <v>250</v>
      </c>
      <c r="F6" s="51"/>
      <c r="G6" s="24"/>
      <c r="I6" s="2" t="s">
        <v>27</v>
      </c>
      <c r="J6" s="3">
        <f>IF(OR(B5="NONE",B5="TD",B5="TX",B5="TM",B5="TY",B6=2),L7,IF(AND(OR(B5="MIS",B5="IND"),B7="YES"),L8,IF(B5="POY",L8,IF(AND(OR(B5="MIS",B5="IND"),B7&lt;&gt;"YES"),L9,IF(B5="SAF",L9,IF(OR(B5="POF",B5="POZ"),L10,IF(B5="POX",L11,IF(B5="PAT",L11,0))))))))</f>
        <v>236.77</v>
      </c>
      <c r="L6" s="2" t="s">
        <v>28</v>
      </c>
      <c r="M6" s="2" t="s">
        <v>29</v>
      </c>
      <c r="O6" s="3">
        <v>-999999</v>
      </c>
      <c r="P6" s="3">
        <v>0</v>
      </c>
      <c r="Q6" s="3">
        <v>0</v>
      </c>
      <c r="T6" s="2" t="s">
        <v>30</v>
      </c>
      <c r="V6" s="2" t="s">
        <v>31</v>
      </c>
    </row>
    <row r="7" spans="1:22" ht="16.5" thickBot="1">
      <c r="A7" s="10" t="s">
        <v>17</v>
      </c>
      <c r="B7" s="19" t="s">
        <v>248</v>
      </c>
      <c r="C7" s="15" t="s">
        <v>18</v>
      </c>
      <c r="D7" s="8"/>
      <c r="E7" s="52" t="s">
        <v>251</v>
      </c>
      <c r="F7" s="53"/>
      <c r="G7" s="24"/>
      <c r="I7" s="2" t="s">
        <v>34</v>
      </c>
      <c r="J7" s="6">
        <f>IF(OR(B5="NONE",B6=2),M7,IF(OR(B5="TD",B5="TX",B5="TM",B5="TY"),M11+M16+SafetyCheck+EPMC2,IF(AND(OR(B5="MIS",B5="IND"),B7="YES"),M8+M16+SafetyCheck+EPMC2,IF(AND(OR(B5="MIS",B5="IND"),B7&lt;&gt;"YES"),M9+M16+SafetyCheck+EPMC2,IF(OR(B5="SAF",B5="POZ"),M9+M16+SafetyCheck+EPMC2,IF(LEFT(B5,2)="PO",N48,IF(B5="PAT",0.06,0)))))))</f>
        <v>0.08</v>
      </c>
      <c r="L7">
        <v>0</v>
      </c>
      <c r="M7">
        <v>0</v>
      </c>
      <c r="O7" s="3">
        <v>2150</v>
      </c>
      <c r="P7" s="3">
        <v>0.1</v>
      </c>
      <c r="Q7" s="3">
        <v>0</v>
      </c>
      <c r="S7" s="7" t="s">
        <v>35</v>
      </c>
      <c r="T7" s="7" t="s">
        <v>36</v>
      </c>
      <c r="U7" s="2" t="s">
        <v>37</v>
      </c>
      <c r="V7" s="2" t="s">
        <v>38</v>
      </c>
    </row>
    <row r="8" spans="1:22" ht="16.5" thickTop="1">
      <c r="A8" s="10" t="s">
        <v>25</v>
      </c>
      <c r="B8" s="19" t="s">
        <v>249</v>
      </c>
      <c r="C8" s="15" t="s">
        <v>26</v>
      </c>
      <c r="D8" s="8"/>
      <c r="E8" s="8"/>
      <c r="F8" s="8"/>
      <c r="G8" s="24"/>
      <c r="I8" s="2" t="s">
        <v>20</v>
      </c>
      <c r="J8" s="48">
        <f>IF(B6=2,0,IF((GROSS-EPMCD)*EPMC_&lt;0,0,ROUND((GROSS-EPMCD)*EPMC_,2)))</f>
        <v>301.06</v>
      </c>
      <c r="L8">
        <v>236.77</v>
      </c>
      <c r="M8" s="6">
        <f>0.05</f>
        <v>0.05</v>
      </c>
      <c r="O8" s="3">
        <v>10850</v>
      </c>
      <c r="P8" s="3">
        <v>0.15</v>
      </c>
      <c r="Q8" s="3">
        <v>870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32</v>
      </c>
      <c r="B9" s="19">
        <v>0</v>
      </c>
      <c r="C9" s="15" t="s">
        <v>33</v>
      </c>
      <c r="D9" s="8"/>
      <c r="E9" s="8"/>
      <c r="F9" s="8"/>
      <c r="G9" s="24"/>
      <c r="I9" s="2" t="s">
        <v>41</v>
      </c>
      <c r="J9" s="23">
        <f>GROSS+Flex_Cash-Total_Flex</f>
        <v>4000</v>
      </c>
      <c r="K9" s="5"/>
      <c r="L9">
        <v>146.31</v>
      </c>
      <c r="M9" s="6">
        <f>0.06</f>
        <v>0.06</v>
      </c>
      <c r="O9" s="3">
        <v>37500</v>
      </c>
      <c r="P9" s="3">
        <v>0.25</v>
      </c>
      <c r="Q9" s="3">
        <v>4867.5</v>
      </c>
    </row>
    <row r="10" spans="1:19" ht="15.75">
      <c r="A10" s="10" t="s">
        <v>39</v>
      </c>
      <c r="B10" s="19" t="s">
        <v>249</v>
      </c>
      <c r="C10" s="15" t="s">
        <v>26</v>
      </c>
      <c r="D10" s="8"/>
      <c r="E10" s="12" t="s">
        <v>7</v>
      </c>
      <c r="F10" s="10" t="s">
        <v>7</v>
      </c>
      <c r="G10" s="25" t="s">
        <v>7</v>
      </c>
      <c r="I10" s="2" t="s">
        <v>43</v>
      </c>
      <c r="J10" s="23">
        <f>GROSS+Flex_Cash-Total_Flex</f>
        <v>4000</v>
      </c>
      <c r="K10" s="3"/>
      <c r="L10">
        <v>238</v>
      </c>
      <c r="M10" s="6">
        <f>0.08</f>
        <v>0.08</v>
      </c>
      <c r="O10" s="3">
        <v>87800</v>
      </c>
      <c r="P10" s="3">
        <v>0.28</v>
      </c>
      <c r="Q10" s="3">
        <v>17442.5</v>
      </c>
      <c r="S10" s="2" t="s">
        <v>44</v>
      </c>
    </row>
    <row r="11" spans="1:22" ht="15.75">
      <c r="A11" s="10" t="s">
        <v>40</v>
      </c>
      <c r="B11" s="19">
        <v>0</v>
      </c>
      <c r="C11" s="15" t="s">
        <v>33</v>
      </c>
      <c r="D11" s="8"/>
      <c r="E11" s="12" t="s">
        <v>7</v>
      </c>
      <c r="F11" s="10" t="s">
        <v>7</v>
      </c>
      <c r="G11" s="25" t="s">
        <v>7</v>
      </c>
      <c r="I11" s="2" t="s">
        <v>241</v>
      </c>
      <c r="J11" s="45">
        <f>IF(SDI="Yes",SDIGRS*N2,0)</f>
        <v>0</v>
      </c>
      <c r="K11" s="5"/>
      <c r="L11">
        <v>863</v>
      </c>
      <c r="M11" s="6">
        <f>0.08</f>
        <v>0.08</v>
      </c>
      <c r="O11" s="3">
        <v>180800</v>
      </c>
      <c r="P11" s="38">
        <v>0.33</v>
      </c>
      <c r="Q11" s="3">
        <v>43482.5</v>
      </c>
      <c r="T11" s="2" t="s">
        <v>30</v>
      </c>
      <c r="V11" s="2" t="s">
        <v>31</v>
      </c>
    </row>
    <row r="12" spans="1:22" ht="15.75">
      <c r="A12" s="10" t="s">
        <v>42</v>
      </c>
      <c r="B12" s="19">
        <v>0</v>
      </c>
      <c r="C12" s="15" t="s">
        <v>33</v>
      </c>
      <c r="D12" s="8"/>
      <c r="E12" s="12" t="s">
        <v>7</v>
      </c>
      <c r="F12" s="10" t="s">
        <v>7</v>
      </c>
      <c r="G12" s="25" t="s">
        <v>7</v>
      </c>
      <c r="I12" s="2" t="s">
        <v>242</v>
      </c>
      <c r="J12" s="46">
        <f>GROSS+Flex_Cash-Total_Flex</f>
        <v>4000</v>
      </c>
      <c r="K12" s="5"/>
      <c r="O12" s="3">
        <v>390500</v>
      </c>
      <c r="P12" s="38">
        <v>0.35</v>
      </c>
      <c r="Q12" s="3">
        <v>112683.5</v>
      </c>
      <c r="S12" s="7" t="s">
        <v>35</v>
      </c>
      <c r="T12" s="7" t="s">
        <v>36</v>
      </c>
      <c r="U12" s="2" t="s">
        <v>37</v>
      </c>
      <c r="V12" s="2" t="s">
        <v>38</v>
      </c>
    </row>
    <row r="13" spans="1:22" ht="15.75">
      <c r="A13" s="10" t="s">
        <v>238</v>
      </c>
      <c r="B13" s="19" t="s">
        <v>245</v>
      </c>
      <c r="C13" s="15" t="s">
        <v>239</v>
      </c>
      <c r="D13" s="8"/>
      <c r="E13" s="12"/>
      <c r="F13" s="10"/>
      <c r="G13" s="25"/>
      <c r="I13" s="2" t="s">
        <v>46</v>
      </c>
      <c r="J13" s="3">
        <f>(GROSS-Total_A_R_Deductions-EPMC+Flex_Cash-Total_Flex-DCA1)</f>
        <v>3698.94</v>
      </c>
      <c r="K13" s="5"/>
      <c r="L13" t="s">
        <v>52</v>
      </c>
      <c r="O13" s="3"/>
      <c r="P13" s="3"/>
      <c r="Q13" s="3"/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45</v>
      </c>
      <c r="B14" s="20">
        <v>0</v>
      </c>
      <c r="C14" s="15" t="s">
        <v>236</v>
      </c>
      <c r="D14" s="8"/>
      <c r="E14" s="8"/>
      <c r="F14" s="8"/>
      <c r="G14" s="24"/>
      <c r="I14" s="2" t="s">
        <v>48</v>
      </c>
      <c r="J14" s="3">
        <f>(GROSS-Total_A_R_Deductions-EPMC+Flex_Cash-Total_Flex-DCA2)</f>
        <v>3598.94</v>
      </c>
      <c r="K14" s="5"/>
      <c r="L14" t="s">
        <v>55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47</v>
      </c>
      <c r="B15" s="20">
        <v>0</v>
      </c>
      <c r="C15" s="15" t="s">
        <v>233</v>
      </c>
      <c r="D15" s="8"/>
      <c r="E15" s="8"/>
      <c r="F15" s="8"/>
      <c r="G15" s="24"/>
      <c r="I15" s="2" t="s">
        <v>51</v>
      </c>
      <c r="J15" s="3">
        <f>(GROSS-Total_A_R_Deductions-EPMC+Flex_Cash-Total_Flex-DCA3)</f>
        <v>3498.94</v>
      </c>
      <c r="K15" s="5"/>
      <c r="L15" s="39" t="s">
        <v>216</v>
      </c>
      <c r="M15" s="40">
        <f>IF(AND(OR(B4=1,B4=2,B4=3,B4=4,B4=11,B4=15),B5="SAF"),0,0)</f>
        <v>0</v>
      </c>
      <c r="S15" s="2" t="s">
        <v>59</v>
      </c>
    </row>
    <row r="16" spans="1:21" ht="15.75">
      <c r="A16" s="10" t="s">
        <v>49</v>
      </c>
      <c r="B16" s="20">
        <v>0</v>
      </c>
      <c r="C16" s="15" t="s">
        <v>50</v>
      </c>
      <c r="D16" s="8"/>
      <c r="E16" s="8"/>
      <c r="F16" s="8"/>
      <c r="G16" s="24"/>
      <c r="I16" s="2" t="s">
        <v>54</v>
      </c>
      <c r="J16" s="3">
        <f>(GROSS-Total_A_R_Deductions-EPMC+Flex_Cash-Total_Flex-DCA4)</f>
        <v>3398.94</v>
      </c>
      <c r="K16" s="5"/>
      <c r="L16" s="35" t="s">
        <v>212</v>
      </c>
      <c r="M16" s="36">
        <f>VLOOKUP(B4,L17:M40,2)</f>
        <v>0.03</v>
      </c>
      <c r="O16" s="2" t="s">
        <v>7</v>
      </c>
      <c r="P16" s="2" t="s">
        <v>58</v>
      </c>
      <c r="S16" s="2" t="s">
        <v>21</v>
      </c>
      <c r="T16" s="2" t="s">
        <v>22</v>
      </c>
      <c r="U16" s="2" t="s">
        <v>23</v>
      </c>
    </row>
    <row r="17" spans="1:21" ht="16.5" thickBot="1">
      <c r="A17" s="10" t="s">
        <v>53</v>
      </c>
      <c r="B17" s="20">
        <v>0</v>
      </c>
      <c r="C17" s="15" t="s">
        <v>233</v>
      </c>
      <c r="D17" s="8"/>
      <c r="E17" s="8"/>
      <c r="F17" s="8"/>
      <c r="G17" s="24"/>
      <c r="I17" s="2" t="s">
        <v>57</v>
      </c>
      <c r="J17" s="3">
        <f>(GROSS-Total_A_R_Deductions-EPMC+Flex_Cash-Total_Flex-DCA5)</f>
        <v>3198.94</v>
      </c>
      <c r="K17" s="5"/>
      <c r="L17" s="35">
        <v>1</v>
      </c>
      <c r="M17" s="37">
        <v>0.03</v>
      </c>
      <c r="O17" s="2" t="s">
        <v>21</v>
      </c>
      <c r="P17" s="2" t="s">
        <v>22</v>
      </c>
      <c r="Q17" s="2" t="s">
        <v>23</v>
      </c>
      <c r="S17" s="4">
        <v>0</v>
      </c>
      <c r="T17" s="49">
        <v>0.011</v>
      </c>
      <c r="U17" s="3">
        <v>0</v>
      </c>
    </row>
    <row r="18" spans="1:21" ht="16.5" thickBot="1">
      <c r="A18" s="14" t="s">
        <v>56</v>
      </c>
      <c r="B18" s="57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61</v>
      </c>
      <c r="J18" s="3">
        <f>(GROSS-Total_A_R_Deductions-EPMC+Flex_Cash-Total_Flex-DCA6)</f>
        <v>3073.94</v>
      </c>
      <c r="K18" s="5"/>
      <c r="L18" s="35">
        <v>2</v>
      </c>
      <c r="M18" s="37">
        <v>0.04</v>
      </c>
      <c r="O18" s="3">
        <v>-999999</v>
      </c>
      <c r="P18" s="3">
        <v>0</v>
      </c>
      <c r="Q18" s="3">
        <v>0</v>
      </c>
      <c r="S18" s="4">
        <v>7455</v>
      </c>
      <c r="T18" s="49">
        <v>0.022</v>
      </c>
      <c r="U18" s="3">
        <v>82.01</v>
      </c>
    </row>
    <row r="19" spans="1:21" ht="15.75">
      <c r="A19" s="13" t="s">
        <v>60</v>
      </c>
      <c r="B19" s="27">
        <f>(GROSS-EPMC-OASDI-MED+Flex_Cash-Total_Flex-VOLDEDS-DCA1-FTAX1-STAX1-B16-SDI1)</f>
        <v>2687.9300000000003</v>
      </c>
      <c r="C19" s="28">
        <f>IF(DCA2&gt;0,(GROSS-EPMC-OASDI-MED+Flex_Cash-Total_Flex-VOLDEDS-DCA2-FTAX2-STAX2-B16-SDI1),"")</f>
        <v>2621.7300000000005</v>
      </c>
      <c r="D19" s="28">
        <f>IF(DCA3&gt;0,(GROSS-EPMC-OASDI-MED+Flex_Cash-Total_Flex-VOLDEDS-DCA3-FTAX3-STAX3-B16-SDI1),"")</f>
        <v>2555.53</v>
      </c>
      <c r="E19" s="28">
        <f>IF(DCA4&gt;0,(GROSS-EPMC-OASDI-MED+Flex_Cash-Total_Flex-VOLDEDS-DCA4-FTAX4-STAX4-B16-SDI1),"")</f>
        <v>2489.3300000000004</v>
      </c>
      <c r="F19" s="28">
        <f>IF(DCA5&gt;0,(GROSS-EPMC-OASDI-MED+Flex_Cash-Total_Flex-VOLDEDS-DCA5-FTAX5-STAX5-B16-SDI1),"")</f>
        <v>2356.9300000000003</v>
      </c>
      <c r="G19" s="28">
        <f>IF(DCA6&gt;0,(GROSS-EPMC-OASDI-MED+Flex_Cash-Total_Flex-VOLDEDS-DCA6-FTAX6-STAX6-B16-SDI1),"")</f>
        <v>2273.0200000000004</v>
      </c>
      <c r="K19" s="5"/>
      <c r="L19" s="35">
        <v>3</v>
      </c>
      <c r="M19" s="37">
        <v>0.03</v>
      </c>
      <c r="O19" s="3">
        <v>8100</v>
      </c>
      <c r="P19" s="3">
        <v>0.1</v>
      </c>
      <c r="Q19" s="3">
        <v>0</v>
      </c>
      <c r="S19" s="4">
        <v>17676</v>
      </c>
      <c r="T19" s="49">
        <v>0.044</v>
      </c>
      <c r="U19" s="3">
        <v>306.87</v>
      </c>
    </row>
    <row r="20" spans="1:21" ht="15.75">
      <c r="A20" s="10" t="s">
        <v>62</v>
      </c>
      <c r="B20" s="29"/>
      <c r="C20" s="30">
        <f>IF(DCA2&gt;0,($B$19-C19),"")</f>
        <v>66.19999999999982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331</v>
      </c>
      <c r="G20" s="30">
        <f>IF(DCA6&gt;0,($B$19-G19),"")</f>
        <v>414.90999999999985</v>
      </c>
      <c r="I20" s="2" t="s">
        <v>64</v>
      </c>
      <c r="K20" s="5"/>
      <c r="L20" s="35">
        <v>4</v>
      </c>
      <c r="M20" s="37">
        <v>0.03</v>
      </c>
      <c r="O20" s="3">
        <v>25500</v>
      </c>
      <c r="P20" s="3">
        <v>0.15</v>
      </c>
      <c r="Q20" s="3">
        <v>1740</v>
      </c>
      <c r="S20" s="4">
        <v>27897</v>
      </c>
      <c r="T20" s="49">
        <v>0.066</v>
      </c>
      <c r="U20" s="3">
        <v>756.59</v>
      </c>
    </row>
    <row r="21" spans="1:21" ht="15.75">
      <c r="A21" s="10" t="s">
        <v>63</v>
      </c>
      <c r="B21" s="30">
        <f>(FTAX1)</f>
        <v>541.47</v>
      </c>
      <c r="C21" s="30">
        <f>IF(DCA2&gt;0,FTAX2,"")</f>
        <v>516.47</v>
      </c>
      <c r="D21" s="30">
        <f>IF(DCA3&gt;0,FTAX3,"")</f>
        <v>491.47</v>
      </c>
      <c r="E21" s="30">
        <f>IF(DCA4&gt;0,FTAX4,"")</f>
        <v>466.47</v>
      </c>
      <c r="F21" s="30">
        <f>IF(DCA5&gt;0,FTAX5,"")</f>
        <v>416.47</v>
      </c>
      <c r="G21" s="30">
        <f>IF(DCA6&gt;0,FTAX6,"")</f>
        <v>385.22</v>
      </c>
      <c r="I21" s="2" t="s">
        <v>66</v>
      </c>
      <c r="J21" s="3">
        <v>26</v>
      </c>
      <c r="K21" s="5"/>
      <c r="L21" s="35">
        <v>5</v>
      </c>
      <c r="M21" s="37">
        <v>0.02</v>
      </c>
      <c r="O21" s="3">
        <v>78800</v>
      </c>
      <c r="P21" s="3">
        <v>0.25</v>
      </c>
      <c r="Q21" s="3">
        <v>9735</v>
      </c>
      <c r="S21" s="4">
        <v>38726</v>
      </c>
      <c r="T21" s="49">
        <v>0.088</v>
      </c>
      <c r="U21" s="3">
        <v>1471.3</v>
      </c>
    </row>
    <row r="22" spans="1:21" ht="15.75">
      <c r="A22" s="10" t="s">
        <v>65</v>
      </c>
      <c r="B22" s="30">
        <f>(STAX1)</f>
        <v>163.54</v>
      </c>
      <c r="C22" s="30">
        <f>IF(DCA2&gt;0,STAX2,"")</f>
        <v>154.74</v>
      </c>
      <c r="D22" s="30">
        <f>IF(DCA3&gt;0,STAX3,"")</f>
        <v>145.94</v>
      </c>
      <c r="E22" s="30">
        <f>IF(DCA4&gt;0,STAX4,"")</f>
        <v>137.14</v>
      </c>
      <c r="F22" s="30">
        <f>IF(DCA5&gt;0,STAX5,"")</f>
        <v>119.54</v>
      </c>
      <c r="G22" s="30">
        <f>IF(DCA6&gt;0,STAX6,"")</f>
        <v>109.7</v>
      </c>
      <c r="I22" s="2" t="s">
        <v>68</v>
      </c>
      <c r="J22" s="3">
        <f>(FEDE*FEDEXMPT)</f>
        <v>0</v>
      </c>
      <c r="K22" s="5"/>
      <c r="L22" s="35">
        <v>6</v>
      </c>
      <c r="M22" s="37">
        <v>0.03</v>
      </c>
      <c r="O22" s="3">
        <v>150800</v>
      </c>
      <c r="P22" s="3">
        <v>0.28</v>
      </c>
      <c r="Q22" s="3">
        <v>27735</v>
      </c>
      <c r="S22" s="4">
        <v>48942</v>
      </c>
      <c r="T22" s="49">
        <v>0.1023</v>
      </c>
      <c r="U22" s="3">
        <v>2370.31</v>
      </c>
    </row>
    <row r="23" spans="1:21" ht="15.75">
      <c r="A23" s="10" t="s">
        <v>67</v>
      </c>
      <c r="B23" s="30">
        <f aca="true" t="shared" si="0" ref="B23:G23">EPMC</f>
        <v>301.06</v>
      </c>
      <c r="C23" s="30">
        <f t="shared" si="0"/>
        <v>301.06</v>
      </c>
      <c r="D23" s="30">
        <f t="shared" si="0"/>
        <v>301.06</v>
      </c>
      <c r="E23" s="30">
        <f t="shared" si="0"/>
        <v>301.06</v>
      </c>
      <c r="F23" s="30">
        <f t="shared" si="0"/>
        <v>301.06</v>
      </c>
      <c r="G23" s="30">
        <f t="shared" si="0"/>
        <v>301.06</v>
      </c>
      <c r="I23" s="2" t="s">
        <v>70</v>
      </c>
      <c r="K23" s="5"/>
      <c r="L23" s="35">
        <v>7</v>
      </c>
      <c r="M23" s="37">
        <v>0.03</v>
      </c>
      <c r="O23" s="3">
        <v>225550</v>
      </c>
      <c r="P23" s="3">
        <v>0.33</v>
      </c>
      <c r="Q23" s="3">
        <v>48665</v>
      </c>
      <c r="S23" s="4">
        <v>250000</v>
      </c>
      <c r="T23" s="49">
        <v>0.1133</v>
      </c>
      <c r="U23" s="3">
        <v>22938.54</v>
      </c>
    </row>
    <row r="24" spans="1:21" ht="15.75">
      <c r="A24" s="10" t="s">
        <v>69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72</v>
      </c>
      <c r="J24" s="3">
        <f>(PAYFACT*TG1)</f>
        <v>96172.44</v>
      </c>
      <c r="K24" s="5"/>
      <c r="L24" s="35">
        <v>8</v>
      </c>
      <c r="M24" s="37">
        <v>0.05</v>
      </c>
      <c r="O24" s="3">
        <v>396450</v>
      </c>
      <c r="P24" s="38">
        <v>0.35</v>
      </c>
      <c r="Q24" s="3">
        <v>105062</v>
      </c>
      <c r="S24" s="4">
        <v>300000</v>
      </c>
      <c r="T24" s="49">
        <v>0.1243</v>
      </c>
      <c r="U24" s="3">
        <v>28603.54</v>
      </c>
    </row>
    <row r="25" spans="1:21" ht="15.75">
      <c r="A25" s="22" t="s">
        <v>71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74</v>
      </c>
      <c r="J25" s="3">
        <f>(PAYFACT*TG2)</f>
        <v>93572.44</v>
      </c>
      <c r="K25" s="5"/>
      <c r="L25" s="35">
        <v>9</v>
      </c>
      <c r="M25" s="37">
        <v>0.03</v>
      </c>
      <c r="O25" s="3"/>
      <c r="P25" s="3"/>
      <c r="Q25" s="3"/>
      <c r="S25" s="4">
        <v>500000</v>
      </c>
      <c r="T25" s="49">
        <v>0.1353</v>
      </c>
      <c r="U25" s="3">
        <v>53463.54</v>
      </c>
    </row>
    <row r="26" spans="1:21" ht="15.75">
      <c r="A26" s="10" t="s">
        <v>244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76</v>
      </c>
      <c r="J26" s="3">
        <f>(PAYFACT*TG3)</f>
        <v>90972.44</v>
      </c>
      <c r="K26" s="5"/>
      <c r="L26" s="35">
        <v>10</v>
      </c>
      <c r="M26" s="37">
        <v>0.03</v>
      </c>
      <c r="O26" s="3"/>
      <c r="P26" s="3"/>
      <c r="Q26" s="3"/>
      <c r="S26" s="4">
        <v>1000000</v>
      </c>
      <c r="T26" s="49">
        <v>0.1463</v>
      </c>
      <c r="U26" s="3">
        <v>121113.54</v>
      </c>
    </row>
    <row r="27" spans="1:21" ht="15.75">
      <c r="A27" s="10" t="s">
        <v>73</v>
      </c>
      <c r="B27" s="30">
        <f>J13</f>
        <v>3698.94</v>
      </c>
      <c r="C27" s="30">
        <f>J14</f>
        <v>3598.94</v>
      </c>
      <c r="D27" s="30">
        <f>J15</f>
        <v>3498.94</v>
      </c>
      <c r="E27" s="30">
        <f>J16</f>
        <v>3398.94</v>
      </c>
      <c r="F27" s="30">
        <f>J17</f>
        <v>3198.94</v>
      </c>
      <c r="G27" s="30">
        <f>J18</f>
        <v>3073.94</v>
      </c>
      <c r="I27" s="2" t="s">
        <v>78</v>
      </c>
      <c r="J27" s="3">
        <f>(PAYFACT*TG4)</f>
        <v>88372.44</v>
      </c>
      <c r="K27" s="5"/>
      <c r="L27" s="35">
        <v>11</v>
      </c>
      <c r="M27" s="37">
        <v>0.03</v>
      </c>
      <c r="S27" s="4">
        <v>9999999</v>
      </c>
      <c r="T27" s="49">
        <v>0.1463</v>
      </c>
      <c r="U27" s="3">
        <v>121113.54</v>
      </c>
    </row>
    <row r="28" spans="1:13" ht="15.75">
      <c r="A28" s="22" t="s">
        <v>75</v>
      </c>
      <c r="B28" s="30">
        <f>J13</f>
        <v>3698.94</v>
      </c>
      <c r="C28" s="30">
        <f>J14</f>
        <v>3598.94</v>
      </c>
      <c r="D28" s="30">
        <f>J15</f>
        <v>3498.94</v>
      </c>
      <c r="E28" s="30">
        <f>J16</f>
        <v>3398.94</v>
      </c>
      <c r="F28" s="30">
        <f>J17</f>
        <v>3198.94</v>
      </c>
      <c r="G28" s="30">
        <f>J18</f>
        <v>3073.94</v>
      </c>
      <c r="I28" s="2" t="s">
        <v>80</v>
      </c>
      <c r="J28" s="3">
        <f>(PAYFACT*TG5)</f>
        <v>83172.44</v>
      </c>
      <c r="K28" s="5"/>
      <c r="L28" s="35">
        <v>12</v>
      </c>
      <c r="M28" s="37">
        <v>0.05</v>
      </c>
    </row>
    <row r="29" spans="1:19" ht="15.75">
      <c r="A29" s="10" t="s">
        <v>77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81</v>
      </c>
      <c r="J29" s="3">
        <f>(PAYFACT*TG6)</f>
        <v>79922.44</v>
      </c>
      <c r="K29" s="5"/>
      <c r="L29" s="35">
        <v>13</v>
      </c>
      <c r="M29" s="37">
        <v>0.05</v>
      </c>
      <c r="S29" s="2" t="s">
        <v>84</v>
      </c>
    </row>
    <row r="30" spans="1:21" ht="16.5" thickBot="1">
      <c r="A30" s="14" t="s">
        <v>79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s="35">
        <v>14</v>
      </c>
      <c r="M30" s="37">
        <v>0.03</v>
      </c>
      <c r="S30" s="2" t="s">
        <v>21</v>
      </c>
      <c r="T30" s="2" t="s">
        <v>22</v>
      </c>
      <c r="U30" s="2" t="s">
        <v>23</v>
      </c>
    </row>
    <row r="31" spans="9:21" ht="15.75">
      <c r="I31" s="2" t="s">
        <v>83</v>
      </c>
      <c r="K31" s="3"/>
      <c r="L31" s="35">
        <v>15</v>
      </c>
      <c r="M31" s="37">
        <v>0.03</v>
      </c>
      <c r="S31" s="4">
        <v>0</v>
      </c>
      <c r="T31" s="49">
        <v>0.011</v>
      </c>
      <c r="U31" s="3">
        <v>0</v>
      </c>
    </row>
    <row r="32" spans="3:21" ht="15.75">
      <c r="C32" s="44" t="s">
        <v>82</v>
      </c>
      <c r="I32" s="2" t="s">
        <v>86</v>
      </c>
      <c r="J32" s="3">
        <f>(FAN1-FEDEXM)</f>
        <v>96172.44</v>
      </c>
      <c r="K32" s="3"/>
      <c r="L32" s="35">
        <v>16</v>
      </c>
      <c r="M32" s="37">
        <v>0.05</v>
      </c>
      <c r="S32" s="4">
        <v>14910</v>
      </c>
      <c r="T32" s="49">
        <v>0.022</v>
      </c>
      <c r="U32" s="3">
        <v>164.01</v>
      </c>
    </row>
    <row r="33" spans="9:21" ht="15.75">
      <c r="I33" s="2" t="s">
        <v>88</v>
      </c>
      <c r="J33" s="3">
        <f>(J25-FEDEXM)</f>
        <v>93572.44</v>
      </c>
      <c r="K33" s="3"/>
      <c r="L33" s="35">
        <v>17</v>
      </c>
      <c r="M33" s="37">
        <v>0.03</v>
      </c>
      <c r="S33" s="4">
        <v>35352</v>
      </c>
      <c r="T33" s="49">
        <v>0.044</v>
      </c>
      <c r="U33" s="3">
        <v>613.73</v>
      </c>
    </row>
    <row r="34" spans="1:21" ht="15.75">
      <c r="A34" t="s">
        <v>85</v>
      </c>
      <c r="I34" s="2" t="s">
        <v>90</v>
      </c>
      <c r="J34" s="3">
        <f>(J26-FEDEXM)</f>
        <v>90972.44</v>
      </c>
      <c r="K34" s="3"/>
      <c r="L34" s="35">
        <v>18</v>
      </c>
      <c r="M34" s="37">
        <v>0.05</v>
      </c>
      <c r="S34" s="4">
        <v>55794</v>
      </c>
      <c r="T34" s="49">
        <v>0.066</v>
      </c>
      <c r="U34" s="3">
        <v>1513.18</v>
      </c>
    </row>
    <row r="35" spans="1:21" ht="15.75">
      <c r="A35" t="s">
        <v>87</v>
      </c>
      <c r="I35" s="2" t="s">
        <v>92</v>
      </c>
      <c r="J35" s="3">
        <f>(J27-FEDEXM)</f>
        <v>88372.44</v>
      </c>
      <c r="K35" s="3"/>
      <c r="L35" s="35">
        <v>19</v>
      </c>
      <c r="M35" s="37">
        <v>0.05</v>
      </c>
      <c r="S35" s="4">
        <v>77452</v>
      </c>
      <c r="T35" s="49">
        <v>0.088</v>
      </c>
      <c r="U35" s="3">
        <v>2942.61</v>
      </c>
    </row>
    <row r="36" spans="1:21" ht="15.75">
      <c r="A36" t="s">
        <v>89</v>
      </c>
      <c r="C36" s="1"/>
      <c r="I36" s="2" t="s">
        <v>94</v>
      </c>
      <c r="J36" s="3">
        <f>(J28-FEDEXM)</f>
        <v>83172.44</v>
      </c>
      <c r="K36" s="3"/>
      <c r="L36" s="35">
        <v>20</v>
      </c>
      <c r="M36" s="37">
        <v>0.03</v>
      </c>
      <c r="S36" s="4">
        <v>97884</v>
      </c>
      <c r="T36" s="49">
        <v>0.1023</v>
      </c>
      <c r="U36" s="3">
        <v>4740.63</v>
      </c>
    </row>
    <row r="37" spans="1:21" ht="15.75">
      <c r="A37" t="s">
        <v>91</v>
      </c>
      <c r="C37" s="1"/>
      <c r="I37" s="2" t="s">
        <v>96</v>
      </c>
      <c r="J37" s="3">
        <f>(J29-FEDEXM)</f>
        <v>79922.44</v>
      </c>
      <c r="K37" s="3"/>
      <c r="L37" s="35">
        <v>21</v>
      </c>
      <c r="M37" s="37">
        <v>0.03</v>
      </c>
      <c r="S37" s="4">
        <v>500000</v>
      </c>
      <c r="T37" s="49">
        <v>0.1133</v>
      </c>
      <c r="U37" s="3">
        <v>45877.1</v>
      </c>
    </row>
    <row r="38" spans="1:21" ht="15.75">
      <c r="A38" t="s">
        <v>93</v>
      </c>
      <c r="K38" s="3"/>
      <c r="L38" s="35" t="s">
        <v>214</v>
      </c>
      <c r="M38" s="37">
        <v>0</v>
      </c>
      <c r="S38" s="4">
        <v>600000</v>
      </c>
      <c r="T38" s="49">
        <v>0.1243</v>
      </c>
      <c r="U38" s="3">
        <v>57207.1</v>
      </c>
    </row>
    <row r="39" spans="1:21" ht="15.75">
      <c r="A39" s="2" t="s">
        <v>95</v>
      </c>
      <c r="I39" s="2" t="s">
        <v>98</v>
      </c>
      <c r="K39" s="3"/>
      <c r="L39" s="35" t="s">
        <v>253</v>
      </c>
      <c r="M39" s="37">
        <v>0</v>
      </c>
      <c r="S39" s="4">
        <v>1000000</v>
      </c>
      <c r="T39" s="49">
        <v>0.1353</v>
      </c>
      <c r="U39" s="3">
        <v>106927.1</v>
      </c>
    </row>
    <row r="40" spans="1:21" ht="15.75">
      <c r="A40" s="2" t="s">
        <v>97</v>
      </c>
      <c r="I40" s="2" t="s">
        <v>100</v>
      </c>
      <c r="J40" s="3">
        <f>IF(OR(FEDM="S",FEDM="H"),VLOOKUP(FTG1,FTXTBLSH,1),IF(FEDM="M",VLOOKUP(FTG1,FTXTBLM,1),0))</f>
        <v>78800</v>
      </c>
      <c r="K40" s="3"/>
      <c r="L40" s="55" t="s">
        <v>213</v>
      </c>
      <c r="M40" s="37">
        <v>0.03</v>
      </c>
      <c r="S40" s="4">
        <v>9999999</v>
      </c>
      <c r="T40" s="49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101</v>
      </c>
      <c r="J41" s="3">
        <f>IF(OR(FEDM="S",FEDM="H"),VLOOKUP(J33,FTXTBLSH,1),IF(FEDM="M",VLOOKUP(J33,FTXTBLM,1),0))</f>
        <v>78800</v>
      </c>
      <c r="S41" s="4">
        <v>9999999</v>
      </c>
      <c r="T41" s="49">
        <v>0.1463</v>
      </c>
      <c r="U41" s="3">
        <v>106927.1</v>
      </c>
    </row>
    <row r="42" spans="1:10" ht="15.75">
      <c r="A42" s="41" t="s">
        <v>99</v>
      </c>
      <c r="C42" t="s">
        <v>7</v>
      </c>
      <c r="I42" s="2" t="s">
        <v>102</v>
      </c>
      <c r="J42" s="3">
        <f>IF(OR(FEDM="S",FEDM="H"),VLOOKUP(J34,FTXTBLSH,1),IF(FEDM="M",VLOOKUP(J34,FTXTBLM,1),0))</f>
        <v>78800</v>
      </c>
    </row>
    <row r="43" spans="9:19" ht="15.75">
      <c r="I43" s="2" t="s">
        <v>104</v>
      </c>
      <c r="J43" s="3">
        <f>IF(OR(FEDM="S",FEDM="H"),VLOOKUP(J35,FTXTBLSH,1),IF(FEDM="M",VLOOKUP(J35,FTXTBLM,1),0))</f>
        <v>78800</v>
      </c>
      <c r="K43" s="3"/>
      <c r="S43" s="2" t="s">
        <v>107</v>
      </c>
    </row>
    <row r="44" spans="1:21" ht="15.75">
      <c r="A44" s="42" t="s">
        <v>217</v>
      </c>
      <c r="I44" s="2" t="s">
        <v>105</v>
      </c>
      <c r="J44" s="3">
        <f>IF(OR(FEDM="S",FEDM="H"),VLOOKUP(J36,FTXTBLSH,1),IF(FEDM="M",VLOOKUP(J36,FTXTBLM,1),0))</f>
        <v>78800</v>
      </c>
      <c r="K44" s="3"/>
      <c r="S44" s="2" t="s">
        <v>21</v>
      </c>
      <c r="T44" s="2" t="s">
        <v>22</v>
      </c>
      <c r="U44" s="2" t="s">
        <v>23</v>
      </c>
    </row>
    <row r="45" spans="1:21" ht="15.75">
      <c r="A45" s="2" t="s">
        <v>103</v>
      </c>
      <c r="C45" t="s">
        <v>7</v>
      </c>
      <c r="I45" s="2" t="s">
        <v>106</v>
      </c>
      <c r="J45" s="3">
        <f>IF(OR(FEDM="S",FEDM="H"),VLOOKUP(J37,FTXTBLSH,1),IF(FEDM="M",VLOOKUP(J37,FTXTBLM,1),0))</f>
        <v>78800</v>
      </c>
      <c r="S45" s="4">
        <v>0</v>
      </c>
      <c r="T45" s="49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254</v>
      </c>
      <c r="S46" s="4">
        <v>14920</v>
      </c>
      <c r="T46" s="49">
        <v>0.022</v>
      </c>
      <c r="U46" s="3">
        <v>164.12</v>
      </c>
    </row>
    <row r="47" spans="1:21" ht="15.75">
      <c r="A47" s="43" t="s">
        <v>218</v>
      </c>
      <c r="B47" s="2"/>
      <c r="C47" s="2"/>
      <c r="D47" s="2"/>
      <c r="E47" s="2"/>
      <c r="F47" s="2"/>
      <c r="I47" s="2" t="s">
        <v>108</v>
      </c>
      <c r="K47" s="3"/>
      <c r="L47" t="s">
        <v>255</v>
      </c>
      <c r="M47" t="s">
        <v>256</v>
      </c>
      <c r="N47" t="s">
        <v>257</v>
      </c>
      <c r="S47" s="4">
        <v>35351</v>
      </c>
      <c r="T47" s="49">
        <v>0.044</v>
      </c>
      <c r="U47" s="3">
        <v>613.6</v>
      </c>
    </row>
    <row r="48" spans="1:21" ht="15.75">
      <c r="A48" s="2" t="s">
        <v>237</v>
      </c>
      <c r="I48" s="2" t="s">
        <v>109</v>
      </c>
      <c r="J48" s="3">
        <f>IF(OR(FEDM="S",FEDM="H"),VLOOKUP(FTG1,FTXTBLSH,2),IF(FEDM="M",VLOOKUP(FTG1,FTXTBLM,2),0))</f>
        <v>0.25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45571</v>
      </c>
      <c r="T48" s="49">
        <v>0.066</v>
      </c>
      <c r="U48" s="3">
        <v>1063.28</v>
      </c>
    </row>
    <row r="49" spans="1:21" ht="15.75">
      <c r="A49" s="2"/>
      <c r="I49" s="2" t="s">
        <v>110</v>
      </c>
      <c r="J49" s="3">
        <f>IF(OR(FEDM="S",FEDM="H"),VLOOKUP(J33,FTXTBLSH,2),IF(FEDM="M",VLOOKUP(J33,FTXTBLM,2),0))</f>
        <v>0.25</v>
      </c>
      <c r="K49" s="3"/>
      <c r="L49" t="s">
        <v>258</v>
      </c>
      <c r="M49">
        <v>863</v>
      </c>
      <c r="N49" s="56">
        <v>0.11</v>
      </c>
      <c r="O49" t="s">
        <v>259</v>
      </c>
      <c r="S49" s="4">
        <v>56400</v>
      </c>
      <c r="T49" s="49">
        <v>0.088</v>
      </c>
      <c r="U49" s="3">
        <v>1777.99</v>
      </c>
    </row>
    <row r="50" spans="1:21" ht="15.75">
      <c r="A50" s="43" t="s">
        <v>219</v>
      </c>
      <c r="I50" s="2" t="s">
        <v>112</v>
      </c>
      <c r="J50" s="3">
        <f>IF(OR(FEDM="S",FEDM="H"),VLOOKUP(J34,FTXTBLSH,2),IF(FEDM="M",VLOOKUP(J34,FTXTBLM,2),0))</f>
        <v>0.25</v>
      </c>
      <c r="K50" s="3"/>
      <c r="L50" t="s">
        <v>260</v>
      </c>
      <c r="M50">
        <v>236.77</v>
      </c>
      <c r="N50" s="56">
        <v>0.11</v>
      </c>
      <c r="O50" t="s">
        <v>259</v>
      </c>
      <c r="S50" s="4">
        <v>66618</v>
      </c>
      <c r="T50" s="49">
        <v>0.1023</v>
      </c>
      <c r="U50" s="3">
        <v>2677.17</v>
      </c>
    </row>
    <row r="51" spans="1:21" ht="15.75">
      <c r="A51" s="2" t="s">
        <v>247</v>
      </c>
      <c r="I51" s="2" t="s">
        <v>113</v>
      </c>
      <c r="J51" s="3">
        <f>IF(OR(FEDM="S",FEDM="H"),VLOOKUP(J35,FTXTBLSH,2),IF(FEDM="M",VLOOKUP(J35,FTXTBLM,2),0))</f>
        <v>0.25</v>
      </c>
      <c r="K51" s="3"/>
      <c r="L51" t="s">
        <v>261</v>
      </c>
      <c r="M51">
        <v>236.77</v>
      </c>
      <c r="N51" s="56">
        <v>0.1</v>
      </c>
      <c r="O51" t="s">
        <v>262</v>
      </c>
      <c r="S51" s="4">
        <v>340000</v>
      </c>
      <c r="T51" s="49">
        <v>0.1133</v>
      </c>
      <c r="U51" s="3">
        <v>30644.15</v>
      </c>
    </row>
    <row r="52" spans="1:21" ht="15.75">
      <c r="A52" t="s">
        <v>273</v>
      </c>
      <c r="I52" s="2" t="s">
        <v>114</v>
      </c>
      <c r="J52" s="3">
        <f>IF(OR(FEDM="S",FEDM="H"),VLOOKUP(J36,FTXTBLSH,2),IF(FEDM="M",VLOOKUP(J36,FTXTBLM,2),0))</f>
        <v>0.25</v>
      </c>
      <c r="L52" t="s">
        <v>263</v>
      </c>
      <c r="M52">
        <v>238</v>
      </c>
      <c r="N52" s="56">
        <v>0.1</v>
      </c>
      <c r="O52" t="s">
        <v>262</v>
      </c>
      <c r="S52" s="4">
        <v>408000</v>
      </c>
      <c r="T52" s="49">
        <v>0.1243</v>
      </c>
      <c r="U52" s="3">
        <v>38348.55</v>
      </c>
    </row>
    <row r="53" spans="1:21" ht="15.75">
      <c r="A53" t="s">
        <v>274</v>
      </c>
      <c r="I53" s="2" t="s">
        <v>115</v>
      </c>
      <c r="J53" s="3">
        <f>IF(OR(FEDM="S",FEDM="H"),VLOOKUP(J37,FTXTBLSH,2),IF(FEDM="M",VLOOKUP(J37,FTXTBLM,2),0))</f>
        <v>0.25</v>
      </c>
      <c r="L53" t="s">
        <v>264</v>
      </c>
      <c r="M53">
        <v>238</v>
      </c>
      <c r="N53" s="56">
        <v>0.08</v>
      </c>
      <c r="O53" t="s">
        <v>265</v>
      </c>
      <c r="S53" s="4">
        <v>680000</v>
      </c>
      <c r="T53" s="49">
        <v>0.1353</v>
      </c>
      <c r="U53" s="3">
        <v>72158.15</v>
      </c>
    </row>
    <row r="54" spans="1:21" ht="15.75">
      <c r="A54" t="s">
        <v>275</v>
      </c>
      <c r="K54" s="3"/>
      <c r="L54" t="s">
        <v>266</v>
      </c>
      <c r="M54">
        <v>863</v>
      </c>
      <c r="N54" s="56">
        <v>0.13</v>
      </c>
      <c r="O54" t="s">
        <v>267</v>
      </c>
      <c r="S54" s="4">
        <v>1000000</v>
      </c>
      <c r="T54" s="49">
        <v>0.1463</v>
      </c>
      <c r="U54" s="3">
        <v>115454.15</v>
      </c>
    </row>
    <row r="55" spans="1:21" ht="15.75">
      <c r="A55" t="s">
        <v>276</v>
      </c>
      <c r="C55" s="1"/>
      <c r="I55" s="2" t="s">
        <v>116</v>
      </c>
      <c r="K55" s="3"/>
      <c r="L55" t="s">
        <v>268</v>
      </c>
      <c r="M55">
        <v>236.77</v>
      </c>
      <c r="N55" s="56">
        <v>0.13</v>
      </c>
      <c r="O55" t="s">
        <v>267</v>
      </c>
      <c r="S55" s="4">
        <v>9999999</v>
      </c>
      <c r="T55" s="49">
        <v>0.1463</v>
      </c>
      <c r="U55" s="3">
        <v>115454.15</v>
      </c>
    </row>
    <row r="56" spans="1:15" ht="15.75">
      <c r="A56" t="s">
        <v>277</v>
      </c>
      <c r="I56" s="2" t="s">
        <v>117</v>
      </c>
      <c r="J56" s="3">
        <f>IF(OR(FEDM="S",FEDM="H"),VLOOKUP(FTG1,FTXTBLSH,3),IF(FEDM="M",VLOOKUP(FTG1,FTXTBLM,3),0))</f>
        <v>9735</v>
      </c>
      <c r="K56" s="3"/>
      <c r="L56" t="s">
        <v>269</v>
      </c>
      <c r="M56">
        <v>238</v>
      </c>
      <c r="N56" s="56">
        <v>0.11</v>
      </c>
      <c r="O56" t="s">
        <v>267</v>
      </c>
    </row>
    <row r="57" spans="1:19" ht="15.75">
      <c r="A57" t="s">
        <v>281</v>
      </c>
      <c r="I57" s="2" t="s">
        <v>118</v>
      </c>
      <c r="J57" s="3">
        <f>IF(OR(FEDM="S",FEDM="H"),VLOOKUP(J33,FTXTBLSH,3),IF(FEDM="M",VLOOKUP(J33,FTXTBLM,3),0))</f>
        <v>9735</v>
      </c>
      <c r="K57" s="3"/>
      <c r="L57" t="s">
        <v>270</v>
      </c>
      <c r="M57">
        <v>863</v>
      </c>
      <c r="N57" s="6">
        <v>0.11</v>
      </c>
      <c r="O57" t="s">
        <v>265</v>
      </c>
      <c r="S57" s="2" t="s">
        <v>121</v>
      </c>
    </row>
    <row r="58" spans="1:20" ht="15.75">
      <c r="A58" s="2" t="s">
        <v>282</v>
      </c>
      <c r="I58" s="2" t="s">
        <v>119</v>
      </c>
      <c r="J58" s="3">
        <f>IF(OR(FEDM="S",FEDM="H"),VLOOKUP(J34,FTXTBLSH,3),IF(FEDM="M",VLOOKUP(J34,FTXTBLM,3),0))</f>
        <v>9735</v>
      </c>
      <c r="K58" s="3"/>
      <c r="L58" t="s">
        <v>271</v>
      </c>
      <c r="M58">
        <v>236.77</v>
      </c>
      <c r="N58" s="56">
        <v>0.1</v>
      </c>
      <c r="O58" t="s">
        <v>265</v>
      </c>
      <c r="S58" s="2" t="s">
        <v>123</v>
      </c>
      <c r="T58" s="2" t="s">
        <v>124</v>
      </c>
    </row>
    <row r="59" spans="9:23" ht="15.75">
      <c r="I59" s="2" t="s">
        <v>120</v>
      </c>
      <c r="J59" s="3">
        <f>IF(OR(FEDM="S",FEDM="H"),VLOOKUP(J35,FTXTBLSH,3),IF(FEDM="M",VLOOKUP(J35,FTXTBLM,3),0))</f>
        <v>9735</v>
      </c>
      <c r="K59" s="3"/>
      <c r="L59" t="s">
        <v>272</v>
      </c>
      <c r="M59">
        <v>238</v>
      </c>
      <c r="N59" s="56">
        <v>0.06</v>
      </c>
      <c r="O59" t="s">
        <v>265</v>
      </c>
      <c r="S59" s="2" t="s">
        <v>126</v>
      </c>
      <c r="T59">
        <v>0</v>
      </c>
      <c r="U59">
        <v>1</v>
      </c>
      <c r="V59">
        <v>2</v>
      </c>
      <c r="W59" s="7" t="s">
        <v>127</v>
      </c>
    </row>
    <row r="60" spans="1:24" ht="15.75">
      <c r="A60" s="43" t="s">
        <v>220</v>
      </c>
      <c r="I60" s="2" t="s">
        <v>122</v>
      </c>
      <c r="J60" s="3">
        <f>IF(OR(FEDM="S",FEDM="H"),VLOOKUP(J36,FTXTBLSH,3),IF(FEDM="M",VLOOKUP(J36,FTXTBLM,3),0))</f>
        <v>9735</v>
      </c>
      <c r="S60" s="2" t="s">
        <v>35</v>
      </c>
      <c r="T60">
        <v>0</v>
      </c>
      <c r="U60">
        <v>114.4</v>
      </c>
      <c r="V60">
        <v>228.8</v>
      </c>
      <c r="W60">
        <v>114.4</v>
      </c>
      <c r="X60" s="2" t="s">
        <v>128</v>
      </c>
    </row>
    <row r="61" spans="1:24" ht="15.75">
      <c r="A61" s="2" t="s">
        <v>7</v>
      </c>
      <c r="I61" s="2" t="s">
        <v>125</v>
      </c>
      <c r="J61" s="3">
        <f>IF(OR(FEDM="S",FEDM="H"),VLOOKUP(J37,FTXTBLSH,3),IF(FEDM="M",VLOOKUP(J37,FTXTBLM,3),0))</f>
        <v>9735</v>
      </c>
      <c r="S61" s="2" t="s">
        <v>130</v>
      </c>
      <c r="T61">
        <v>0</v>
      </c>
      <c r="U61">
        <v>114.4</v>
      </c>
      <c r="V61">
        <v>228.8</v>
      </c>
      <c r="W61">
        <v>114.4</v>
      </c>
      <c r="X61" s="2" t="s">
        <v>128</v>
      </c>
    </row>
    <row r="62" spans="1:11" ht="15.75">
      <c r="A62" s="42" t="s">
        <v>221</v>
      </c>
      <c r="K62" s="3"/>
    </row>
    <row r="63" spans="1:11" ht="15.75">
      <c r="A63" t="s">
        <v>111</v>
      </c>
      <c r="I63" s="2" t="s">
        <v>129</v>
      </c>
      <c r="K63" s="3"/>
    </row>
    <row r="64" spans="9:11" ht="15.75">
      <c r="I64" s="2" t="s">
        <v>131</v>
      </c>
      <c r="J64" s="3">
        <f>(FTG1-FBSA1)</f>
        <v>17372.440000000002</v>
      </c>
      <c r="K64" s="3"/>
    </row>
    <row r="65" spans="1:11" ht="15.75">
      <c r="A65" s="42" t="s">
        <v>222</v>
      </c>
      <c r="I65" s="2" t="s">
        <v>132</v>
      </c>
      <c r="J65" s="3">
        <f>(J33-J41)</f>
        <v>14772.440000000002</v>
      </c>
      <c r="K65" s="3"/>
    </row>
    <row r="66" spans="9:11" ht="15.75">
      <c r="I66" s="2" t="s">
        <v>133</v>
      </c>
      <c r="J66" s="3">
        <f>(J34-J42)</f>
        <v>12172.440000000002</v>
      </c>
      <c r="K66" s="3"/>
    </row>
    <row r="67" spans="1:11" ht="15.75">
      <c r="A67" s="42" t="s">
        <v>223</v>
      </c>
      <c r="I67" s="2" t="s">
        <v>134</v>
      </c>
      <c r="J67" s="3">
        <f>(J35-J43)</f>
        <v>9572.440000000002</v>
      </c>
      <c r="K67" s="3"/>
    </row>
    <row r="68" spans="9:10" ht="15.75">
      <c r="I68" s="2" t="s">
        <v>135</v>
      </c>
      <c r="J68" s="3">
        <f>(J36-J44)</f>
        <v>4372.440000000002</v>
      </c>
    </row>
    <row r="69" spans="1:10" ht="15.75">
      <c r="A69" s="42" t="s">
        <v>224</v>
      </c>
      <c r="I69" s="2" t="s">
        <v>137</v>
      </c>
      <c r="J69" s="3">
        <f>(J37-J45)</f>
        <v>1122.4400000000023</v>
      </c>
    </row>
    <row r="70" ht="15.75">
      <c r="K70" s="3"/>
    </row>
    <row r="71" spans="1:11" ht="15.75">
      <c r="A71" s="42" t="s">
        <v>278</v>
      </c>
      <c r="I71" s="2" t="s">
        <v>139</v>
      </c>
      <c r="K71" s="3"/>
    </row>
    <row r="72" spans="9:11" ht="15.75">
      <c r="I72" s="2" t="s">
        <v>140</v>
      </c>
      <c r="J72" s="3">
        <f>(FBST1+ROUND(FOVR1*FMTR1,5))</f>
        <v>14078.11</v>
      </c>
      <c r="K72" s="3"/>
    </row>
    <row r="73" spans="1:11" ht="15.75">
      <c r="A73" s="42" t="s">
        <v>225</v>
      </c>
      <c r="I73" s="2" t="s">
        <v>141</v>
      </c>
      <c r="J73" s="3">
        <f>(J57+ROUND(J65*FMTR2,5))</f>
        <v>13428.11</v>
      </c>
      <c r="K73" s="3"/>
    </row>
    <row r="74" spans="1:11" ht="15.75">
      <c r="A74" s="42"/>
      <c r="I74" s="2" t="s">
        <v>142</v>
      </c>
      <c r="J74" s="3">
        <f>(J58+ROUND(J66*FMTR3,5))</f>
        <v>12778.11</v>
      </c>
      <c r="K74" s="3"/>
    </row>
    <row r="75" spans="1:11" ht="15.75">
      <c r="A75" s="42" t="s">
        <v>240</v>
      </c>
      <c r="I75" s="2" t="s">
        <v>143</v>
      </c>
      <c r="J75" s="3">
        <f>(J59+ROUND(J67*FMTR4,5))</f>
        <v>12128.11</v>
      </c>
      <c r="K75" s="3"/>
    </row>
    <row r="76" spans="9:10" ht="15.75">
      <c r="I76" s="2" t="s">
        <v>144</v>
      </c>
      <c r="J76" s="3">
        <f>(J60+ROUND(J68*FMTR5,5))</f>
        <v>10828.11</v>
      </c>
    </row>
    <row r="77" spans="1:10" ht="15.75">
      <c r="A77" s="42" t="s">
        <v>234</v>
      </c>
      <c r="I77" s="2" t="s">
        <v>146</v>
      </c>
      <c r="J77" s="3">
        <f>(J61+ROUND(J69*FMTR6,5))</f>
        <v>10015.61</v>
      </c>
    </row>
    <row r="78" spans="1:11" ht="15.75">
      <c r="A78" t="s">
        <v>235</v>
      </c>
      <c r="K78" s="3"/>
    </row>
    <row r="79" spans="9:11" ht="15.75">
      <c r="I79" s="2" t="s">
        <v>147</v>
      </c>
      <c r="K79" s="3"/>
    </row>
    <row r="80" spans="1:11" ht="15.75">
      <c r="A80" s="42" t="s">
        <v>226</v>
      </c>
      <c r="I80" s="2" t="s">
        <v>148</v>
      </c>
      <c r="J80" s="3">
        <f>ROUND(FTA1/PAYFACT,2)</f>
        <v>541.47</v>
      </c>
      <c r="K80" s="3"/>
    </row>
    <row r="81" spans="1:11" ht="15.75">
      <c r="A81" t="s">
        <v>227</v>
      </c>
      <c r="I81" s="2" t="s">
        <v>149</v>
      </c>
      <c r="J81" s="3">
        <f>ROUND(J73/PAYFACT,2)</f>
        <v>516.47</v>
      </c>
      <c r="K81" s="3"/>
    </row>
    <row r="82" spans="9:11" ht="15.75">
      <c r="I82" s="2" t="s">
        <v>150</v>
      </c>
      <c r="J82" s="3">
        <f>ROUND(J74/PAYFACT,2)</f>
        <v>491.47</v>
      </c>
      <c r="K82" s="3"/>
    </row>
    <row r="83" spans="1:11" ht="15.75">
      <c r="A83" s="42" t="s">
        <v>228</v>
      </c>
      <c r="I83" s="2" t="s">
        <v>151</v>
      </c>
      <c r="J83" s="3">
        <f>ROUND(J75/PAYFACT,2)</f>
        <v>466.47</v>
      </c>
      <c r="K83" s="3"/>
    </row>
    <row r="84" spans="1:10" ht="15.75">
      <c r="A84" t="s">
        <v>136</v>
      </c>
      <c r="I84" s="2" t="s">
        <v>152</v>
      </c>
      <c r="J84" s="3">
        <f>ROUND(J76/PAYFACT,2)</f>
        <v>416.47</v>
      </c>
    </row>
    <row r="85" spans="1:10" ht="15.75">
      <c r="A85" t="s">
        <v>279</v>
      </c>
      <c r="I85" s="2" t="s">
        <v>153</v>
      </c>
      <c r="J85" s="3">
        <f>ROUND(J77/PAYFACT,2)</f>
        <v>385.22</v>
      </c>
    </row>
    <row r="86" spans="1:11" ht="15.75">
      <c r="A86" t="s">
        <v>138</v>
      </c>
      <c r="K86" s="3"/>
    </row>
    <row r="87" spans="9:11" ht="15.75">
      <c r="I87" s="2" t="s">
        <v>154</v>
      </c>
      <c r="K87" s="3"/>
    </row>
    <row r="88" spans="1:11" ht="15.75">
      <c r="A88" s="42" t="s">
        <v>229</v>
      </c>
      <c r="I88" s="2" t="s">
        <v>155</v>
      </c>
      <c r="J88" s="3">
        <f>IF(STM="S",LIES,IF(AND(STM="M",STE&lt;2),LIEM1,IF(AND(STM="M",STE&gt;=2),LIEM2,IF(STM="H",LIEH,99999))))</f>
        <v>12769</v>
      </c>
      <c r="K88" s="3"/>
    </row>
    <row r="89" spans="1:11" ht="15.75">
      <c r="A89" t="s">
        <v>230</v>
      </c>
      <c r="I89" s="2" t="s">
        <v>156</v>
      </c>
      <c r="J89" s="3">
        <f>(STA*SADDALL)</f>
        <v>0</v>
      </c>
      <c r="K89" s="3"/>
    </row>
    <row r="90" spans="9:11" ht="15.75">
      <c r="I90" s="2" t="s">
        <v>157</v>
      </c>
      <c r="J90" s="3">
        <f>IF(STM="S",SDS,IF(AND(STM="M",STE&lt;2),SDM1,IF(AND(STM="M",STE&gt;=2),SDM2,IF(STM="H",SDH,0))))</f>
        <v>3841</v>
      </c>
      <c r="K90" s="3"/>
    </row>
    <row r="91" spans="1:11" ht="15.75">
      <c r="A91" s="42" t="s">
        <v>231</v>
      </c>
      <c r="I91" s="2" t="s">
        <v>158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</row>
    <row r="92" spans="1:10" ht="15.75">
      <c r="A92" t="s">
        <v>145</v>
      </c>
      <c r="I92" s="2" t="s">
        <v>159</v>
      </c>
      <c r="J92" s="3">
        <f>IF(STE&lt;3,0,STE-2)</f>
        <v>0</v>
      </c>
    </row>
    <row r="93" spans="1:10" ht="15.75">
      <c r="A93" t="s">
        <v>280</v>
      </c>
      <c r="I93" s="2" t="s">
        <v>160</v>
      </c>
      <c r="J93" s="3">
        <f>IF(STM="S",TCRSR,TCRMR)</f>
        <v>114.4</v>
      </c>
    </row>
    <row r="94" spans="1:11" ht="15.75">
      <c r="A94" t="s">
        <v>232</v>
      </c>
      <c r="I94" s="2" t="s">
        <v>161</v>
      </c>
      <c r="J94" s="3">
        <f>(TXCRB+(TXCROV2*TXCRR))</f>
        <v>0</v>
      </c>
      <c r="K94" s="3"/>
    </row>
    <row r="95" spans="9:11" ht="15.75">
      <c r="I95" s="2"/>
      <c r="J95" s="3"/>
      <c r="K95" s="3"/>
    </row>
    <row r="96" spans="9:11" ht="15.75">
      <c r="I96" s="2" t="s">
        <v>162</v>
      </c>
      <c r="K96" s="3"/>
    </row>
    <row r="97" spans="9:11" ht="15.75">
      <c r="I97" s="2" t="s">
        <v>163</v>
      </c>
      <c r="J97" s="3">
        <f>IF((PAYFACT*TG1)-ADDALLOW-SDED&lt;=0,0,(PAYFACT*TG1)-ADDALLOW-SDED)</f>
        <v>92331.44</v>
      </c>
      <c r="K97" s="3"/>
    </row>
    <row r="98" spans="9:11" ht="15.75">
      <c r="I98" s="2" t="s">
        <v>164</v>
      </c>
      <c r="J98" s="3">
        <f>IF((PAYFACT*TG2)-ADDALLOW-SDED&lt;=0,0,(PAYFACT*TG2)-ADDALLOW-SDED)</f>
        <v>89731.44</v>
      </c>
      <c r="K98" s="3"/>
    </row>
    <row r="99" spans="9:11" ht="15.75">
      <c r="I99" s="2" t="s">
        <v>165</v>
      </c>
      <c r="J99" s="3">
        <f>IF((PAYFACT*TG3)-ADDALLOW-SDED&lt;=0,0,(PAYFACT*TG3)-ADDALLOW-SDED)</f>
        <v>87131.44</v>
      </c>
      <c r="K99" s="3"/>
    </row>
    <row r="100" spans="9:10" ht="15.75">
      <c r="I100" s="2" t="s">
        <v>166</v>
      </c>
      <c r="J100" s="3">
        <f>IF((PAYFACT*TG4)-ADDALLOW-SDED&lt;=0,0,(PAYFACT*TG4)-ADDALLOW-SDED)</f>
        <v>84531.44</v>
      </c>
    </row>
    <row r="101" spans="9:10" ht="15.75">
      <c r="I101" s="2" t="s">
        <v>167</v>
      </c>
      <c r="J101" s="3">
        <f>IF((PAYFACT*TG5)-ADDALLOW-SDED&lt;=0,0,(PAYFACT*TG5)-ADDALLOW-SDED)</f>
        <v>79331.44</v>
      </c>
    </row>
    <row r="102" spans="9:11" ht="15.75">
      <c r="I102" s="2" t="s">
        <v>168</v>
      </c>
      <c r="J102" s="3">
        <f>IF((PAYFACT*TG6)-ADDALLOW-SDED&lt;=0,0,(PAYFACT*TG6)-ADDALLOW-SDED)</f>
        <v>76081.44</v>
      </c>
      <c r="K102" s="3"/>
    </row>
    <row r="103" ht="15.75">
      <c r="K103" s="3"/>
    </row>
    <row r="104" spans="9:11" ht="15.75">
      <c r="I104" s="2" t="s">
        <v>169</v>
      </c>
      <c r="K104" s="3"/>
    </row>
    <row r="105" spans="9:11" ht="15.75">
      <c r="I105" s="2" t="s">
        <v>170</v>
      </c>
      <c r="J105" s="3">
        <f>IF(STM="S",VLOOKUP(STG1,STXTBLS,1),IF(STM="M",VLOOKUP(STG1,STXTBLM,1),IF(STM="H",VLOOKUP(STG1,STXTBLUH,1),0)))</f>
        <v>77452</v>
      </c>
      <c r="K105" s="3"/>
    </row>
    <row r="106" spans="9:11" ht="15.75">
      <c r="I106" s="2" t="s">
        <v>171</v>
      </c>
      <c r="J106" s="3">
        <f>IF(STM="S",VLOOKUP(J98,STXTBLS,1),IF(STM="M",VLOOKUP(J98,STXTBLM,1),IF(STM="H",VLOOKUP(J98,STXTBLUH,1),0)))</f>
        <v>77452</v>
      </c>
      <c r="K106" s="3"/>
    </row>
    <row r="107" spans="9:11" ht="15.75">
      <c r="I107" s="2" t="s">
        <v>172</v>
      </c>
      <c r="J107" s="3">
        <f>IF(STM="S",VLOOKUP(J99,STXTBLS,1),IF(STM="M",VLOOKUP(J99,STXTBLM,1),IF(STM="H",VLOOKUP(J99,STXTBLUH,1),0)))</f>
        <v>77452</v>
      </c>
      <c r="K107" s="3"/>
    </row>
    <row r="108" spans="9:10" ht="15.75">
      <c r="I108" s="2" t="s">
        <v>173</v>
      </c>
      <c r="J108" s="3">
        <f>IF(STM="S",VLOOKUP(J100,STXTBLS,1),IF(STM="M",VLOOKUP(J100,STXTBLM,1),IF(STM="H",VLOOKUP(J100,STXTBLUH,1),0)))</f>
        <v>77452</v>
      </c>
    </row>
    <row r="109" spans="9:10" ht="15.75">
      <c r="I109" s="2" t="s">
        <v>174</v>
      </c>
      <c r="J109" s="3">
        <f>IF(STM="S",VLOOKUP(J101,STXTBLS,1),IF(STM="M",VLOOKUP(J101,STXTBLM,1),IF(STM="H",VLOOKUP(J101,STXTBLUH,1),0)))</f>
        <v>77452</v>
      </c>
    </row>
    <row r="110" spans="9:10" ht="15.75">
      <c r="I110" s="2" t="s">
        <v>175</v>
      </c>
      <c r="J110" s="3">
        <f>IF(STM="S",VLOOKUP(J102,STXTBLS,1),IF(STM="M",VLOOKUP(J102,STXTBLM,1),IF(STM="H",VLOOKUP(J102,STXTBLUH,1),0)))</f>
        <v>55794</v>
      </c>
    </row>
    <row r="112" spans="9:11" ht="15.75">
      <c r="I112" s="2" t="s">
        <v>176</v>
      </c>
      <c r="K112" s="3"/>
    </row>
    <row r="113" spans="9:11" ht="15.75">
      <c r="I113" s="2" t="s">
        <v>177</v>
      </c>
      <c r="J113" s="3">
        <f>IF(STM="S",VLOOKUP(STG1,STXTBLS,2),IF(STM="M",VLOOKUP(STG1,STXTBLM,2),IF(STM="H",VLOOKUP(STG1,STXTBLUH,2),0)))</f>
        <v>0.088</v>
      </c>
      <c r="K113" s="3"/>
    </row>
    <row r="114" spans="9:11" ht="15.75">
      <c r="I114" s="2" t="s">
        <v>178</v>
      </c>
      <c r="J114" s="3">
        <f>IF(STM="S",VLOOKUP(J98,STXTBLS,2),IF(STM="M",VLOOKUP(J98,STXTBLM,2),IF(STM="H",VLOOKUP(J98,STXTBLUH,2),0)))</f>
        <v>0.088</v>
      </c>
      <c r="K114" s="3"/>
    </row>
    <row r="115" spans="9:11" ht="15.75">
      <c r="I115" s="2" t="s">
        <v>179</v>
      </c>
      <c r="J115" s="3">
        <f>IF(STM="S",VLOOKUP(J99,STXTBLS,2),IF(STM="M",VLOOKUP(J99,STXTBLM,2),IF(STM="H",VLOOKUP(J99,STXTBLUH,2),0)))</f>
        <v>0.088</v>
      </c>
      <c r="K115" s="3"/>
    </row>
    <row r="116" spans="9:11" ht="15.75">
      <c r="I116" s="2" t="s">
        <v>180</v>
      </c>
      <c r="J116" s="3">
        <f>IF(STM="S",VLOOKUP(J100,STXTBLS,2),IF(STM="M",VLOOKUP(J100,STXTBLM,2),IF(STM="H",VLOOKUP(J100,STXTBLUH,2),0)))</f>
        <v>0.088</v>
      </c>
      <c r="K116" s="3"/>
    </row>
    <row r="117" spans="9:11" ht="15.75">
      <c r="I117" s="2" t="s">
        <v>181</v>
      </c>
      <c r="J117" s="3">
        <f>IF(STM="S",VLOOKUP(J101,STXTBLS,2),IF(STM="M",VLOOKUP(J101,STXTBLM,2),IF(STM="H",VLOOKUP(J101,STXTBLUH,2),0)))</f>
        <v>0.088</v>
      </c>
      <c r="K117" s="3"/>
    </row>
    <row r="118" spans="9:11" ht="15.75">
      <c r="I118" s="2" t="s">
        <v>182</v>
      </c>
      <c r="J118" s="3">
        <f>IF(STM="S",VLOOKUP(J102,STXTBLS,2),IF(STM="M",VLOOKUP(J102,STXTBLM,2),IF(STM="H",VLOOKUP(J102,STXTBLUH,2),0)))</f>
        <v>0.066</v>
      </c>
      <c r="K118" s="3"/>
    </row>
    <row r="120" spans="9:11" ht="15.75">
      <c r="I120" s="2" t="s">
        <v>183</v>
      </c>
      <c r="K120" s="3"/>
    </row>
    <row r="121" spans="9:11" ht="15.75">
      <c r="I121" s="2" t="s">
        <v>184</v>
      </c>
      <c r="J121" s="3">
        <f>IF(STM="S",VLOOKUP(STG1,STXTBLS,3),IF(STM="M",VLOOKUP(STG1,STXTBLM,3),IF(STM="H",VLOOKUP(STG1,STXTBLUH,3),0)))</f>
        <v>2942.61</v>
      </c>
      <c r="K121" s="3"/>
    </row>
    <row r="122" spans="9:11" ht="15.75">
      <c r="I122" s="2" t="s">
        <v>185</v>
      </c>
      <c r="J122" s="3">
        <f>IF(STM="S",VLOOKUP(J98,STXTBLS,3),IF(STM="M",VLOOKUP(J98,STXTBLM,3),IF(STM="H",VLOOKUP(J98,STXTBLUH,3),0)))</f>
        <v>2942.61</v>
      </c>
      <c r="K122" s="3"/>
    </row>
    <row r="123" spans="9:11" ht="15.75">
      <c r="I123" s="2" t="s">
        <v>186</v>
      </c>
      <c r="J123" s="3">
        <f>IF(STM="S",VLOOKUP(J99,STXTBLS,3),IF(STM="M",VLOOKUP(J99,STXTBLM,3),IF(STM="H",VLOOKUP(J99,STXTBLUH,3),0)))</f>
        <v>2942.61</v>
      </c>
      <c r="K123" s="3"/>
    </row>
    <row r="124" spans="9:11" ht="15.75">
      <c r="I124" s="2" t="s">
        <v>187</v>
      </c>
      <c r="J124" s="3">
        <f>IF(STM="S",VLOOKUP(J100,STXTBLS,3),IF(STM="M",VLOOKUP(J100,STXTBLM,3),IF(STM="H",VLOOKUP(J100,STXTBLUH,3),0)))</f>
        <v>2942.61</v>
      </c>
      <c r="K124" s="3"/>
    </row>
    <row r="125" spans="9:11" ht="15.75">
      <c r="I125" s="2" t="s">
        <v>188</v>
      </c>
      <c r="J125" s="3">
        <f>IF(STM="S",VLOOKUP(J101,STXTBLS,3),IF(STM="M",VLOOKUP(J101,STXTBLM,3),IF(STM="H",VLOOKUP(J101,STXTBLUH,3),0)))</f>
        <v>2942.61</v>
      </c>
      <c r="K125" s="3"/>
    </row>
    <row r="126" spans="9:10" ht="15.75">
      <c r="I126" s="2" t="s">
        <v>189</v>
      </c>
      <c r="J126" s="3">
        <f>IF(STM="S",VLOOKUP(J102,STXTBLS,3),IF(STM="M",VLOOKUP(J102,STXTBLM,3),IF(STM="H",VLOOKUP(J102,STXTBLUH,3),0)))</f>
        <v>1513.18</v>
      </c>
    </row>
    <row r="128" spans="9:11" ht="15.75">
      <c r="I128" s="2" t="s">
        <v>190</v>
      </c>
      <c r="K128" s="3"/>
    </row>
    <row r="129" spans="9:11" ht="15.75">
      <c r="I129" s="2" t="s">
        <v>191</v>
      </c>
      <c r="J129" s="3">
        <f>(STG1-SBSA1)</f>
        <v>14879.440000000002</v>
      </c>
      <c r="K129" s="3"/>
    </row>
    <row r="130" spans="9:11" ht="15.75">
      <c r="I130" s="2" t="s">
        <v>192</v>
      </c>
      <c r="J130" s="3">
        <f>(J98-J106)</f>
        <v>12279.440000000002</v>
      </c>
      <c r="K130" s="3"/>
    </row>
    <row r="131" spans="9:11" ht="15.75">
      <c r="I131" s="2" t="s">
        <v>193</v>
      </c>
      <c r="J131" s="3">
        <f>(J99-J107)</f>
        <v>9679.440000000002</v>
      </c>
      <c r="K131" s="3"/>
    </row>
    <row r="132" spans="9:11" ht="15.75">
      <c r="I132" s="2" t="s">
        <v>194</v>
      </c>
      <c r="J132" s="3">
        <f>(J100-J108)</f>
        <v>7079.440000000002</v>
      </c>
      <c r="K132" s="3"/>
    </row>
    <row r="133" spans="9:11" ht="15.75">
      <c r="I133" s="2" t="s">
        <v>195</v>
      </c>
      <c r="J133" s="3">
        <f>(J101-J109)</f>
        <v>1879.4400000000023</v>
      </c>
      <c r="K133" s="3"/>
    </row>
    <row r="134" spans="9:10" ht="15.75">
      <c r="I134" s="2" t="s">
        <v>196</v>
      </c>
      <c r="J134" s="3">
        <f>(J102-J110)</f>
        <v>20287.440000000002</v>
      </c>
    </row>
    <row r="136" spans="9:11" ht="15.75">
      <c r="I136" s="2" t="s">
        <v>197</v>
      </c>
      <c r="K136" s="3"/>
    </row>
    <row r="137" spans="9:11" ht="15.75">
      <c r="I137" s="2" t="s">
        <v>198</v>
      </c>
      <c r="J137" s="3">
        <f>(SBST1+ROUND(SOVR1*SMTR1,5))</f>
        <v>4252.00072</v>
      </c>
      <c r="K137" s="3"/>
    </row>
    <row r="138" spans="9:11" ht="15.75">
      <c r="I138" s="2" t="s">
        <v>199</v>
      </c>
      <c r="J138" s="3">
        <f>(J122+ROUND(J130*SMTR2,5))</f>
        <v>4023.20072</v>
      </c>
      <c r="K138" s="3"/>
    </row>
    <row r="139" spans="9:11" ht="15.75">
      <c r="I139" s="2" t="s">
        <v>200</v>
      </c>
      <c r="J139" s="3">
        <f>(J123+ROUND(J131*SMTR3,5))</f>
        <v>3794.40072</v>
      </c>
      <c r="K139" s="3"/>
    </row>
    <row r="140" spans="9:11" ht="15.75">
      <c r="I140" s="2" t="s">
        <v>201</v>
      </c>
      <c r="J140" s="3">
        <f>(J124+ROUND(J132*SMTR4,5))</f>
        <v>3565.6007200000004</v>
      </c>
      <c r="K140" s="3"/>
    </row>
    <row r="141" spans="9:11" ht="15.75">
      <c r="I141" s="2" t="s">
        <v>202</v>
      </c>
      <c r="J141" s="3">
        <f>(J125+ROUND(J133*SMTR5,5))</f>
        <v>3108.00072</v>
      </c>
      <c r="K141" s="3"/>
    </row>
    <row r="142" spans="9:10" ht="15.75">
      <c r="I142" s="2" t="s">
        <v>203</v>
      </c>
      <c r="J142" s="3">
        <f>(J126+ROUND(J134*SMTR6,5))</f>
        <v>2852.1510399999997</v>
      </c>
    </row>
    <row r="144" spans="9:11" ht="15.75">
      <c r="I144" s="2" t="s">
        <v>204</v>
      </c>
      <c r="K144" s="3"/>
    </row>
    <row r="145" spans="9:11" ht="15.75">
      <c r="I145" s="2" t="s">
        <v>205</v>
      </c>
      <c r="J145" s="3">
        <f>IF(OR(TG1*PAYFACT&lt;=LIE,(STA1-TXCREDIT)/PAYFACT&lt;=0),0,IF(STA1-TXCREDIT/PAYFACT&gt;0,ROUND((STA1-TXCREDIT)/PAYFACT,2)))</f>
        <v>163.54</v>
      </c>
      <c r="K145" s="3"/>
    </row>
    <row r="146" spans="9:11" ht="15.75">
      <c r="I146" s="2" t="s">
        <v>206</v>
      </c>
      <c r="J146" s="3">
        <f>IF(OR(TG2*PAYFACT&lt;=LIE,(J138-TXCREDIT)/PAYFACT&lt;=0),0,IF(J138-TXCREDIT/PAYFACT&gt;0,ROUND((J138-TXCREDIT)/PAYFACT,2)))</f>
        <v>154.74</v>
      </c>
      <c r="K146" s="3"/>
    </row>
    <row r="147" spans="9:11" ht="15.75">
      <c r="I147" s="2" t="s">
        <v>207</v>
      </c>
      <c r="J147" s="3">
        <f>IF(OR(TG3*PAYFACT&lt;=LIE,(J139-TXCREDIT)/PAYFACT&lt;=0),0,IF(J139-TXCREDIT/PAYFACT&gt;0,ROUND((J139-TXCREDIT)/PAYFACT,2)))</f>
        <v>145.94</v>
      </c>
      <c r="K147" s="3"/>
    </row>
    <row r="148" spans="9:11" ht="15.75">
      <c r="I148" s="2" t="s">
        <v>208</v>
      </c>
      <c r="J148" s="3">
        <f>IF(OR(TG4*PAYFACT&lt;=LIE,(J140-TXCREDIT)/PAYFACT&lt;=0),0,IF(J140-TXCREDIT/PAYFACT&gt;0,ROUND((J140-TXCREDIT)/PAYFACT,2)))</f>
        <v>137.14</v>
      </c>
      <c r="K148" s="3"/>
    </row>
    <row r="149" spans="9:11" ht="15.75">
      <c r="I149" s="2" t="s">
        <v>209</v>
      </c>
      <c r="J149" s="3">
        <f>IF(OR(TG5*PAYFACT&lt;=LIE,(J141-TXCREDIT)/PAYFACT&lt;=0),0,IF(J141-TXCREDIT/PAYFACT&gt;0,ROUND((J141-TXCREDIT)/PAYFACT,2)))</f>
        <v>119.54</v>
      </c>
      <c r="K149" s="3"/>
    </row>
    <row r="150" spans="9:10" ht="15.75">
      <c r="I150" s="2" t="s">
        <v>210</v>
      </c>
      <c r="J150" s="3">
        <f>IF(OR(TG6*PAYFACT&lt;=LIE,(J142-TXCREDIT)/PAYFACT&lt;=0),0,IF(J142-TXCREDIT/PAYFACT&gt;0,ROUND((J142-TXCREDIT)/PAYFACT,2)))</f>
        <v>109.7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Bi-weekly Version</dc:title>
  <dc:subject>Paycheck Calculator - Bi-weekly Version</dc:subject>
  <dc:creator>State Controller's Office/PPSD - Barry Sasabuchi</dc:creator>
  <cp:keywords>Paycheck Calculator - 06 Tax Rate - Bi-weekly Version</cp:keywords>
  <dc:description>Revised 8/22/06</dc:description>
  <cp:lastModifiedBy>Lockhart, Jeff L.</cp:lastModifiedBy>
  <cp:lastPrinted>2002-01-17T17:33:45Z</cp:lastPrinted>
  <dcterms:created xsi:type="dcterms:W3CDTF">2001-09-18T21:35:57Z</dcterms:created>
  <dcterms:modified xsi:type="dcterms:W3CDTF">2013-02-08T16:49:11Z</dcterms:modified>
  <cp:category>Paycheck Calculator - 06 Tax Rate - Bi-weekly Version</cp:category>
  <cp:version/>
  <cp:contentType/>
  <cp:contentStatus/>
</cp:coreProperties>
</file>