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8800" windowHeight="12300" tabRatio="541" activeTab="0"/>
  </bookViews>
  <sheets>
    <sheet name="IDL" sheetId="1" r:id="rId1"/>
  </sheets>
  <definedNames>
    <definedName name="ADDALLOW1">'IDL'!$K$124</definedName>
    <definedName name="APPLY_EXCLUSION">'IDL'!$K$28</definedName>
    <definedName name="CBID">'IDL'!$B$4</definedName>
    <definedName name="Days_in_Pay_Period">'IDL'!$D$5</definedName>
    <definedName name="DCA1">'IDL'!$B$22</definedName>
    <definedName name="DCA2">'IDL'!$C$22</definedName>
    <definedName name="DCA3">'IDL'!$D$22</definedName>
    <definedName name="DCA4">'IDL'!$F$22</definedName>
    <definedName name="DCA5">'IDL'!$G$22</definedName>
    <definedName name="DCA6">'IDL'!$H$22</definedName>
    <definedName name="Divided_By">'IDL'!$D$32</definedName>
    <definedName name="EMPCR">'IDL'!$U$17:$V$40</definedName>
    <definedName name="EPMC">'IDL'!$K$14</definedName>
    <definedName name="EPMC_P">'IDL'!$K$13</definedName>
    <definedName name="EXCLUSION">'IDL'!$K$27</definedName>
    <definedName name="FAN1">'IDL'!$K$59</definedName>
    <definedName name="FAN2">'IDL'!$K$60</definedName>
    <definedName name="FAN3">'IDL'!$K$61</definedName>
    <definedName name="FAN4">'IDL'!$K$62</definedName>
    <definedName name="FAN5">'IDL'!$K$63</definedName>
    <definedName name="FAN6">'IDL'!$K$64</definedName>
    <definedName name="FBSA1">'IDL'!$K$75</definedName>
    <definedName name="FBSA2">'IDL'!$K$76</definedName>
    <definedName name="FBSA3">'IDL'!$K$77</definedName>
    <definedName name="FBSA4">'IDL'!$K$78</definedName>
    <definedName name="FBSA5">'IDL'!$K$79</definedName>
    <definedName name="FBSA6">'IDL'!$K$80</definedName>
    <definedName name="FBST1">'IDL'!$K$91</definedName>
    <definedName name="FBST2">'IDL'!$K$92</definedName>
    <definedName name="FBST3">'IDL'!$K$93</definedName>
    <definedName name="FBST4">'IDL'!$K$94</definedName>
    <definedName name="FBST5">'IDL'!$K$95</definedName>
    <definedName name="FBST6">'IDL'!$K$96</definedName>
    <definedName name="FEDE">'IDL'!$D$13</definedName>
    <definedName name="FEDEXM">'IDL'!$K$57</definedName>
    <definedName name="FEDEXMPT1">'IDL'!$AF$2</definedName>
    <definedName name="FEDM">'IDL'!$B$13</definedName>
    <definedName name="FMTR1">'IDL'!$K$83</definedName>
    <definedName name="FMTR2">'IDL'!$K$84</definedName>
    <definedName name="FMTR3">'IDL'!$K$85</definedName>
    <definedName name="FMTR4">'IDL'!$K$86</definedName>
    <definedName name="FMTR5">'IDL'!$K$87</definedName>
    <definedName name="FMTR6">'IDL'!$K$88</definedName>
    <definedName name="FOVR1">'IDL'!$K$99</definedName>
    <definedName name="FOVR2">'IDL'!$K$100</definedName>
    <definedName name="FOVR3">'IDL'!$K$101</definedName>
    <definedName name="FOVR4">'IDL'!$K$102</definedName>
    <definedName name="FOVR5">'IDL'!$K$103</definedName>
    <definedName name="FOVR6">'IDL'!$K$104</definedName>
    <definedName name="FTA1">'IDL'!$K$107</definedName>
    <definedName name="FTA2">'IDL'!$K$108</definedName>
    <definedName name="FTA3">'IDL'!$K$109</definedName>
    <definedName name="FTAX1">'IDL'!$K$115</definedName>
    <definedName name="FTAX2">'IDL'!$K$116</definedName>
    <definedName name="FTAX3">'IDL'!$K$117</definedName>
    <definedName name="FTAX4">'IDL'!$K$118</definedName>
    <definedName name="FTAX5">'IDL'!$K$119</definedName>
    <definedName name="FTAX6">'IDL'!$K$120</definedName>
    <definedName name="FTG1">'IDL'!$K$67</definedName>
    <definedName name="FTG2">'IDL'!$K$68</definedName>
    <definedName name="FTG3">'IDL'!$K$69</definedName>
    <definedName name="FTG4">'IDL'!$K$70</definedName>
    <definedName name="FTG5">'IDL'!$K$71</definedName>
    <definedName name="FTG6">'IDL'!$K$72</definedName>
    <definedName name="FTXTBLM1">'IDL'!$AF$18:$AH$26</definedName>
    <definedName name="FTXTBLSH1">'IDL'!$AF$6:$AH$14</definedName>
    <definedName name="Full_Net">'IDL'!$B$30</definedName>
    <definedName name="Gross_Net">'IDL'!$K$2</definedName>
    <definedName name="Grs_Full_Supple">'IDL'!$B$33</definedName>
    <definedName name="HAS_REDUCED_SALARY">'IDL'!$K$29</definedName>
    <definedName name="HOURS_IDL_23">'IDL'!$K$11</definedName>
    <definedName name="HOURS_IDL_FULL">'IDL'!$K$10</definedName>
    <definedName name="HOURS_OF_REGULAR_PAY">'IDL'!$K$9</definedName>
    <definedName name="IDL_2_3">'IDL'!$K$5</definedName>
    <definedName name="IDL_23_Days">'IDL'!$B$20</definedName>
    <definedName name="IDL_23_Grs">'IDL'!$M$26</definedName>
    <definedName name="IDL_23_Hrs">'IDL'!$C$20</definedName>
    <definedName name="IDL_23_Net">'IDL'!$F$30</definedName>
    <definedName name="IDL_23_PAY">'IDL'!$N$40</definedName>
    <definedName name="IDL_23_PAY_EXCLUSION">'IDL'!$N$41</definedName>
    <definedName name="IDL_23_PAY_WITHHOLDING">'IDL'!$N$42</definedName>
    <definedName name="IDL_23_RETIREMENT_WH">'IDL'!$M$19</definedName>
    <definedName name="IDL_Full">'IDL'!$K$4</definedName>
    <definedName name="IDL_Full_Days">'IDL'!$B$19</definedName>
    <definedName name="IDL_Full_Hrs">'IDL'!$C$19</definedName>
    <definedName name="IDL_Full_Net">'IDL'!$D$30</definedName>
    <definedName name="IDL_FULL_PAY">'IDL'!$N$35</definedName>
    <definedName name="IDL_FULL_PAY_EXCLUSION">'IDL'!$N$36</definedName>
    <definedName name="IDL_FULL_PAY_WITHHOLDING">'IDL'!$N$37</definedName>
    <definedName name="IDL_FULL_RETIREMENT_WH">'IDL'!$M$9</definedName>
    <definedName name="IDL_Grs">'IDL'!$M$16</definedName>
    <definedName name="INSTRUCTIONS">'IDL'!$A$42:$H$64</definedName>
    <definedName name="Iss_Mon">'IDL'!$D$15</definedName>
    <definedName name="Iss_Yr">'IDL'!$F$15</definedName>
    <definedName name="LIE">'IDL'!$K$123</definedName>
    <definedName name="LIEH1">'IDL'!$AM$8</definedName>
    <definedName name="LIEM1">'IDL'!$AK$8</definedName>
    <definedName name="LIEM2">'IDL'!$AL$8</definedName>
    <definedName name="LIES1">'IDL'!$AJ$8</definedName>
    <definedName name="Locked_in_Pay">'IDL'!$D$6</definedName>
    <definedName name="Mand_Hold_Factor">'IDL'!$S$52:$T$63</definedName>
    <definedName name="MD_">'IDL'!$W$2</definedName>
    <definedName name="MED">'IDL'!$U$3</definedName>
    <definedName name="MED_">'IDL'!$U$2</definedName>
    <definedName name="OA_">'IDL'!$V$2</definedName>
    <definedName name="OASDI">'IDL'!$U$5</definedName>
    <definedName name="OASDI_">'IDL'!$U$4</definedName>
    <definedName name="Org_Hr_Rate">'IDL'!$K$7</definedName>
    <definedName name="Pay_Period">'IDL'!$D$8</definedName>
    <definedName name="PAYFACT">'IDL'!$K$56</definedName>
    <definedName name="PayFreq">'IDL'!$B$5</definedName>
    <definedName name="PAYPERIOD_DAYS">'IDL'!$K$20</definedName>
    <definedName name="PAYPERIOD_HOURS">'IDL'!$K$6</definedName>
    <definedName name="_xlnm.Print_Area" localSheetId="0">'IDL'!$A$1:$H$36</definedName>
    <definedName name="RED_SAL_NOT_LOCKED">'IDL'!$K$25</definedName>
    <definedName name="Red_Sal_Rate">'IDL'!$D$3</definedName>
    <definedName name="REDUCED_SALARY">'IDL'!$K$24</definedName>
    <definedName name="Reg_Days">'IDL'!$B$18</definedName>
    <definedName name="Reg_Hrs">'IDL'!$C$18</definedName>
    <definedName name="Reg_Med">'IDL'!$M$5</definedName>
    <definedName name="Reg_Net">'IDL'!$C$30</definedName>
    <definedName name="Reg_Net_Grs">'IDL'!$K$3</definedName>
    <definedName name="REG_PAY_EXCLUSION">'IDL'!$N$31</definedName>
    <definedName name="REG_PAY_SUBJ_RETIREMENT">'IDL'!$N$30</definedName>
    <definedName name="REG_PAY_WITHHOLDING">'IDL'!$N$32</definedName>
    <definedName name="REG_RETIREMENT_WH">'IDL'!$M$3</definedName>
    <definedName name="Reg_SDI">'IDL'!$M$6</definedName>
    <definedName name="Reg_SS">'IDL'!$M$4</definedName>
    <definedName name="REGULAR_PAY">'IDL'!$N$29</definedName>
    <definedName name="RET_EXCLUSION_AMT">'IDL'!$S$3</definedName>
    <definedName name="Ret_SM_Exl_Apply">'IDL'!$B$9</definedName>
    <definedName name="RETID_TABLE">'IDL'!$Z$3:$AD$314</definedName>
    <definedName name="RETIREMENT_ID">'IDL'!$B$8</definedName>
    <definedName name="RETIREMENT_SALARY_RATE">'IDL'!$K$26</definedName>
    <definedName name="SADDALL1">'IDL'!$AK$3</definedName>
    <definedName name="SALARY">'IDL'!$K$23</definedName>
    <definedName name="Salary_Per">'IDL'!$G$3</definedName>
    <definedName name="Salary_Rate">'IDL'!$B$3</definedName>
    <definedName name="SBSA1">'IDL'!$K$140</definedName>
    <definedName name="SBSA2">'IDL'!$K$141</definedName>
    <definedName name="SBSA3">'IDL'!$K$142</definedName>
    <definedName name="SBSA4">'IDL'!$K$143</definedName>
    <definedName name="SBSA5">'IDL'!$K$144</definedName>
    <definedName name="SBSA6">'IDL'!$K$145</definedName>
    <definedName name="SBST1">'IDL'!$K$156</definedName>
    <definedName name="SBST2">'IDL'!$K$157</definedName>
    <definedName name="SBST3">'IDL'!$K$158</definedName>
    <definedName name="SBST4">'IDL'!$K$159</definedName>
    <definedName name="SBST5">'IDL'!$K$160</definedName>
    <definedName name="SBST6">'IDL'!$K$161</definedName>
    <definedName name="SDED1">'IDL'!$K$125</definedName>
    <definedName name="SDH1">'IDL'!$AM$13</definedName>
    <definedName name="SDI">'IDL'!$B$11</definedName>
    <definedName name="SDI_CBID">'IDL'!$R$27:$S$47</definedName>
    <definedName name="SDI1">'IDL'!$K$17</definedName>
    <definedName name="SDIGRS">'IDL'!$K$18</definedName>
    <definedName name="SDM1">'IDL'!$AK$13</definedName>
    <definedName name="SDM2">'IDL'!$AL$13</definedName>
    <definedName name="SDS1">'IDL'!$AJ$13</definedName>
    <definedName name="Semi_PP_Days">'IDL'!$G$5</definedName>
    <definedName name="SMTR1">'IDL'!$K$148</definedName>
    <definedName name="SMTR2">'IDL'!$K$149</definedName>
    <definedName name="SMTR3">'IDL'!$K$150</definedName>
    <definedName name="SMTR4">'IDL'!$K$151</definedName>
    <definedName name="SMTR5">'IDL'!$K$152</definedName>
    <definedName name="SMTR6">'IDL'!$K$153</definedName>
    <definedName name="SOVR1">'IDL'!$K$164</definedName>
    <definedName name="SOVR2">'IDL'!$K$165</definedName>
    <definedName name="SOVR3">'IDL'!$K$166</definedName>
    <definedName name="SOVR4">'IDL'!$K$167</definedName>
    <definedName name="SOVR5">'IDL'!$K$168</definedName>
    <definedName name="SOVR6">'IDL'!$K$169</definedName>
    <definedName name="STA">'IDL'!$B$15</definedName>
    <definedName name="STA1">'IDL'!$K$172</definedName>
    <definedName name="STA2">'IDL'!$K$173</definedName>
    <definedName name="STA3">'IDL'!$K$174</definedName>
    <definedName name="STA4">'IDL'!$K$175</definedName>
    <definedName name="STA5">'IDL'!$K$176</definedName>
    <definedName name="STA6">'IDL'!$K$177</definedName>
    <definedName name="STAX1">'IDL'!$K$180</definedName>
    <definedName name="STAX2">'IDL'!$K$181</definedName>
    <definedName name="STAX3">'IDL'!$K$182</definedName>
    <definedName name="STAX4">'IDL'!$K$183</definedName>
    <definedName name="STAX5">'IDL'!$K$184</definedName>
    <definedName name="STAX6">'IDL'!$K$185</definedName>
    <definedName name="STE">'IDL'!$D$14</definedName>
    <definedName name="STG1">'IDL'!$K$132</definedName>
    <definedName name="STG2">'IDL'!$K$133</definedName>
    <definedName name="STG3">'IDL'!$K$134</definedName>
    <definedName name="STG4">'IDL'!$K$135</definedName>
    <definedName name="STG5">'IDL'!$K$136</definedName>
    <definedName name="STG6">'IDL'!$K$137</definedName>
    <definedName name="STM">'IDL'!$B$14</definedName>
    <definedName name="STXTBLH1">'IDL'!$AJ$45:$AL$55</definedName>
    <definedName name="STXTBLM1">'IDL'!$AJ$31:$AL$41</definedName>
    <definedName name="STXTBLS1">'IDL'!$AJ$17:$AL$27</definedName>
    <definedName name="Supple_Gross_Net">'IDL'!$B$32</definedName>
    <definedName name="Tax_Charts">'IDL'!$D$11</definedName>
    <definedName name="TCRM1">'IDL'!$AL$61</definedName>
    <definedName name="TCRM2">'IDL'!$AM$61</definedName>
    <definedName name="TCRM3">'IDL'!$AN$61</definedName>
    <definedName name="TCRS1">'IDL'!$AL$60</definedName>
    <definedName name="TCRS2">'IDL'!$AM$60</definedName>
    <definedName name="TCRS3">'IDL'!$AN$60</definedName>
    <definedName name="TG1">'IDL'!$K$48</definedName>
    <definedName name="TG2">'IDL'!$K$49</definedName>
    <definedName name="TG3">'IDL'!$K$50</definedName>
    <definedName name="TG4">'IDL'!$K$51</definedName>
    <definedName name="TG5">'IDL'!$K$52</definedName>
    <definedName name="TG6">'IDL'!$K$53</definedName>
    <definedName name="Time_Base_Fraction">'IDL'!$B$6</definedName>
    <definedName name="Time_Base_Hrs">'IDL'!$K$22</definedName>
    <definedName name="TIMEBASE">'IDL'!$K$21</definedName>
    <definedName name="TXCRB">'IDL'!$K$126</definedName>
    <definedName name="TXCREDIT">'IDL'!$K$129</definedName>
    <definedName name="TXCROV">'IDL'!$K$127</definedName>
    <definedName name="TXCRR">'IDL'!$K$128</definedName>
    <definedName name="Withhold_Factor">'IDL'!$T$50</definedName>
  </definedNames>
  <calcPr fullCalcOnLoad="1"/>
</workbook>
</file>

<file path=xl/sharedStrings.xml><?xml version="1.0" encoding="utf-8"?>
<sst xmlns="http://schemas.openxmlformats.org/spreadsheetml/2006/main" count="1164" uniqueCount="686">
  <si>
    <t>SS %</t>
  </si>
  <si>
    <t>MED %</t>
  </si>
  <si>
    <t>FEDERAL INCOME TAX EXEMPTION</t>
  </si>
  <si>
    <t>STATE INCOME TAX</t>
  </si>
  <si>
    <t xml:space="preserve"> </t>
  </si>
  <si>
    <t>MED%</t>
  </si>
  <si>
    <t>ADDITIONAL ALLOWANCES</t>
  </si>
  <si>
    <t>MED</t>
  </si>
  <si>
    <t>SS%</t>
  </si>
  <si>
    <t>SINGLE/HEAD OF HOUSEHOLD</t>
  </si>
  <si>
    <t>SS</t>
  </si>
  <si>
    <t>EPMC</t>
  </si>
  <si>
    <t>BASE AMT</t>
  </si>
  <si>
    <t>PERCENT</t>
  </si>
  <si>
    <t>BASE TAX</t>
  </si>
  <si>
    <t xml:space="preserve">          LOW INCOME TAX EXEMPTION</t>
  </si>
  <si>
    <t xml:space="preserve"> --- MARRIED ---</t>
  </si>
  <si>
    <t>HEAD OF</t>
  </si>
  <si>
    <t>(1-99)</t>
  </si>
  <si>
    <t>EPMC%</t>
  </si>
  <si>
    <t>SINGLE</t>
  </si>
  <si>
    <t>0 or 1</t>
  </si>
  <si>
    <t>2 or more</t>
  </si>
  <si>
    <t>HOUSEHOLD</t>
  </si>
  <si>
    <t>State Marital Status</t>
  </si>
  <si>
    <t xml:space="preserve">       STANDARD DEDUCTION TABLE</t>
  </si>
  <si>
    <t>TXGRS1</t>
  </si>
  <si>
    <t>TXGRS2</t>
  </si>
  <si>
    <t>TXGRS3</t>
  </si>
  <si>
    <t>TXGRS4</t>
  </si>
  <si>
    <t>TXGRS5</t>
  </si>
  <si>
    <t>MARRIED</t>
  </si>
  <si>
    <t xml:space="preserve"> ------- SINGLE --------</t>
  </si>
  <si>
    <t>TXGRS6</t>
  </si>
  <si>
    <t xml:space="preserve">      FEDERAL TAX</t>
  </si>
  <si>
    <t>PAYFACT</t>
  </si>
  <si>
    <t>FED EXM</t>
  </si>
  <si>
    <t>ANNUALIZED GROSS</t>
  </si>
  <si>
    <t>FAN1</t>
  </si>
  <si>
    <t>FAN2</t>
  </si>
  <si>
    <t>FAN3</t>
  </si>
  <si>
    <t>FAN4</t>
  </si>
  <si>
    <t>FAN5</t>
  </si>
  <si>
    <t>FAN6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</si>
  <si>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</si>
  <si>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</si>
  <si>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</si>
  <si>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</si>
  <si>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</si>
  <si>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</si>
  <si>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</si>
  <si>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</si>
  <si>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</si>
  <si>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</si>
  <si>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</si>
  <si>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</si>
  <si>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</si>
  <si>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UNMARRIED HEAD OF HOUSEHOLD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</si>
  <si>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</si>
  <si>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</si>
  <si>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</si>
  <si>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</si>
  <si>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</si>
  <si>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</si>
  <si>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</si>
  <si>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</si>
  <si>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</si>
  <si>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</si>
  <si>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</si>
  <si>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</si>
  <si>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</si>
  <si>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</si>
  <si>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</si>
  <si>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</si>
  <si>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</si>
  <si>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</si>
  <si>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</si>
  <si>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</si>
  <si>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</si>
  <si>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</si>
  <si>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</si>
  <si>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</si>
  <si>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</si>
  <si>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</si>
  <si>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</si>
  <si>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 xml:space="preserve">   ANNUALIZED TAX</t>
  </si>
  <si>
    <t>FTA1</t>
  </si>
  <si>
    <t>FTA2</t>
  </si>
  <si>
    <t>FTA3</t>
  </si>
  <si>
    <t>FTA4</t>
  </si>
  <si>
    <t>FTA5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</si>
  <si>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</si>
  <si>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</si>
  <si>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</si>
  <si>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</si>
  <si>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</si>
  <si>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</si>
  <si>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</si>
  <si>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</si>
  <si>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</si>
  <si>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TXCRB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</si>
  <si>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</si>
  <si>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</si>
  <si>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</si>
  <si>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</si>
  <si>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</si>
  <si>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</si>
  <si>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</si>
  <si>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</si>
  <si>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</si>
  <si>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</si>
  <si>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</si>
  <si>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</si>
  <si>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</si>
  <si>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</si>
  <si>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</si>
  <si>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</si>
  <si>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</si>
  <si>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</si>
  <si>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</si>
  <si>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</si>
  <si>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</si>
  <si>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</si>
  <si>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</si>
  <si>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</si>
  <si>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</si>
  <si>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</si>
  <si>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</si>
  <si>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</si>
  <si>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</si>
  <si>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</si>
  <si>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</si>
  <si>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</si>
  <si>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</si>
  <si>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</si>
  <si>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</si>
  <si>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</si>
  <si>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</si>
  <si>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</si>
  <si>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</si>
  <si>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</si>
  <si>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</si>
  <si>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</si>
  <si>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</si>
  <si>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</si>
  <si>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t>Collective Bargaining Unit</t>
  </si>
  <si>
    <t>EMPCR%</t>
  </si>
  <si>
    <t>U</t>
  </si>
  <si>
    <t>C</t>
  </si>
  <si>
    <t>SD</t>
  </si>
  <si>
    <t>M</t>
  </si>
  <si>
    <t>SDI</t>
  </si>
  <si>
    <t>SDI1</t>
  </si>
  <si>
    <t>SDIGRS</t>
  </si>
  <si>
    <t>SDI Withheld</t>
  </si>
  <si>
    <t>SDI %</t>
  </si>
  <si>
    <t>NO</t>
  </si>
  <si>
    <t>Salary Information</t>
  </si>
  <si>
    <t>Original Salary Rate</t>
  </si>
  <si>
    <t>T</t>
  </si>
  <si>
    <t>Time Base Fraction</t>
  </si>
  <si>
    <t>Retirement/SDI Information</t>
  </si>
  <si>
    <t>Retirement ID</t>
  </si>
  <si>
    <t>Pay Period</t>
  </si>
  <si>
    <t>Federal/State Tax Information</t>
  </si>
  <si>
    <t>Federal Filing Status</t>
  </si>
  <si>
    <t>(M, S) (1-99)</t>
  </si>
  <si>
    <t>(21/22)</t>
  </si>
  <si>
    <t>(M, S, H) (1-99)</t>
  </si>
  <si>
    <t>Time for</t>
  </si>
  <si>
    <t>Days</t>
  </si>
  <si>
    <t>Hours</t>
  </si>
  <si>
    <t>Regular Pay</t>
  </si>
  <si>
    <t>IDL Full Pay</t>
  </si>
  <si>
    <t>IDL 2/3 Pay</t>
  </si>
  <si>
    <t>Full Net</t>
  </si>
  <si>
    <t>Regular</t>
  </si>
  <si>
    <t>IDL Full</t>
  </si>
  <si>
    <t>IDL 2/3</t>
  </si>
  <si>
    <t>Gross</t>
  </si>
  <si>
    <t>Retirement</t>
  </si>
  <si>
    <t>Social Security</t>
  </si>
  <si>
    <t>Medicare</t>
  </si>
  <si>
    <t>Federal Tax</t>
  </si>
  <si>
    <t>State Tax</t>
  </si>
  <si>
    <t>Gross Net</t>
  </si>
  <si>
    <t>Reg Net</t>
  </si>
  <si>
    <t>PP Hours</t>
  </si>
  <si>
    <t>Org Hr Rate</t>
  </si>
  <si>
    <t>Reg Time</t>
  </si>
  <si>
    <t>IDL F Time</t>
  </si>
  <si>
    <t>IDL 2/3 Time</t>
  </si>
  <si>
    <t>Total Time</t>
  </si>
  <si>
    <t xml:space="preserve">Apply Exclusion Amt </t>
  </si>
  <si>
    <t>RETID, EXL AMT, SS, MED</t>
  </si>
  <si>
    <t>RETID</t>
  </si>
  <si>
    <t>N</t>
  </si>
  <si>
    <t>S</t>
  </si>
  <si>
    <t>1A</t>
  </si>
  <si>
    <t>3A</t>
  </si>
  <si>
    <t>3B</t>
  </si>
  <si>
    <t>3C</t>
  </si>
  <si>
    <t>3D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</si>
  <si>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</si>
  <si>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</si>
  <si>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</si>
  <si>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</si>
  <si>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</si>
  <si>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</si>
  <si>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</si>
  <si>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</si>
  <si>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</si>
  <si>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</si>
  <si>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</si>
  <si>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4P</t>
  </si>
  <si>
    <t>4R</t>
  </si>
  <si>
    <t>4S</t>
  </si>
  <si>
    <t>4T</t>
  </si>
  <si>
    <t>4X</t>
  </si>
  <si>
    <t>4Y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</si>
  <si>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</si>
  <si>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</si>
  <si>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</si>
  <si>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</si>
  <si>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</si>
  <si>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</si>
  <si>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</si>
  <si>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</si>
  <si>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</si>
  <si>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</si>
  <si>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</si>
  <si>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</si>
  <si>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6J</t>
  </si>
  <si>
    <t>6K</t>
  </si>
  <si>
    <t>6L</t>
  </si>
  <si>
    <t>6M</t>
  </si>
  <si>
    <t>6P</t>
  </si>
  <si>
    <t>6R</t>
  </si>
  <si>
    <t>6S</t>
  </si>
  <si>
    <t>9A</t>
  </si>
  <si>
    <t>9B</t>
  </si>
  <si>
    <t>9C</t>
  </si>
  <si>
    <t>9D</t>
  </si>
  <si>
    <t>J</t>
  </si>
  <si>
    <t>JA</t>
  </si>
  <si>
    <t>JB</t>
  </si>
  <si>
    <t>JM</t>
  </si>
  <si>
    <t>NM</t>
  </si>
  <si>
    <t>TA</t>
  </si>
  <si>
    <t>TD</t>
  </si>
  <si>
    <t>TE</t>
  </si>
  <si>
    <t>TF</t>
  </si>
  <si>
    <t>TG</t>
  </si>
  <si>
    <t>TH</t>
  </si>
  <si>
    <t>TM</t>
  </si>
  <si>
    <t>TJ</t>
  </si>
  <si>
    <t>TK</t>
  </si>
  <si>
    <t>TL</t>
  </si>
  <si>
    <t>TP</t>
  </si>
  <si>
    <t>TR</t>
  </si>
  <si>
    <t>TS</t>
  </si>
  <si>
    <t>TX</t>
  </si>
  <si>
    <t>TY</t>
  </si>
  <si>
    <t>TZ</t>
  </si>
  <si>
    <t>Look up Retire Data</t>
  </si>
  <si>
    <t>SS/Med</t>
  </si>
  <si>
    <t>Exl amt</t>
  </si>
  <si>
    <t>Percent</t>
  </si>
  <si>
    <t>Med</t>
  </si>
  <si>
    <t>Fed</t>
  </si>
  <si>
    <t>State</t>
  </si>
  <si>
    <t>Total</t>
  </si>
  <si>
    <t>Supplementation Gross Net:</t>
  </si>
  <si>
    <t>Divided By</t>
  </si>
  <si>
    <t>=</t>
  </si>
  <si>
    <t>Leave Credit Hours Required for Full Supplementation:</t>
  </si>
  <si>
    <t>Days:</t>
  </si>
  <si>
    <t>Hours:</t>
  </si>
  <si>
    <t>Hourly Rate Used for Calc:</t>
  </si>
  <si>
    <t>Gross for Full Supplementation:</t>
  </si>
  <si>
    <t>Mandatory Withhold Factor</t>
  </si>
  <si>
    <t>Med only</t>
  </si>
  <si>
    <t>Sub Fed State</t>
  </si>
  <si>
    <t>Exmp Fed State</t>
  </si>
  <si>
    <t>Sub Fed Exmp State</t>
  </si>
  <si>
    <t>Sub State Exmp Fed</t>
  </si>
  <si>
    <t>#1 - 6</t>
  </si>
  <si>
    <t>#7-12</t>
  </si>
  <si>
    <t>Sup Full</t>
  </si>
  <si>
    <t>Supplementation Data</t>
  </si>
  <si>
    <t>COMPUTED FIELDS</t>
  </si>
  <si>
    <t>S/M</t>
  </si>
  <si>
    <t>&lt;Gross</t>
  </si>
  <si>
    <t>&lt;Reg Grs</t>
  </si>
  <si>
    <t>&lt;Reg+IDL Grs</t>
  </si>
  <si>
    <t>&lt;Not in use</t>
  </si>
  <si>
    <t>FTA18</t>
  </si>
  <si>
    <t>Time Base Hrs</t>
  </si>
  <si>
    <t>R01</t>
  </si>
  <si>
    <t>SDI CBID</t>
  </si>
  <si>
    <t>R03</t>
  </si>
  <si>
    <t>R04</t>
  </si>
  <si>
    <t>R11</t>
  </si>
  <si>
    <t>R14</t>
  </si>
  <si>
    <t>R15</t>
  </si>
  <si>
    <t>R20</t>
  </si>
  <si>
    <t>R21</t>
  </si>
  <si>
    <t>R17</t>
  </si>
  <si>
    <t>YES</t>
  </si>
  <si>
    <t>R02</t>
  </si>
  <si>
    <t>R05</t>
  </si>
  <si>
    <t>R06</t>
  </si>
  <si>
    <t>R07</t>
  </si>
  <si>
    <t>R08</t>
  </si>
  <si>
    <t>R09</t>
  </si>
  <si>
    <t>R10</t>
  </si>
  <si>
    <t>R12</t>
  </si>
  <si>
    <t>R13</t>
  </si>
  <si>
    <t>R16</t>
  </si>
  <si>
    <t>R18</t>
  </si>
  <si>
    <t>R19</t>
  </si>
  <si>
    <t>(R01-R021, U)</t>
  </si>
  <si>
    <t>Salary Per</t>
  </si>
  <si>
    <t>For positive employees, enter the hourly salary rate.</t>
  </si>
  <si>
    <t>Key a decimal to reflect cents.</t>
  </si>
  <si>
    <t>NOTE: The appropriate Social Security and Medicare amounts will be calculated based on the</t>
  </si>
  <si>
    <t>retirement account code provided.</t>
  </si>
  <si>
    <t>employee. For all other employees, leave this field blank.</t>
  </si>
  <si>
    <t>After entering and verifying the required fields, click the "Calculate IDLS" button.</t>
  </si>
  <si>
    <t>Fed Exemptions</t>
  </si>
  <si>
    <t>Iss Mon and Yr</t>
  </si>
  <si>
    <t>Locked-in Pay Not</t>
  </si>
  <si>
    <t>Subj to Retirement</t>
  </si>
  <si>
    <t>Fed Tax Rates Effective Date</t>
  </si>
  <si>
    <t>State Tax Rates Effective Date</t>
  </si>
  <si>
    <t>Pay Period Days</t>
  </si>
  <si>
    <t>Reg Allowances</t>
  </si>
  <si>
    <t>/</t>
  </si>
  <si>
    <t>(MM)</t>
  </si>
  <si>
    <t>(YY)</t>
  </si>
  <si>
    <t>Reduced Sal Rate</t>
  </si>
  <si>
    <r>
      <t>Salary Per:</t>
    </r>
    <r>
      <rPr>
        <sz val="12"/>
        <rFont val="Times New Roman"/>
        <family val="1"/>
      </rPr>
      <t xml:space="preserve"> Enter "M" if salary rate is monthly or "H" if salary rate is hourly.</t>
    </r>
  </si>
  <si>
    <r>
      <t>Collective Bargaining Unit:</t>
    </r>
    <r>
      <rPr>
        <sz val="12"/>
        <rFont val="Times New Roman"/>
        <family val="1"/>
      </rPr>
      <t xml:space="preserve"> Using the employee's personnel information enter the first three digits</t>
    </r>
  </si>
  <si>
    <r>
      <t xml:space="preserve">R02, R15, etc.). </t>
    </r>
    <r>
      <rPr>
        <i/>
        <sz val="12"/>
        <rFont val="Times New Roman"/>
        <family val="1"/>
      </rPr>
      <t>Exception:</t>
    </r>
    <r>
      <rPr>
        <sz val="12"/>
        <rFont val="Times New Roman"/>
        <family val="1"/>
      </rPr>
      <t xml:space="preserve"> For Managers, Supervisors, Excluded and Confidential employee, enter "U".</t>
    </r>
  </si>
  <si>
    <r>
      <t>Apply Exclusion Amt:</t>
    </r>
    <r>
      <rPr>
        <sz val="12"/>
        <rFont val="Times New Roman"/>
        <family val="1"/>
      </rPr>
      <t xml:space="preserve"> An entry in this field is required only when calculating IDL/S for a semimonthly</t>
    </r>
  </si>
  <si>
    <r>
      <t>IDL Full Pay:</t>
    </r>
    <r>
      <rPr>
        <sz val="12"/>
        <rFont val="Times New Roman"/>
        <family val="1"/>
      </rPr>
      <t xml:space="preserve"> Enter the days and/or hours for IDL Full in the pay period.</t>
    </r>
  </si>
  <si>
    <t>except input fields. User either the keyboard "TAB" button or "ARROWS" buttons to move between</t>
  </si>
  <si>
    <t>input fields.</t>
  </si>
  <si>
    <r>
      <t>Pay Period Days:</t>
    </r>
    <r>
      <rPr>
        <sz val="12"/>
        <rFont val="Times New Roman"/>
        <family val="1"/>
      </rPr>
      <t xml:space="preserve"> Enter total number of days in the pay period (21 or 22).</t>
    </r>
  </si>
  <si>
    <t>To reset the input fields, click the "Reset Fields" button.</t>
  </si>
  <si>
    <t>(for Semimonthly only)</t>
  </si>
  <si>
    <t>Neither</t>
  </si>
  <si>
    <t>of the employees' Collective Bargaining Identification designation (not the Pay Scales CBID) - example: R01,</t>
  </si>
  <si>
    <r>
      <t>Total Locked-In Pay NOT Subject to Retirement:</t>
    </r>
    <r>
      <rPr>
        <sz val="12"/>
        <rFont val="Times New Roman"/>
        <family val="1"/>
      </rPr>
      <t xml:space="preserve"> Enter the total locked-in premium amount NOT</t>
    </r>
  </si>
  <si>
    <t>EPMC Reg+IDL F</t>
  </si>
  <si>
    <t>SS Reg+IDL F</t>
  </si>
  <si>
    <t>Med Reg+IDL F</t>
  </si>
  <si>
    <t>Fed Reg+IDL F</t>
  </si>
  <si>
    <t>State Reg+IDL F</t>
  </si>
  <si>
    <t>SDI Reg+IDL F</t>
  </si>
  <si>
    <t>(Yes, No, Blank)</t>
  </si>
  <si>
    <t>(M or H)</t>
  </si>
  <si>
    <t>This spreadsheet can be used to calculate the Industrial Disability Leave Supplementation (IDL/S) for</t>
  </si>
  <si>
    <t>For fractional employees, enter the full salary rate.</t>
  </si>
  <si>
    <r>
      <t>Regular Pay:</t>
    </r>
    <r>
      <rPr>
        <sz val="12"/>
        <rFont val="Times New Roman"/>
        <family val="1"/>
      </rPr>
      <t xml:space="preserve"> Enter the days and/or hours for regular pay in the pay period.</t>
    </r>
  </si>
  <si>
    <r>
      <rPr>
        <b/>
        <u val="single"/>
        <sz val="12"/>
        <rFont val="Times New Roman"/>
        <family val="1"/>
      </rPr>
      <t>IDL 2/3 Pay:</t>
    </r>
    <r>
      <rPr>
        <sz val="12"/>
        <rFont val="Times New Roman"/>
        <family val="1"/>
      </rPr>
      <t xml:space="preserve"> Enter the days and/or hours for IDL 2/3's in the pay period.</t>
    </r>
  </si>
  <si>
    <r>
      <t>Salary Rate:</t>
    </r>
    <r>
      <rPr>
        <sz val="12"/>
        <rFont val="Times New Roman"/>
        <family val="1"/>
      </rPr>
      <t xml:space="preserve"> Enter the Employee's salary rate in effect for the pay period to be paid. The salary rate should</t>
    </r>
  </si>
  <si>
    <t>reflect any locked-in premiums or shift differential pay that can be included in the IDL calculations.</t>
  </si>
  <si>
    <r>
      <t>Reduced Salary Rate:</t>
    </r>
    <r>
      <rPr>
        <sz val="12"/>
        <rFont val="Times New Roman"/>
        <family val="1"/>
      </rPr>
      <t xml:space="preserve"> Enter the salary rate based on the furlough reductions.</t>
    </r>
  </si>
  <si>
    <r>
      <rPr>
        <b/>
        <u val="single"/>
        <sz val="12"/>
        <rFont val="Times New Roman"/>
        <family val="1"/>
      </rPr>
      <t>Time Base Fraction:</t>
    </r>
    <r>
      <rPr>
        <sz val="12"/>
        <rFont val="Times New Roman"/>
        <family val="1"/>
      </rPr>
      <t xml:space="preserve"> Used only for FRACTIONAL time base employees, otherwise leave the</t>
    </r>
  </si>
  <si>
    <t>subject to retirement for the pay period. Leave blank if the employee does not have a locked-in</t>
  </si>
  <si>
    <t>premium pay amount not subject to retirement.</t>
  </si>
  <si>
    <r>
      <t>Retirement Account Code:</t>
    </r>
    <r>
      <rPr>
        <sz val="12"/>
        <rFont val="Times New Roman"/>
        <family val="1"/>
      </rPr>
      <t xml:space="preserve"> Enter the two digits Account Code/Retirement ID for the employee's</t>
    </r>
  </si>
  <si>
    <r>
      <t>Pay Period:</t>
    </r>
    <r>
      <rPr>
        <sz val="12"/>
        <rFont val="Times New Roman"/>
        <family val="1"/>
      </rPr>
      <t xml:space="preserve"> Enter the month and year of the pay period for which pay is being calculated.</t>
    </r>
  </si>
  <si>
    <t>Enter "Y" or "Yes" when the Retirement Exclusion Amount is to be applied.</t>
  </si>
  <si>
    <t>Enter "N" or "No" when the Retirement Exclusion Amount is NOT to be applied.</t>
  </si>
  <si>
    <t>Civil Service employees paid monthly or semi-monthly for a specific tax year. All fields are LOCKED</t>
  </si>
  <si>
    <t>For negative employees, enter the monthly salary rate. For BU18 employees enter the monthly salary.</t>
  </si>
  <si>
    <t>a "Yes" or "No" in this field.</t>
  </si>
  <si>
    <r>
      <t>Issue Month and Year:</t>
    </r>
    <r>
      <rPr>
        <sz val="12"/>
        <rFont val="Times New Roman"/>
        <family val="1"/>
      </rPr>
      <t xml:space="preserve"> Enter the calendar month/year that corresponds to the Issue Date of the</t>
    </r>
  </si>
  <si>
    <t>payment.</t>
  </si>
  <si>
    <t>Example: For the first half of the 05/2009 pay period, enter 05/09. For the second half of the</t>
  </si>
  <si>
    <t>05/2009 pay period of the monthly pay period with an issue date of 06/01/09, enter 06/09.</t>
  </si>
  <si>
    <t>For semi-monthly first half pay period IDL/S calculations, enter the pay period and year of the</t>
  </si>
  <si>
    <t>Regular Pay payment. For all other IDL/S calculations (second half and monthly pay periods),</t>
  </si>
  <si>
    <t>FBSA4</t>
  </si>
  <si>
    <t>FBSA5</t>
  </si>
  <si>
    <t>FBSA6</t>
  </si>
  <si>
    <t>SBSA3</t>
  </si>
  <si>
    <t>SBSA4</t>
  </si>
  <si>
    <t>SBSA5</t>
  </si>
  <si>
    <t>SBSA6</t>
  </si>
  <si>
    <t>SOVR4</t>
  </si>
  <si>
    <t>SOVR5</t>
  </si>
  <si>
    <t>SOVR6</t>
  </si>
  <si>
    <t>ADDALLOW1</t>
  </si>
  <si>
    <t>SDED1</t>
  </si>
  <si>
    <t>TXCROV</t>
  </si>
  <si>
    <t>AA</t>
  </si>
  <si>
    <t>AB</t>
  </si>
  <si>
    <t>AE</t>
  </si>
  <si>
    <t>AF</t>
  </si>
  <si>
    <t>AG</t>
  </si>
  <si>
    <t>AH</t>
  </si>
  <si>
    <t>AM</t>
  </si>
  <si>
    <t>AN</t>
  </si>
  <si>
    <t>AO</t>
  </si>
  <si>
    <t>1B</t>
  </si>
  <si>
    <t>1C</t>
  </si>
  <si>
    <t>1D</t>
  </si>
  <si>
    <t>1E</t>
  </si>
  <si>
    <t>1F</t>
  </si>
  <si>
    <t>1G</t>
  </si>
  <si>
    <t>1K</t>
  </si>
  <si>
    <t>1L</t>
  </si>
  <si>
    <t>2A</t>
  </si>
  <si>
    <t>2B</t>
  </si>
  <si>
    <t>2C</t>
  </si>
  <si>
    <t>2D</t>
  </si>
  <si>
    <t>2E</t>
  </si>
  <si>
    <t>2F</t>
  </si>
  <si>
    <t>2G</t>
  </si>
  <si>
    <t>2H</t>
  </si>
  <si>
    <t>2J</t>
  </si>
  <si>
    <t>2L</t>
  </si>
  <si>
    <t>2P</t>
  </si>
  <si>
    <t>3E</t>
  </si>
  <si>
    <t>3F</t>
  </si>
  <si>
    <t>4M</t>
  </si>
  <si>
    <t>4N</t>
  </si>
  <si>
    <t>4W</t>
  </si>
  <si>
    <t>9E</t>
  </si>
  <si>
    <t>9F</t>
  </si>
  <si>
    <t>9G</t>
  </si>
  <si>
    <t>9H</t>
  </si>
  <si>
    <t>9J</t>
  </si>
  <si>
    <t>9L</t>
  </si>
  <si>
    <t>9M</t>
  </si>
  <si>
    <t>4Z</t>
  </si>
  <si>
    <t>AP</t>
  </si>
  <si>
    <t>AQ</t>
  </si>
  <si>
    <t>AR</t>
  </si>
  <si>
    <t>AS</t>
  </si>
  <si>
    <t>2K</t>
  </si>
  <si>
    <t>2V</t>
  </si>
  <si>
    <t>2M</t>
  </si>
  <si>
    <t>2R</t>
  </si>
  <si>
    <t>1H</t>
  </si>
  <si>
    <t>1J</t>
  </si>
  <si>
    <t>1P</t>
  </si>
  <si>
    <t>1R</t>
  </si>
  <si>
    <t>1S</t>
  </si>
  <si>
    <t>1T</t>
  </si>
  <si>
    <t>9T</t>
  </si>
  <si>
    <t>9V</t>
  </si>
  <si>
    <t>9N</t>
  </si>
  <si>
    <t>9W</t>
  </si>
  <si>
    <t>retirement plan in effect for the pay period being calculated. For Excluded/Exempts employee's use "U".</t>
  </si>
  <si>
    <t>2S</t>
  </si>
  <si>
    <t>2T</t>
  </si>
  <si>
    <t>4V</t>
  </si>
  <si>
    <t>2Y</t>
  </si>
  <si>
    <t>9R</t>
  </si>
  <si>
    <t>9S</t>
  </si>
  <si>
    <t>9P</t>
  </si>
  <si>
    <t>1V</t>
  </si>
  <si>
    <t>1W</t>
  </si>
  <si>
    <t>5Y</t>
  </si>
  <si>
    <t>5V</t>
  </si>
  <si>
    <t>5W</t>
  </si>
  <si>
    <t>5X</t>
  </si>
  <si>
    <t>AT</t>
  </si>
  <si>
    <t>AU</t>
  </si>
  <si>
    <t>2Q</t>
  </si>
  <si>
    <t>2W</t>
  </si>
  <si>
    <t>2X</t>
  </si>
  <si>
    <t>9X</t>
  </si>
  <si>
    <t>9Y</t>
  </si>
  <si>
    <t>6V</t>
  </si>
  <si>
    <t>6W</t>
  </si>
  <si>
    <t>1X</t>
  </si>
  <si>
    <t>1Q</t>
  </si>
  <si>
    <t>3L</t>
  </si>
  <si>
    <t>3M</t>
  </si>
  <si>
    <t>3X</t>
  </si>
  <si>
    <t>3Y</t>
  </si>
  <si>
    <t>AW</t>
  </si>
  <si>
    <t>AX</t>
  </si>
  <si>
    <t>AY</t>
  </si>
  <si>
    <t>AZ</t>
  </si>
  <si>
    <t>AC</t>
  </si>
  <si>
    <t>AI</t>
  </si>
  <si>
    <t>AK</t>
  </si>
  <si>
    <t>2I</t>
  </si>
  <si>
    <t>AV</t>
  </si>
  <si>
    <t>3S</t>
  </si>
  <si>
    <t>3T</t>
  </si>
  <si>
    <t>3U</t>
  </si>
  <si>
    <t>3V</t>
  </si>
  <si>
    <t>6Y</t>
  </si>
  <si>
    <t>1Y</t>
  </si>
  <si>
    <t>1Z</t>
  </si>
  <si>
    <t>AL</t>
  </si>
  <si>
    <t>6X</t>
  </si>
  <si>
    <t>6Z</t>
  </si>
  <si>
    <t>1M</t>
  </si>
  <si>
    <t>2N</t>
  </si>
  <si>
    <t>3G</t>
  </si>
  <si>
    <t>3H</t>
  </si>
  <si>
    <t>3W</t>
  </si>
  <si>
    <t>3Z</t>
  </si>
  <si>
    <t>4U</t>
  </si>
  <si>
    <t>6T</t>
  </si>
  <si>
    <t>JD</t>
  </si>
  <si>
    <t>JE</t>
  </si>
  <si>
    <t>3N</t>
  </si>
  <si>
    <t>3P</t>
  </si>
  <si>
    <t xml:space="preserve">Government Code 19871 for federal tax purposes.  If the employee claims exempt from federal taxes, </t>
  </si>
  <si>
    <t xml:space="preserve">enter "99". </t>
  </si>
  <si>
    <t xml:space="preserve">Code 19871 for state tax purposes.  (NOTE: This calculates only the California state tax).  "S" for </t>
  </si>
  <si>
    <t xml:space="preserve">single; "H" for head of household; "M" for married. </t>
  </si>
  <si>
    <t xml:space="preserve">state taxes, leave field BLANK. </t>
  </si>
  <si>
    <t>enter the next month and year of the Reguar Pay payment's pay period.</t>
  </si>
  <si>
    <t xml:space="preserve">Code 19871 for federal tax purposes.  "S" for single/head of household; "M" for married. </t>
  </si>
  <si>
    <t>TC</t>
  </si>
  <si>
    <t>Apply Exclusion?</t>
  </si>
  <si>
    <t>Timebase</t>
  </si>
  <si>
    <t>PP Days</t>
  </si>
  <si>
    <t>Reduced Salary?</t>
  </si>
  <si>
    <t>Retirement Sal Rate</t>
  </si>
  <si>
    <t>Pay Frequency (M, S, or B)</t>
  </si>
  <si>
    <t>Salary</t>
  </si>
  <si>
    <t>Reduced Salary</t>
  </si>
  <si>
    <t>Red. Sal. Not Locked</t>
  </si>
  <si>
    <t>Reg. Pay Subj. to Ret.</t>
  </si>
  <si>
    <t>Reg. Pay Exclusion</t>
  </si>
  <si>
    <t>Reg. Pay Withholding</t>
  </si>
  <si>
    <t>Total Exclusion</t>
  </si>
  <si>
    <t>IDL Full Pay Exclusion</t>
  </si>
  <si>
    <t>IDL Full Pay Withhold.</t>
  </si>
  <si>
    <t>Reg. Pay Exclusion Remaining</t>
  </si>
  <si>
    <t>IDL Full Pay Exclusion Remain.</t>
  </si>
  <si>
    <t>Ret. Withholding</t>
  </si>
  <si>
    <t>IDL 2/3 Pay Exclusion</t>
  </si>
  <si>
    <t>IDL 2/3 Pay Withhold.</t>
  </si>
  <si>
    <t>IDL 2/3 Pay Exclusion Remain.</t>
  </si>
  <si>
    <t>IDL 2/3 Grs</t>
  </si>
  <si>
    <t>IDL Full Grs</t>
  </si>
  <si>
    <r>
      <t>Pay Frequency:</t>
    </r>
    <r>
      <rPr>
        <sz val="12"/>
        <rFont val="Times New Roman"/>
        <family val="1"/>
      </rPr>
      <t xml:space="preserve"> Enter "M" for monthly, "S" for semimonthly, or "B" for bi-weekly pay frequency.</t>
    </r>
  </si>
  <si>
    <t>Time Base field blank. Fractions may be entered with or without leading zeros - examples 001/002 or 1/2.</t>
  </si>
  <si>
    <r>
      <t>SDI:</t>
    </r>
    <r>
      <rPr>
        <sz val="12"/>
        <rFont val="Times New Roman"/>
        <family val="1"/>
      </rPr>
      <t xml:space="preserve"> When the Collective Bargaining Unit ID is entered, the calculator will automatically enter a</t>
    </r>
  </si>
  <si>
    <r>
      <t>Federal Filing Status:</t>
    </r>
    <r>
      <rPr>
        <sz val="12"/>
        <rFont val="Times New Roman"/>
        <family val="1"/>
      </rPr>
      <t xml:space="preserve"> Enter the employee's exemptions based on the first date of disability per Government </t>
    </r>
  </si>
  <si>
    <r>
      <t>State Filing Status:</t>
    </r>
    <r>
      <rPr>
        <sz val="12"/>
        <rFont val="Times New Roman"/>
        <family val="1"/>
      </rPr>
      <t xml:space="preserve"> Enter the employee's filing status based on the first date of disability per Government </t>
    </r>
  </si>
  <si>
    <r>
      <t>Reg State Allowance:</t>
    </r>
    <r>
      <rPr>
        <sz val="12"/>
        <rFont val="Times New Roman"/>
        <family val="1"/>
      </rPr>
      <t xml:space="preserve"> Enter the number of regular state allowances (Standard Deductions) based on the</t>
    </r>
  </si>
  <si>
    <r>
      <t>Additional Exemptions State:</t>
    </r>
    <r>
      <rPr>
        <sz val="12"/>
        <rFont val="Times New Roman"/>
        <family val="1"/>
      </rPr>
      <t xml:space="preserve"> Enter the number of additional state allowances based on the first date of</t>
    </r>
  </si>
  <si>
    <t xml:space="preserve">disability per Government Code 19871 for state tax purposes.  If the employee claims exempt from </t>
  </si>
  <si>
    <t xml:space="preserve">from state taxes, enter "99". </t>
  </si>
  <si>
    <t>first date of disability per Government Code 19871 for state tax purposes.  If the employee claims exempt</t>
  </si>
  <si>
    <t>GENERAL INSTRUCTIONS</t>
  </si>
  <si>
    <r>
      <t>Total Fed Exemptions:</t>
    </r>
    <r>
      <rPr>
        <sz val="12"/>
        <rFont val="Times New Roman"/>
        <family val="1"/>
      </rPr>
      <t xml:space="preserve"> Enter the total number of federal exemptions based on the first date of disability per </t>
    </r>
  </si>
  <si>
    <t>4Q</t>
  </si>
  <si>
    <t>Tax Eff 1/1/18</t>
  </si>
  <si>
    <t>1U</t>
  </si>
  <si>
    <t>2O</t>
  </si>
  <si>
    <t>2U</t>
  </si>
  <si>
    <t>2Z</t>
  </si>
  <si>
    <t>3J</t>
  </si>
  <si>
    <t>3K</t>
  </si>
  <si>
    <t>3Q</t>
  </si>
  <si>
    <t>3R</t>
  </si>
  <si>
    <t>5N</t>
  </si>
  <si>
    <t>5P</t>
  </si>
  <si>
    <t>9K</t>
  </si>
  <si>
    <t>AJ</t>
  </si>
  <si>
    <t>JC</t>
  </si>
  <si>
    <t>JF</t>
  </si>
  <si>
    <t>JG</t>
  </si>
  <si>
    <t>JH</t>
  </si>
  <si>
    <t>JI</t>
  </si>
  <si>
    <t>JJ</t>
  </si>
  <si>
    <t>JK</t>
  </si>
  <si>
    <t>JL</t>
  </si>
  <si>
    <t>L</t>
  </si>
  <si>
    <t>LO</t>
  </si>
  <si>
    <t>NA</t>
  </si>
  <si>
    <t>TN</t>
  </si>
  <si>
    <t>0A</t>
  </si>
  <si>
    <t>0B</t>
  </si>
  <si>
    <t>0C</t>
  </si>
  <si>
    <t>0D</t>
  </si>
  <si>
    <t>0E</t>
  </si>
  <si>
    <t>0F</t>
  </si>
  <si>
    <t>0G</t>
  </si>
  <si>
    <t>0H</t>
  </si>
  <si>
    <t>7A</t>
  </si>
  <si>
    <t>7B</t>
  </si>
  <si>
    <t>7C</t>
  </si>
  <si>
    <t>7D</t>
  </si>
  <si>
    <t>7E</t>
  </si>
  <si>
    <t>7F</t>
  </si>
  <si>
    <t>7G</t>
  </si>
  <si>
    <t>7H</t>
  </si>
  <si>
    <t>7I</t>
  </si>
  <si>
    <t>7J</t>
  </si>
  <si>
    <t>7K</t>
  </si>
  <si>
    <t>7L</t>
  </si>
  <si>
    <t>CALIFORNIA STATE CONTROLLER'S OFFICE IDL SUPPLEMENTATION CALCULATOR - 2020</t>
  </si>
  <si>
    <t>Additional State Allowances (1-99)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</si>
  <si>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</si>
  <si>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</si>
  <si>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</si>
  <si>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</si>
  <si>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</si>
  <si>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</si>
  <si>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</si>
  <si>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</si>
  <si>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</si>
  <si>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</si>
  <si>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EFF. 07/01/20</t>
  </si>
  <si>
    <t>61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</si>
  <si>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</si>
  <si>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</si>
  <si>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</si>
  <si>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</si>
  <si>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</si>
  <si>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</si>
  <si>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</si>
  <si>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</si>
  <si>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</si>
  <si>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</si>
  <si>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</si>
  <si>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</si>
  <si>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</si>
  <si>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</si>
  <si>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</si>
  <si>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</si>
  <si>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</si>
  <si>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30</t>
  </si>
  <si>
    <t>31</t>
  </si>
  <si>
    <t>32</t>
  </si>
  <si>
    <t>33</t>
  </si>
  <si>
    <t>34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</si>
  <si>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</si>
  <si>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</si>
  <si>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</si>
  <si>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</si>
  <si>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</si>
  <si>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</si>
  <si>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</si>
  <si>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</si>
  <si>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</si>
  <si>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</si>
  <si>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</si>
  <si>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</si>
  <si>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</si>
  <si>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</si>
  <si>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</si>
  <si>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</si>
  <si>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</si>
  <si>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</si>
  <si>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</si>
  <si>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</si>
  <si>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</si>
  <si>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</si>
  <si>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62</t>
  </si>
  <si>
    <t>63</t>
  </si>
  <si>
    <t>64</t>
  </si>
  <si>
    <t>67</t>
  </si>
  <si>
    <t>68</t>
  </si>
  <si>
    <t>82</t>
  </si>
  <si>
    <t>83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</si>
  <si>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</si>
  <si>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</si>
  <si>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</si>
  <si>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</si>
  <si>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</si>
  <si>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</si>
  <si>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</si>
  <si>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</si>
  <si>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</si>
  <si>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</si>
  <si>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</si>
  <si>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</si>
  <si>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</si>
  <si>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EXCL.</t>
  </si>
  <si>
    <t>rev. 07/01/2020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</si>
</sst>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"/>
    <numFmt numFmtId="172" formatCode="0_);\(0\)"/>
    <numFmt numFmtId="173" formatCode="0.000_);\(0.000\)"/>
    <numFmt numFmtId="174" formatCode="0.0000"/>
    <numFmt numFmtId="175" formatCode="&quot;$&quot;#,##0.000_);[Red]\(&quot;$&quot;#,##0.000\)"/>
    <numFmt numFmtId="176" formatCode="#,##0.000_);\(#,##0.000\)"/>
    <numFmt numFmtId="177" formatCode="#,##0.000\ ;\(#,##0.000\)"/>
    <numFmt numFmtId="178" formatCode="[$-409]dddd\,\ mmmm\ dd\,\ yyyy"/>
    <numFmt numFmtId="179" formatCode="[$-409]hh:mm:ss\ AM/PM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#,##0.0"/>
    <numFmt numFmtId="186" formatCode="000/000"/>
    <numFmt numFmtId="187" formatCode="#,##0.000"/>
    <numFmt numFmtId="188" formatCode="#,##0.0000"/>
    <numFmt numFmtId="189" formatCode="mm/yyyy"/>
    <numFmt numFmtId="190" formatCode="\Te\x\t"/>
    <numFmt numFmtId="191" formatCode="#,##0.00000"/>
    <numFmt numFmtId="192" formatCode="00"/>
    <numFmt numFmtId="193" formatCode="mmm\-yyyy"/>
    <numFmt numFmtId="194" formatCode="#,##0.0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-409]h:mm:ss\ AM/PM"/>
    <numFmt numFmtId="200" formatCode="#,##0.0000_);\(#,##0.0000\)"/>
    <numFmt numFmtId="201" formatCode="0.0%"/>
    <numFmt numFmtId="202" formatCode="0.000%"/>
    <numFmt numFmtId="203" formatCode="0.0000%"/>
  </numFmts>
  <fonts count="61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b/>
      <sz val="12"/>
      <color indexed="39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20"/>
      <name val="Times New Roman"/>
      <family val="1"/>
    </font>
    <font>
      <b/>
      <sz val="10"/>
      <color indexed="20"/>
      <name val="Times New Roman"/>
      <family val="1"/>
    </font>
    <font>
      <sz val="10"/>
      <color indexed="12"/>
      <name val="Times New Roman"/>
      <family val="1"/>
    </font>
    <font>
      <b/>
      <sz val="10"/>
      <color indexed="39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8"/>
      <name val="Times New Roman"/>
      <family val="1"/>
    </font>
    <font>
      <sz val="10"/>
      <name val="Tms Rmn"/>
      <family val="0"/>
    </font>
    <font>
      <i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ms Rm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ms Rm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ms Rm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ms Rm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800080"/>
      <name val="Times New Roman"/>
      <family val="1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theme="8" tint="-0.4999699890613556"/>
      </patternFill>
    </fill>
    <fill>
      <patternFill patternType="lightUp">
        <fgColor theme="8" tint="-0.4999699890613556"/>
        <bgColor theme="0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003399"/>
      </bottom>
    </border>
    <border>
      <left>
        <color indexed="63"/>
      </left>
      <right style="thick">
        <color rgb="FF003399"/>
      </right>
      <top style="thick">
        <color rgb="FF00339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ck">
        <color rgb="FF00339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rgb="FF00339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rgb="FF003399"/>
      </right>
      <top>
        <color indexed="63"/>
      </top>
      <bottom style="thick">
        <color rgb="FF003399"/>
      </bottom>
    </border>
    <border>
      <left style="thick">
        <color rgb="FF003399"/>
      </left>
      <right>
        <color indexed="63"/>
      </right>
      <top style="thick">
        <color rgb="FF003399"/>
      </top>
      <bottom style="thick">
        <color rgb="FF003399"/>
      </bottom>
    </border>
    <border>
      <left style="thick">
        <color rgb="FF003399"/>
      </left>
      <right style="thick">
        <color rgb="FF003399"/>
      </right>
      <top style="thick">
        <color rgb="FF003399"/>
      </top>
      <bottom style="thick">
        <color rgb="FF003399"/>
      </bottom>
    </border>
    <border>
      <left style="thick">
        <color rgb="FF003399"/>
      </left>
      <right style="thick">
        <color rgb="FF003399"/>
      </right>
      <top style="thick">
        <color rgb="FF003399"/>
      </top>
      <bottom>
        <color indexed="63"/>
      </bottom>
    </border>
    <border>
      <left style="thick">
        <color rgb="FF003399"/>
      </left>
      <right style="thick">
        <color rgb="FF003399"/>
      </right>
      <top>
        <color indexed="63"/>
      </top>
      <bottom>
        <color indexed="63"/>
      </bottom>
    </border>
    <border>
      <left style="thick">
        <color rgb="FF003399"/>
      </left>
      <right style="thick">
        <color rgb="FF003399"/>
      </right>
      <top>
        <color indexed="63"/>
      </top>
      <bottom style="thick">
        <color rgb="FF003399"/>
      </bottom>
    </border>
    <border>
      <left>
        <color indexed="63"/>
      </left>
      <right>
        <color indexed="63"/>
      </right>
      <top style="thick">
        <color rgb="FF003399"/>
      </top>
      <bottom style="thick">
        <color rgb="FF003399"/>
      </bottom>
    </border>
    <border>
      <left>
        <color indexed="63"/>
      </left>
      <right>
        <color indexed="63"/>
      </right>
      <top style="thick">
        <color rgb="FF003399"/>
      </top>
      <bottom>
        <color indexed="63"/>
      </bottom>
    </border>
    <border>
      <left>
        <color indexed="63"/>
      </left>
      <right style="thick">
        <color rgb="FF003399"/>
      </right>
      <top style="thick">
        <color rgb="FF003399"/>
      </top>
      <bottom style="thick">
        <color rgb="FF003399"/>
      </bottom>
    </border>
    <border>
      <left style="thick">
        <color rgb="FF003399"/>
      </left>
      <right>
        <color indexed="63"/>
      </right>
      <top style="thick">
        <color rgb="FF003399"/>
      </top>
      <bottom>
        <color indexed="63"/>
      </bottom>
    </border>
    <border>
      <left style="thick">
        <color rgb="FF003399"/>
      </left>
      <right>
        <color indexed="63"/>
      </right>
      <top>
        <color indexed="63"/>
      </top>
      <bottom style="thick">
        <color rgb="FF00339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42" applyFont="1" applyAlignment="1" applyProtection="1">
      <alignment/>
      <protection/>
    </xf>
    <xf numFmtId="4" fontId="9" fillId="0" borderId="0" xfId="42" applyFont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164" fontId="9" fillId="0" borderId="0" xfId="0" applyNumberFormat="1" applyFont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7" fontId="59" fillId="33" borderId="12" xfId="0" applyNumberFormat="1" applyFont="1" applyFill="1" applyBorder="1" applyAlignment="1" applyProtection="1">
      <alignment horizontal="right"/>
      <protection locked="0"/>
    </xf>
    <xf numFmtId="8" fontId="59" fillId="33" borderId="12" xfId="43" applyFont="1" applyFill="1" applyBorder="1" applyAlignment="1" applyProtection="1">
      <alignment horizontal="right"/>
      <protection locked="0"/>
    </xf>
    <xf numFmtId="8" fontId="59" fillId="34" borderId="0" xfId="43" applyFont="1" applyFill="1" applyBorder="1" applyAlignment="1" applyProtection="1">
      <alignment horizontal="right"/>
      <protection/>
    </xf>
    <xf numFmtId="0" fontId="9" fillId="0" borderId="13" xfId="0" applyFont="1" applyBorder="1" applyAlignment="1" applyProtection="1">
      <alignment/>
      <protection/>
    </xf>
    <xf numFmtId="0" fontId="10" fillId="33" borderId="12" xfId="0" applyNumberFormat="1" applyFont="1" applyFill="1" applyBorder="1" applyAlignment="1" applyProtection="1">
      <alignment horizontal="right"/>
      <protection locked="0"/>
    </xf>
    <xf numFmtId="0" fontId="9" fillId="34" borderId="0" xfId="0" applyFont="1" applyFill="1" applyBorder="1" applyAlignment="1" applyProtection="1">
      <alignment horizontal="right"/>
      <protection/>
    </xf>
    <xf numFmtId="8" fontId="9" fillId="0" borderId="0" xfId="43" applyFont="1" applyBorder="1" applyAlignment="1" applyProtection="1">
      <alignment/>
      <protection/>
    </xf>
    <xf numFmtId="8" fontId="9" fillId="0" borderId="13" xfId="43" applyFont="1" applyBorder="1" applyAlignment="1" applyProtection="1">
      <alignment/>
      <protection/>
    </xf>
    <xf numFmtId="0" fontId="10" fillId="33" borderId="14" xfId="0" applyNumberFormat="1" applyFont="1" applyFill="1" applyBorder="1" applyAlignment="1" applyProtection="1">
      <alignment horizontal="right"/>
      <protection locked="0"/>
    </xf>
    <xf numFmtId="0" fontId="59" fillId="33" borderId="14" xfId="0" applyFont="1" applyFill="1" applyBorder="1" applyAlignment="1" applyProtection="1">
      <alignment/>
      <protection locked="0"/>
    </xf>
    <xf numFmtId="0" fontId="59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/>
      <protection/>
    </xf>
    <xf numFmtId="0" fontId="59" fillId="34" borderId="0" xfId="0" applyFont="1" applyFill="1" applyBorder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9" fillId="0" borderId="15" xfId="0" applyFont="1" applyBorder="1" applyAlignment="1" applyProtection="1">
      <alignment/>
      <protection/>
    </xf>
    <xf numFmtId="172" fontId="10" fillId="0" borderId="0" xfId="0" applyNumberFormat="1" applyFont="1" applyFill="1" applyBorder="1" applyAlignment="1" applyProtection="1">
      <alignment/>
      <protection/>
    </xf>
    <xf numFmtId="0" fontId="9" fillId="34" borderId="0" xfId="0" applyFont="1" applyFill="1" applyAlignment="1" applyProtection="1">
      <alignment/>
      <protection/>
    </xf>
    <xf numFmtId="191" fontId="9" fillId="0" borderId="0" xfId="42" applyNumberFormat="1" applyFont="1" applyAlignment="1" applyProtection="1">
      <alignment/>
      <protection/>
    </xf>
    <xf numFmtId="0" fontId="10" fillId="33" borderId="14" xfId="0" applyFont="1" applyFill="1" applyBorder="1" applyAlignment="1" applyProtection="1">
      <alignment horizontal="right"/>
      <protection locked="0"/>
    </xf>
    <xf numFmtId="192" fontId="59" fillId="33" borderId="12" xfId="0" applyNumberFormat="1" applyFont="1" applyFill="1" applyBorder="1" applyAlignment="1" applyProtection="1">
      <alignment/>
      <protection locked="0"/>
    </xf>
    <xf numFmtId="0" fontId="9" fillId="0" borderId="13" xfId="0" applyFont="1" applyFill="1" applyBorder="1" applyAlignment="1" applyProtection="1">
      <alignment/>
      <protection/>
    </xf>
    <xf numFmtId="165" fontId="9" fillId="0" borderId="0" xfId="0" applyNumberFormat="1" applyFont="1" applyAlignment="1" applyProtection="1">
      <alignment/>
      <protection/>
    </xf>
    <xf numFmtId="0" fontId="59" fillId="33" borderId="12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60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10" fillId="33" borderId="12" xfId="0" applyFont="1" applyFill="1" applyBorder="1" applyAlignment="1" applyProtection="1">
      <alignment horizontal="right"/>
      <protection locked="0"/>
    </xf>
    <xf numFmtId="7" fontId="9" fillId="0" borderId="13" xfId="0" applyNumberFormat="1" applyFont="1" applyBorder="1" applyAlignment="1" applyProtection="1">
      <alignment/>
      <protection/>
    </xf>
    <xf numFmtId="0" fontId="9" fillId="0" borderId="0" xfId="42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174" fontId="9" fillId="0" borderId="0" xfId="0" applyNumberFormat="1" applyFont="1" applyAlignment="1" applyProtection="1">
      <alignment/>
      <protection/>
    </xf>
    <xf numFmtId="0" fontId="59" fillId="33" borderId="16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Alignment="1" applyProtection="1">
      <alignment/>
      <protection/>
    </xf>
    <xf numFmtId="0" fontId="9" fillId="0" borderId="13" xfId="0" applyNumberFormat="1" applyFont="1" applyBorder="1" applyAlignment="1" applyProtection="1">
      <alignment/>
      <protection/>
    </xf>
    <xf numFmtId="0" fontId="9" fillId="0" borderId="0" xfId="0" applyNumberFormat="1" applyFont="1" applyAlignment="1" applyProtection="1">
      <alignment horizontal="left"/>
      <protection/>
    </xf>
    <xf numFmtId="0" fontId="9" fillId="35" borderId="0" xfId="42" applyNumberFormat="1" applyFont="1" applyFill="1" applyAlignment="1" applyProtection="1">
      <alignment/>
      <protection/>
    </xf>
    <xf numFmtId="0" fontId="9" fillId="35" borderId="0" xfId="0" applyNumberFormat="1" applyFont="1" applyFill="1" applyAlignment="1" applyProtection="1">
      <alignment/>
      <protection/>
    </xf>
    <xf numFmtId="0" fontId="9" fillId="0" borderId="0" xfId="42" applyNumberFormat="1" applyFont="1" applyBorder="1" applyAlignment="1" applyProtection="1">
      <alignment horizontal="left"/>
      <protection/>
    </xf>
    <xf numFmtId="7" fontId="10" fillId="0" borderId="10" xfId="0" applyNumberFormat="1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17" xfId="0" applyFont="1" applyBorder="1" applyAlignment="1" applyProtection="1">
      <alignment/>
      <protection/>
    </xf>
    <xf numFmtId="4" fontId="9" fillId="0" borderId="0" xfId="42" applyFont="1" applyAlignment="1" applyProtection="1">
      <alignment horizontal="left"/>
      <protection/>
    </xf>
    <xf numFmtId="4" fontId="9" fillId="0" borderId="0" xfId="42" applyFont="1" applyBorder="1" applyAlignment="1" applyProtection="1">
      <alignment horizontal="left"/>
      <protection/>
    </xf>
    <xf numFmtId="7" fontId="11" fillId="0" borderId="18" xfId="0" applyNumberFormat="1" applyFont="1" applyBorder="1" applyAlignment="1" applyProtection="1">
      <alignment horizontal="center"/>
      <protection/>
    </xf>
    <xf numFmtId="7" fontId="6" fillId="0" borderId="19" xfId="0" applyNumberFormat="1" applyFont="1" applyBorder="1" applyAlignment="1" applyProtection="1">
      <alignment horizontal="center"/>
      <protection/>
    </xf>
    <xf numFmtId="7" fontId="9" fillId="36" borderId="0" xfId="0" applyNumberFormat="1" applyFont="1" applyFill="1" applyBorder="1" applyAlignment="1" applyProtection="1">
      <alignment/>
      <protection/>
    </xf>
    <xf numFmtId="7" fontId="9" fillId="36" borderId="11" xfId="0" applyNumberFormat="1" applyFont="1" applyFill="1" applyBorder="1" applyAlignment="1" applyProtection="1">
      <alignment/>
      <protection/>
    </xf>
    <xf numFmtId="7" fontId="12" fillId="0" borderId="20" xfId="0" applyNumberFormat="1" applyFont="1" applyFill="1" applyBorder="1" applyAlignment="1" applyProtection="1">
      <alignment/>
      <protection/>
    </xf>
    <xf numFmtId="7" fontId="12" fillId="0" borderId="20" xfId="0" applyNumberFormat="1" applyFont="1" applyBorder="1" applyAlignment="1" applyProtection="1">
      <alignment/>
      <protection/>
    </xf>
    <xf numFmtId="7" fontId="9" fillId="36" borderId="13" xfId="0" applyNumberFormat="1" applyFont="1" applyFill="1" applyBorder="1" applyAlignment="1" applyProtection="1">
      <alignment/>
      <protection/>
    </xf>
    <xf numFmtId="7" fontId="9" fillId="0" borderId="21" xfId="0" applyNumberFormat="1" applyFont="1" applyBorder="1" applyAlignment="1" applyProtection="1">
      <alignment/>
      <protection/>
    </xf>
    <xf numFmtId="7" fontId="9" fillId="36" borderId="21" xfId="0" applyNumberFormat="1" applyFont="1" applyFill="1" applyBorder="1" applyAlignment="1" applyProtection="1">
      <alignment/>
      <protection/>
    </xf>
    <xf numFmtId="7" fontId="9" fillId="0" borderId="22" xfId="0" applyNumberFormat="1" applyFont="1" applyBorder="1" applyAlignment="1" applyProtection="1">
      <alignment/>
      <protection/>
    </xf>
    <xf numFmtId="7" fontId="9" fillId="37" borderId="21" xfId="0" applyNumberFormat="1" applyFont="1" applyFill="1" applyBorder="1" applyAlignment="1" applyProtection="1">
      <alignment/>
      <protection/>
    </xf>
    <xf numFmtId="7" fontId="9" fillId="36" borderId="20" xfId="0" applyNumberFormat="1" applyFont="1" applyFill="1" applyBorder="1" applyAlignment="1" applyProtection="1">
      <alignment/>
      <protection/>
    </xf>
    <xf numFmtId="7" fontId="9" fillId="36" borderId="15" xfId="0" applyNumberFormat="1" applyFont="1" applyFill="1" applyBorder="1" applyAlignment="1" applyProtection="1">
      <alignment/>
      <protection/>
    </xf>
    <xf numFmtId="7" fontId="9" fillId="0" borderId="19" xfId="0" applyNumberFormat="1" applyFont="1" applyBorder="1" applyAlignment="1" applyProtection="1">
      <alignment horizontal="center"/>
      <protection/>
    </xf>
    <xf numFmtId="174" fontId="9" fillId="0" borderId="23" xfId="0" applyNumberFormat="1" applyFont="1" applyBorder="1" applyAlignment="1" applyProtection="1">
      <alignment/>
      <protection/>
    </xf>
    <xf numFmtId="7" fontId="9" fillId="0" borderId="19" xfId="0" applyNumberFormat="1" applyFont="1" applyBorder="1" applyAlignment="1" applyProtection="1" quotePrefix="1">
      <alignment horizontal="center"/>
      <protection/>
    </xf>
    <xf numFmtId="7" fontId="9" fillId="0" borderId="24" xfId="0" applyNumberFormat="1" applyFont="1" applyBorder="1" applyAlignment="1" applyProtection="1">
      <alignment/>
      <protection/>
    </xf>
    <xf numFmtId="7" fontId="9" fillId="0" borderId="25" xfId="0" applyNumberFormat="1" applyFont="1" applyBorder="1" applyAlignment="1" applyProtection="1">
      <alignment/>
      <protection/>
    </xf>
    <xf numFmtId="7" fontId="9" fillId="0" borderId="17" xfId="0" applyNumberFormat="1" applyFont="1" applyBorder="1" applyAlignment="1" applyProtection="1">
      <alignment/>
      <protection/>
    </xf>
    <xf numFmtId="7" fontId="9" fillId="36" borderId="22" xfId="0" applyNumberFormat="1" applyFont="1" applyFill="1" applyBorder="1" applyAlignment="1" applyProtection="1">
      <alignment/>
      <protection/>
    </xf>
    <xf numFmtId="7" fontId="9" fillId="36" borderId="26" xfId="0" applyNumberFormat="1" applyFont="1" applyFill="1" applyBorder="1" applyAlignment="1" applyProtection="1">
      <alignment/>
      <protection/>
    </xf>
    <xf numFmtId="7" fontId="9" fillId="36" borderId="24" xfId="0" applyNumberFormat="1" applyFont="1" applyFill="1" applyBorder="1" applyAlignment="1" applyProtection="1">
      <alignment/>
      <protection/>
    </xf>
    <xf numFmtId="0" fontId="9" fillId="0" borderId="23" xfId="0" applyFont="1" applyBorder="1" applyAlignment="1" applyProtection="1">
      <alignment/>
      <protection/>
    </xf>
    <xf numFmtId="0" fontId="9" fillId="0" borderId="10" xfId="0" applyNumberFormat="1" applyFont="1" applyBorder="1" applyAlignment="1" applyProtection="1">
      <alignment/>
      <protection/>
    </xf>
    <xf numFmtId="2" fontId="9" fillId="0" borderId="10" xfId="0" applyNumberFormat="1" applyFont="1" applyBorder="1" applyAlignment="1" applyProtection="1">
      <alignment/>
      <protection/>
    </xf>
    <xf numFmtId="7" fontId="9" fillId="36" borderId="27" xfId="0" applyNumberFormat="1" applyFont="1" applyFill="1" applyBorder="1" applyAlignment="1" applyProtection="1">
      <alignment/>
      <protection/>
    </xf>
    <xf numFmtId="7" fontId="9" fillId="36" borderId="10" xfId="0" applyNumberFormat="1" applyFont="1" applyFill="1" applyBorder="1" applyAlignment="1" applyProtection="1">
      <alignment/>
      <protection/>
    </xf>
    <xf numFmtId="7" fontId="9" fillId="36" borderId="17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/>
      <protection/>
    </xf>
    <xf numFmtId="167" fontId="9" fillId="34" borderId="0" xfId="0" applyNumberFormat="1" applyFont="1" applyFill="1" applyAlignment="1" applyProtection="1">
      <alignment horizontal="right"/>
      <protection/>
    </xf>
    <xf numFmtId="4" fontId="9" fillId="0" borderId="0" xfId="42" applyFont="1" applyAlignment="1" applyProtection="1" quotePrefix="1">
      <alignment/>
      <protection/>
    </xf>
    <xf numFmtId="4" fontId="9" fillId="0" borderId="0" xfId="42" applyNumberFormat="1" applyFont="1" applyAlignment="1" applyProtection="1">
      <alignment/>
      <protection/>
    </xf>
    <xf numFmtId="188" fontId="9" fillId="0" borderId="0" xfId="42" applyNumberFormat="1" applyFont="1" applyAlignment="1" applyProtection="1">
      <alignment/>
      <protection/>
    </xf>
    <xf numFmtId="192" fontId="9" fillId="34" borderId="0" xfId="0" applyNumberFormat="1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9" fillId="0" borderId="0" xfId="42" applyNumberFormat="1" applyFont="1" applyAlignment="1" applyProtection="1">
      <alignment horizontal="center"/>
      <protection/>
    </xf>
    <xf numFmtId="0" fontId="9" fillId="0" borderId="0" xfId="42" applyNumberFormat="1" applyFont="1" applyAlignment="1" applyProtection="1">
      <alignment/>
      <protection/>
    </xf>
    <xf numFmtId="0" fontId="60" fillId="34" borderId="13" xfId="0" applyFont="1" applyFill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184" fontId="9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NumberFormat="1" applyFont="1" applyAlignment="1">
      <alignment/>
    </xf>
    <xf numFmtId="164" fontId="9" fillId="34" borderId="0" xfId="0" applyNumberFormat="1" applyFont="1" applyFill="1" applyBorder="1" applyAlignment="1" applyProtection="1">
      <alignment/>
      <protection/>
    </xf>
    <xf numFmtId="14" fontId="9" fillId="0" borderId="0" xfId="0" applyNumberFormat="1" applyFont="1" applyAlignment="1" applyProtection="1">
      <alignment horizontal="left"/>
      <protection/>
    </xf>
    <xf numFmtId="14" fontId="60" fillId="0" borderId="0" xfId="0" applyNumberFormat="1" applyFont="1" applyBorder="1" applyAlignment="1" applyProtection="1">
      <alignment horizontal="right"/>
      <protection/>
    </xf>
    <xf numFmtId="0" fontId="17" fillId="0" borderId="0" xfId="0" applyFont="1" applyAlignment="1">
      <alignment horizontal="left"/>
    </xf>
    <xf numFmtId="0" fontId="9" fillId="0" borderId="0" xfId="0" applyFont="1" applyFill="1" applyAlignment="1" applyProtection="1">
      <alignment/>
      <protection/>
    </xf>
    <xf numFmtId="4" fontId="9" fillId="0" borderId="0" xfId="42" applyFont="1" applyFill="1" applyAlignment="1" applyProtection="1">
      <alignment/>
      <protection/>
    </xf>
    <xf numFmtId="4" fontId="9" fillId="0" borderId="0" xfId="42" applyFont="1" applyFill="1" applyBorder="1" applyAlignment="1" applyProtection="1">
      <alignment/>
      <protection/>
    </xf>
    <xf numFmtId="164" fontId="9" fillId="0" borderId="0" xfId="0" applyNumberFormat="1" applyFont="1" applyFill="1" applyAlignment="1" applyProtection="1">
      <alignment/>
      <protection/>
    </xf>
    <xf numFmtId="166" fontId="9" fillId="0" borderId="0" xfId="0" applyNumberFormat="1" applyFont="1" applyFill="1" applyAlignment="1" applyProtection="1">
      <alignment/>
      <protection/>
    </xf>
    <xf numFmtId="14" fontId="9" fillId="0" borderId="0" xfId="42" applyNumberFormat="1" applyFont="1" applyFill="1" applyAlignment="1" applyProtection="1">
      <alignment/>
      <protection/>
    </xf>
    <xf numFmtId="0" fontId="9" fillId="0" borderId="0" xfId="42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4" fontId="9" fillId="0" borderId="0" xfId="42" applyFont="1" applyFill="1" applyAlignment="1" applyProtection="1" quotePrefix="1">
      <alignment/>
      <protection/>
    </xf>
    <xf numFmtId="192" fontId="9" fillId="0" borderId="0" xfId="0" applyNumberFormat="1" applyFont="1" applyFill="1" applyAlignment="1" applyProtection="1">
      <alignment/>
      <protection/>
    </xf>
    <xf numFmtId="12" fontId="59" fillId="33" borderId="12" xfId="0" applyNumberFormat="1" applyFont="1" applyFill="1" applyBorder="1" applyAlignment="1" applyProtection="1">
      <alignment horizontal="right"/>
      <protection locked="0"/>
    </xf>
    <xf numFmtId="0" fontId="60" fillId="0" borderId="0" xfId="42" applyNumberFormat="1" applyFont="1" applyFill="1" applyAlignment="1" applyProtection="1">
      <alignment/>
      <protection/>
    </xf>
    <xf numFmtId="8" fontId="9" fillId="0" borderId="0" xfId="43" applyFont="1" applyFill="1" applyAlignment="1" applyProtection="1">
      <alignment/>
      <protection/>
    </xf>
    <xf numFmtId="14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8" fontId="18" fillId="0" borderId="0" xfId="43" applyFont="1" applyFill="1" applyAlignment="1" applyProtection="1">
      <alignment/>
      <protection/>
    </xf>
    <xf numFmtId="0" fontId="9" fillId="0" borderId="0" xfId="42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 horizontal="left"/>
      <protection/>
    </xf>
    <xf numFmtId="4" fontId="9" fillId="0" borderId="0" xfId="42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left"/>
      <protection/>
    </xf>
    <xf numFmtId="0" fontId="9" fillId="0" borderId="0" xfId="42" applyNumberFormat="1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right"/>
      <protection/>
    </xf>
    <xf numFmtId="14" fontId="9" fillId="0" borderId="0" xfId="0" applyNumberFormat="1" applyFont="1" applyFill="1" applyAlignment="1" applyProtection="1">
      <alignment/>
      <protection/>
    </xf>
    <xf numFmtId="167" fontId="9" fillId="0" borderId="0" xfId="0" applyNumberFormat="1" applyFont="1" applyFill="1" applyAlignment="1" applyProtection="1">
      <alignment/>
      <protection/>
    </xf>
    <xf numFmtId="2" fontId="9" fillId="0" borderId="0" xfId="42" applyNumberFormat="1" applyFont="1" applyFill="1" applyAlignment="1" applyProtection="1">
      <alignment/>
      <protection/>
    </xf>
    <xf numFmtId="8" fontId="9" fillId="0" borderId="0" xfId="0" applyNumberFormat="1" applyFont="1" applyFill="1" applyAlignment="1" applyProtection="1">
      <alignment/>
      <protection/>
    </xf>
    <xf numFmtId="8" fontId="9" fillId="0" borderId="0" xfId="43" applyNumberFormat="1" applyFont="1" applyFill="1" applyAlignment="1" applyProtection="1">
      <alignment/>
      <protection/>
    </xf>
    <xf numFmtId="191" fontId="9" fillId="0" borderId="0" xfId="42" applyNumberFormat="1" applyFont="1" applyFill="1" applyAlignment="1" applyProtection="1">
      <alignment/>
      <protection/>
    </xf>
    <xf numFmtId="188" fontId="9" fillId="0" borderId="0" xfId="42" applyNumberFormat="1" applyFont="1" applyFill="1" applyAlignment="1" applyProtection="1">
      <alignment/>
      <protection/>
    </xf>
    <xf numFmtId="8" fontId="9" fillId="0" borderId="0" xfId="43" applyFont="1" applyFill="1" applyBorder="1" applyAlignment="1" applyProtection="1">
      <alignment/>
      <protection/>
    </xf>
    <xf numFmtId="7" fontId="9" fillId="0" borderId="0" xfId="0" applyNumberFormat="1" applyFont="1" applyFill="1" applyAlignment="1" applyProtection="1">
      <alignment/>
      <protection/>
    </xf>
    <xf numFmtId="167" fontId="0" fillId="0" borderId="0" xfId="0" applyNumberFormat="1" applyFill="1" applyAlignment="1">
      <alignment horizontal="right"/>
    </xf>
    <xf numFmtId="4" fontId="9" fillId="0" borderId="0" xfId="0" applyNumberFormat="1" applyFont="1" applyFill="1" applyAlignment="1" applyProtection="1">
      <alignment horizontal="left"/>
      <protection/>
    </xf>
    <xf numFmtId="8" fontId="9" fillId="0" borderId="0" xfId="43" applyFont="1" applyFill="1" applyAlignment="1" applyProtection="1">
      <alignment/>
      <protection/>
    </xf>
    <xf numFmtId="167" fontId="9" fillId="0" borderId="0" xfId="0" applyNumberFormat="1" applyFont="1" applyFill="1" applyAlignment="1" applyProtection="1">
      <alignment horizontal="right"/>
      <protection/>
    </xf>
    <xf numFmtId="0" fontId="6" fillId="0" borderId="26" xfId="0" applyFont="1" applyBorder="1" applyAlignment="1" applyProtection="1">
      <alignment horizontal="right"/>
      <protection/>
    </xf>
    <xf numFmtId="0" fontId="9" fillId="0" borderId="24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 horizontal="right"/>
      <protection/>
    </xf>
    <xf numFmtId="0" fontId="6" fillId="0" borderId="15" xfId="0" applyFont="1" applyBorder="1" applyAlignment="1" applyProtection="1">
      <alignment horizontal="left"/>
      <protection/>
    </xf>
    <xf numFmtId="14" fontId="60" fillId="0" borderId="0" xfId="0" applyNumberFormat="1" applyFont="1" applyBorder="1" applyAlignment="1" applyProtection="1">
      <alignment/>
      <protection/>
    </xf>
    <xf numFmtId="0" fontId="9" fillId="0" borderId="15" xfId="0" applyFont="1" applyBorder="1" applyAlignment="1" applyProtection="1">
      <alignment horizontal="left"/>
      <protection/>
    </xf>
    <xf numFmtId="0" fontId="6" fillId="0" borderId="15" xfId="0" applyFont="1" applyBorder="1" applyAlignment="1" applyProtection="1">
      <alignment horizontal="right"/>
      <protection/>
    </xf>
    <xf numFmtId="0" fontId="9" fillId="0" borderId="0" xfId="0" applyNumberFormat="1" applyFont="1" applyBorder="1" applyAlignment="1" applyProtection="1">
      <alignment/>
      <protection/>
    </xf>
    <xf numFmtId="0" fontId="12" fillId="0" borderId="26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2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right"/>
      <protection/>
    </xf>
    <xf numFmtId="0" fontId="6" fillId="0" borderId="0" xfId="0" applyFont="1" applyAlignment="1" applyProtection="1">
      <alignment horizontal="centerContinuous"/>
      <protection/>
    </xf>
    <xf numFmtId="0" fontId="9" fillId="0" borderId="10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centerContinuous"/>
      <protection/>
    </xf>
    <xf numFmtId="0" fontId="19" fillId="0" borderId="0" xfId="0" applyNumberFormat="1" applyFont="1" applyFill="1" applyAlignment="1" applyProtection="1">
      <alignment horizontal="right"/>
      <protection/>
    </xf>
    <xf numFmtId="7" fontId="12" fillId="0" borderId="26" xfId="0" applyNumberFormat="1" applyFont="1" applyBorder="1" applyAlignment="1" applyProtection="1">
      <alignment/>
      <protection/>
    </xf>
    <xf numFmtId="7" fontId="9" fillId="0" borderId="15" xfId="0" applyNumberFormat="1" applyFont="1" applyBorder="1" applyAlignment="1" applyProtection="1">
      <alignment/>
      <protection/>
    </xf>
    <xf numFmtId="7" fontId="9" fillId="0" borderId="27" xfId="0" applyNumberFormat="1" applyFont="1" applyBorder="1" applyAlignment="1" applyProtection="1">
      <alignment/>
      <protection/>
    </xf>
    <xf numFmtId="7" fontId="12" fillId="0" borderId="11" xfId="0" applyNumberFormat="1" applyFont="1" applyBorder="1" applyAlignment="1" applyProtection="1">
      <alignment/>
      <protection/>
    </xf>
    <xf numFmtId="0" fontId="9" fillId="0" borderId="25" xfId="0" applyFont="1" applyBorder="1" applyAlignment="1" applyProtection="1">
      <alignment/>
      <protection/>
    </xf>
    <xf numFmtId="2" fontId="9" fillId="0" borderId="18" xfId="0" applyNumberFormat="1" applyFont="1" applyBorder="1" applyAlignment="1" applyProtection="1">
      <alignment/>
      <protection/>
    </xf>
    <xf numFmtId="2" fontId="9" fillId="0" borderId="25" xfId="0" applyNumberFormat="1" applyFont="1" applyBorder="1" applyAlignment="1" applyProtection="1">
      <alignment/>
      <protection/>
    </xf>
    <xf numFmtId="7" fontId="9" fillId="0" borderId="19" xfId="0" applyNumberFormat="1" applyFont="1" applyBorder="1" applyAlignment="1" applyProtection="1">
      <alignment horizontal="right"/>
      <protection/>
    </xf>
    <xf numFmtId="7" fontId="6" fillId="0" borderId="18" xfId="0" applyNumberFormat="1" applyFont="1" applyBorder="1" applyAlignment="1" applyProtection="1">
      <alignment horizontal="centerContinuous"/>
      <protection/>
    </xf>
    <xf numFmtId="7" fontId="6" fillId="0" borderId="25" xfId="0" applyNumberFormat="1" applyFont="1" applyBorder="1" applyAlignment="1" applyProtection="1">
      <alignment horizontal="centerContinuous"/>
      <protection/>
    </xf>
    <xf numFmtId="0" fontId="59" fillId="33" borderId="12" xfId="0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vertical="center"/>
      <protection/>
    </xf>
    <xf numFmtId="4" fontId="9" fillId="0" borderId="0" xfId="42" applyFont="1" applyFill="1" applyAlignment="1" applyProtection="1">
      <alignment horizontal="right"/>
      <protection/>
    </xf>
    <xf numFmtId="164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39" fontId="17" fillId="0" borderId="0" xfId="0" applyNumberFormat="1" applyFont="1" applyFill="1" applyAlignment="1">
      <alignment/>
    </xf>
    <xf numFmtId="176" fontId="17" fillId="0" borderId="0" xfId="0" applyNumberFormat="1" applyFont="1" applyFill="1" applyAlignment="1">
      <alignment/>
    </xf>
    <xf numFmtId="165" fontId="17" fillId="0" borderId="0" xfId="0" applyNumberFormat="1" applyFont="1" applyFill="1" applyAlignment="1">
      <alignment/>
    </xf>
    <xf numFmtId="0" fontId="9" fillId="4" borderId="0" xfId="0" applyFont="1" applyFill="1" applyAlignment="1" applyProtection="1">
      <alignment horizontal="left"/>
      <protection/>
    </xf>
    <xf numFmtId="0" fontId="9" fillId="4" borderId="0" xfId="0" applyNumberFormat="1" applyFont="1" applyFill="1" applyAlignment="1" applyProtection="1">
      <alignment horizontal="left"/>
      <protection/>
    </xf>
    <xf numFmtId="49" fontId="10" fillId="33" borderId="14" xfId="0" applyNumberFormat="1" applyFont="1" applyFill="1" applyBorder="1" applyAlignment="1" applyProtection="1">
      <alignment horizontal="right"/>
      <protection locked="0"/>
    </xf>
    <xf numFmtId="165" fontId="9" fillId="0" borderId="0" xfId="0" applyNumberFormat="1" applyFont="1" applyFill="1" applyAlignment="1">
      <alignment/>
    </xf>
    <xf numFmtId="184" fontId="9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/>
    </xf>
    <xf numFmtId="0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 applyProtection="1">
      <alignment horizontal="center"/>
      <protection/>
    </xf>
    <xf numFmtId="0" fontId="9" fillId="0" borderId="0" xfId="42" applyNumberFormat="1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313"/>
  <sheetViews>
    <sheetView showGridLines="0" tabSelected="1" zoomScale="88" zoomScaleNormal="88" workbookViewId="0" topLeftCell="A1">
      <selection activeCell="B3" sqref="B3"/>
    </sheetView>
  </sheetViews>
  <sheetFormatPr defaultColWidth="10.59765625" defaultRowHeight="15"/>
  <cols>
    <col min="1" max="1" width="24.09765625" style="6" customWidth="1"/>
    <col min="2" max="2" width="10.09765625" style="6" customWidth="1"/>
    <col min="3" max="3" width="13.09765625" style="6" customWidth="1"/>
    <col min="4" max="4" width="9.8984375" style="6" customWidth="1"/>
    <col min="5" max="5" width="1.1015625" style="6" customWidth="1"/>
    <col min="6" max="8" width="9.59765625" style="6" customWidth="1"/>
    <col min="9" max="9" width="4.69921875" style="6" customWidth="1"/>
    <col min="10" max="10" width="16.19921875" style="6" customWidth="1"/>
    <col min="11" max="11" width="11.09765625" style="13" customWidth="1"/>
    <col min="12" max="12" width="3.09765625" style="6" customWidth="1"/>
    <col min="13" max="13" width="21.59765625" style="13" customWidth="1"/>
    <col min="14" max="14" width="9.59765625" style="13" customWidth="1"/>
    <col min="15" max="15" width="8" style="13" customWidth="1"/>
    <col min="16" max="16" width="8.09765625" style="14" customWidth="1"/>
    <col min="17" max="17" width="8.09765625" style="13" customWidth="1"/>
    <col min="18" max="18" width="8.8984375" style="13" customWidth="1"/>
    <col min="19" max="19" width="8" style="13" customWidth="1"/>
    <col min="20" max="20" width="9.59765625" style="6" bestFit="1" customWidth="1"/>
    <col min="21" max="21" width="10.19921875" style="6" customWidth="1"/>
    <col min="22" max="22" width="9.8984375" style="6" customWidth="1"/>
    <col min="23" max="23" width="9.59765625" style="6" bestFit="1" customWidth="1"/>
    <col min="24" max="24" width="11.8984375" style="55" customWidth="1"/>
    <col min="25" max="25" width="5.69921875" style="6" customWidth="1"/>
    <col min="26" max="26" width="5.3984375" style="18" bestFit="1" customWidth="1"/>
    <col min="27" max="27" width="11" style="6" customWidth="1"/>
    <col min="28" max="28" width="7.59765625" style="6" bestFit="1" customWidth="1"/>
    <col min="29" max="29" width="3.69921875" style="8" bestFit="1" customWidth="1"/>
    <col min="30" max="30" width="9.8984375" style="8" customWidth="1"/>
    <col min="31" max="31" width="11.19921875" style="6" bestFit="1" customWidth="1"/>
    <col min="32" max="32" width="10.59765625" style="6" customWidth="1"/>
    <col min="33" max="33" width="10.3984375" style="6" bestFit="1" customWidth="1"/>
    <col min="34" max="35" width="10.59765625" style="6" customWidth="1"/>
    <col min="36" max="36" width="11.5" style="6" customWidth="1"/>
    <col min="37" max="40" width="10.59765625" style="6" customWidth="1"/>
    <col min="41" max="41" width="11.5" style="6" customWidth="1"/>
    <col min="42" max="42" width="9.8984375" style="6" customWidth="1"/>
    <col min="43" max="43" width="11.8984375" style="6" customWidth="1"/>
    <col min="44" max="16384" width="10.59765625" style="6" customWidth="1"/>
  </cols>
  <sheetData>
    <row r="1" spans="1:42" ht="13.5" thickBot="1">
      <c r="A1" s="167" t="s">
        <v>606</v>
      </c>
      <c r="B1" s="168"/>
      <c r="C1" s="168"/>
      <c r="D1" s="168"/>
      <c r="E1" s="168"/>
      <c r="F1" s="168"/>
      <c r="G1" s="169"/>
      <c r="H1" s="169"/>
      <c r="J1" s="199" t="s">
        <v>290</v>
      </c>
      <c r="K1" s="199"/>
      <c r="L1" s="12"/>
      <c r="M1" s="119"/>
      <c r="N1" s="119"/>
      <c r="O1" s="119"/>
      <c r="P1" s="120"/>
      <c r="Q1" s="119"/>
      <c r="R1" s="119" t="s">
        <v>264</v>
      </c>
      <c r="S1" s="119"/>
      <c r="T1" s="118"/>
      <c r="V1" s="8" t="s">
        <v>0</v>
      </c>
      <c r="W1" s="8" t="s">
        <v>1</v>
      </c>
      <c r="X1" s="57" t="s">
        <v>155</v>
      </c>
      <c r="Y1" s="8"/>
      <c r="AA1" s="6" t="s">
        <v>194</v>
      </c>
      <c r="AF1" s="8" t="s">
        <v>2</v>
      </c>
      <c r="AK1" s="8" t="s">
        <v>3</v>
      </c>
      <c r="AP1" s="8"/>
    </row>
    <row r="2" spans="1:42" ht="27.75" customHeight="1" thickTop="1">
      <c r="A2" s="154" t="s">
        <v>157</v>
      </c>
      <c r="B2" s="155"/>
      <c r="C2" s="155"/>
      <c r="D2" s="155"/>
      <c r="E2" s="155"/>
      <c r="F2" s="155"/>
      <c r="G2" s="182" t="s">
        <v>618</v>
      </c>
      <c r="H2" s="15"/>
      <c r="J2" s="118" t="s">
        <v>185</v>
      </c>
      <c r="K2" s="119">
        <f>ROUND(SUM(K3:K5),2)</f>
        <v>11890.81</v>
      </c>
      <c r="L2" s="130"/>
      <c r="M2" s="137" t="s">
        <v>172</v>
      </c>
      <c r="N2" s="119"/>
      <c r="O2" s="119"/>
      <c r="P2" s="119"/>
      <c r="Q2" s="119"/>
      <c r="R2" s="119" t="s">
        <v>265</v>
      </c>
      <c r="S2" s="183" t="str">
        <f>VLOOKUP(RETIREMENT_ID,RETID_TABLE,4)</f>
        <v>S</v>
      </c>
      <c r="T2" s="138" t="s">
        <v>5</v>
      </c>
      <c r="U2" s="122">
        <f>IF(OR(S2="M",S2="S"),MD_,0)</f>
        <v>0.0145</v>
      </c>
      <c r="V2" s="118">
        <v>0.062</v>
      </c>
      <c r="W2" s="118">
        <v>0.0145</v>
      </c>
      <c r="X2" s="125">
        <v>0.01</v>
      </c>
      <c r="Z2" s="18" t="s">
        <v>195</v>
      </c>
      <c r="AA2" s="12" t="s">
        <v>13</v>
      </c>
      <c r="AB2" s="6" t="s">
        <v>684</v>
      </c>
      <c r="AC2" s="8" t="s">
        <v>291</v>
      </c>
      <c r="AF2" s="184">
        <v>4300</v>
      </c>
      <c r="AG2" s="185"/>
      <c r="AH2" s="185"/>
      <c r="AK2" s="8" t="s">
        <v>6</v>
      </c>
      <c r="AP2" s="8"/>
    </row>
    <row r="3" spans="1:42" ht="15.75">
      <c r="A3" s="156" t="s">
        <v>158</v>
      </c>
      <c r="B3" s="19">
        <v>12211</v>
      </c>
      <c r="C3" s="18" t="s">
        <v>340</v>
      </c>
      <c r="D3" s="20">
        <v>11083.92</v>
      </c>
      <c r="E3" s="21"/>
      <c r="F3" s="18" t="s">
        <v>322</v>
      </c>
      <c r="G3" s="181" t="s">
        <v>150</v>
      </c>
      <c r="H3" s="22" t="s">
        <v>361</v>
      </c>
      <c r="J3" s="118" t="s">
        <v>186</v>
      </c>
      <c r="K3" s="143">
        <f>ROUND(IF(Salary_Per="H",REDUCED_SALARY*HOURS_OF_REGULAR_PAY,(REDUCED_SALARY/PAYPERIOD_HOURS)*HOURS_OF_REGULAR_PAY),2)</f>
        <v>3148.84</v>
      </c>
      <c r="L3" s="144"/>
      <c r="M3" s="119">
        <f>REG_PAY_WITHHOLDING</f>
        <v>118.0815375</v>
      </c>
      <c r="N3" s="120" t="s">
        <v>542</v>
      </c>
      <c r="O3" s="124"/>
      <c r="P3" s="120"/>
      <c r="Q3" s="119"/>
      <c r="R3" s="119" t="s">
        <v>266</v>
      </c>
      <c r="S3" s="119">
        <f>IF(OR(PayFreq="M",PayFreq="S"),VLOOKUP(RETIREMENT_ID,RETID_TABLE,3),(VLOOKUP(RETIREMENT_ID,RETID_TABLE,3)*12)/26)</f>
        <v>0</v>
      </c>
      <c r="T3" s="138" t="s">
        <v>7</v>
      </c>
      <c r="U3" s="121">
        <f>ROUND(Gross_Net*MED_,2)</f>
        <v>172.42</v>
      </c>
      <c r="V3" s="118"/>
      <c r="W3" s="118"/>
      <c r="X3" s="125"/>
      <c r="Z3" t="s">
        <v>608</v>
      </c>
      <c r="AA3" s="197">
        <v>0.06</v>
      </c>
      <c r="AB3" s="196">
        <v>317</v>
      </c>
      <c r="AC3" s="8" t="s">
        <v>196</v>
      </c>
      <c r="AD3" s="8" t="s">
        <v>4</v>
      </c>
      <c r="AF3" s="185"/>
      <c r="AG3" s="185"/>
      <c r="AH3" s="185"/>
      <c r="AI3" s="35"/>
      <c r="AJ3" s="17"/>
      <c r="AK3" s="17">
        <v>1000</v>
      </c>
      <c r="AO3" s="17"/>
      <c r="AP3" s="17"/>
    </row>
    <row r="4" spans="1:34" ht="15.75">
      <c r="A4" s="156" t="s">
        <v>145</v>
      </c>
      <c r="B4" s="23" t="s">
        <v>298</v>
      </c>
      <c r="C4" s="9" t="s">
        <v>321</v>
      </c>
      <c r="D4" s="18"/>
      <c r="E4" s="24"/>
      <c r="F4" s="25"/>
      <c r="G4" s="18"/>
      <c r="H4" s="26"/>
      <c r="J4" s="118" t="s">
        <v>177</v>
      </c>
      <c r="K4" s="143">
        <f>ROUND(IF(Salary_Per="H",Salary_Rate*HOURS_IDL_FULL,(SALARY/PAYPERIOD_HOURS)*HOURS_IDL_FULL),2)</f>
        <v>8741.97</v>
      </c>
      <c r="L4" s="130"/>
      <c r="M4" s="119">
        <f>ROUND(Reg_Net_Grs*OASDI_,2)</f>
        <v>195.23</v>
      </c>
      <c r="N4" s="119" t="s">
        <v>10</v>
      </c>
      <c r="O4" s="124"/>
      <c r="P4" s="120"/>
      <c r="Q4" s="119"/>
      <c r="R4" s="119" t="s">
        <v>267</v>
      </c>
      <c r="S4" s="146">
        <f>VLOOKUP(RETIREMENT_ID,RETID_TABLE,2)</f>
        <v>0.0375</v>
      </c>
      <c r="T4" s="138" t="s">
        <v>8</v>
      </c>
      <c r="U4" s="122">
        <f>IF(S2="S",OA_,0)</f>
        <v>0.062</v>
      </c>
      <c r="V4" s="118" t="s">
        <v>4</v>
      </c>
      <c r="W4" s="118" t="s">
        <v>4</v>
      </c>
      <c r="X4" s="125"/>
      <c r="Z4" t="s">
        <v>609</v>
      </c>
      <c r="AA4" s="197">
        <v>0.0375</v>
      </c>
      <c r="AB4" s="196">
        <v>0</v>
      </c>
      <c r="AC4" s="8" t="s">
        <v>196</v>
      </c>
      <c r="AD4" s="8" t="s">
        <v>4</v>
      </c>
      <c r="AF4" s="186" t="s">
        <v>9</v>
      </c>
      <c r="AG4" s="185"/>
      <c r="AH4" s="185"/>
    </row>
    <row r="5" spans="1:41" ht="15.75">
      <c r="A5" s="156" t="s">
        <v>530</v>
      </c>
      <c r="B5" s="27" t="s">
        <v>150</v>
      </c>
      <c r="C5" s="18" t="s">
        <v>335</v>
      </c>
      <c r="D5" s="28">
        <v>22</v>
      </c>
      <c r="E5" s="29"/>
      <c r="F5" s="30" t="s">
        <v>167</v>
      </c>
      <c r="G5" s="31"/>
      <c r="H5" s="106"/>
      <c r="J5" s="118" t="s">
        <v>178</v>
      </c>
      <c r="K5" s="143">
        <f>(ROUND(IF(Salary_Per="H",Salary_Rate*K11,(SALARY/PAYPERIOD_HOURS)*K11),2))</f>
        <v>0</v>
      </c>
      <c r="L5" s="145"/>
      <c r="M5" s="119">
        <f>ROUND(Reg_Net_Grs*MED_,2)</f>
        <v>45.66</v>
      </c>
      <c r="N5" s="119" t="s">
        <v>268</v>
      </c>
      <c r="O5" s="124"/>
      <c r="P5" s="120"/>
      <c r="Q5" s="119"/>
      <c r="R5" s="119"/>
      <c r="S5" s="119"/>
      <c r="T5" s="138" t="s">
        <v>10</v>
      </c>
      <c r="U5" s="121">
        <f>ROUND(Gross_Net*OASDI_,2)</f>
        <v>737.23</v>
      </c>
      <c r="V5" s="140"/>
      <c r="W5" s="138"/>
      <c r="X5" s="136"/>
      <c r="Y5" s="8"/>
      <c r="Z5" t="s">
        <v>610</v>
      </c>
      <c r="AA5" s="197">
        <v>0</v>
      </c>
      <c r="AB5" s="196">
        <v>0</v>
      </c>
      <c r="AC5" s="8" t="s">
        <v>196</v>
      </c>
      <c r="AD5" s="8" t="s">
        <v>4</v>
      </c>
      <c r="AF5" s="186" t="s">
        <v>12</v>
      </c>
      <c r="AG5" s="186" t="s">
        <v>13</v>
      </c>
      <c r="AH5" s="186" t="s">
        <v>14</v>
      </c>
      <c r="AI5" s="8"/>
      <c r="AJ5" s="8" t="s">
        <v>15</v>
      </c>
      <c r="AO5" s="8"/>
    </row>
    <row r="6" spans="1:44" ht="15.75">
      <c r="A6" s="156" t="s">
        <v>160</v>
      </c>
      <c r="B6" s="128"/>
      <c r="C6" s="18" t="s">
        <v>331</v>
      </c>
      <c r="D6" s="20"/>
      <c r="E6" s="9" t="s">
        <v>332</v>
      </c>
      <c r="F6" s="10"/>
      <c r="G6" s="10"/>
      <c r="H6" s="106"/>
      <c r="I6" s="33"/>
      <c r="J6" s="118" t="s">
        <v>187</v>
      </c>
      <c r="K6" s="119">
        <f>IF(ISBLANK(Time_Base_Fraction),PAYPERIOD_DAYS*8,PAYPERIOD_DAYS*8*TIMEBASE)</f>
        <v>176</v>
      </c>
      <c r="L6" s="118"/>
      <c r="M6" s="119">
        <f>IF(SDI="yes",Reg_Net_Grs*X2,0)</f>
        <v>31.488400000000002</v>
      </c>
      <c r="N6" s="119" t="s">
        <v>151</v>
      </c>
      <c r="O6" s="124"/>
      <c r="P6" s="120"/>
      <c r="Q6" s="119"/>
      <c r="R6" s="119"/>
      <c r="S6" s="135"/>
      <c r="T6" s="138"/>
      <c r="U6" s="121"/>
      <c r="V6" s="138"/>
      <c r="W6" s="138"/>
      <c r="X6" s="125"/>
      <c r="Y6" s="17"/>
      <c r="Z6" t="s">
        <v>611</v>
      </c>
      <c r="AA6" s="197">
        <v>0.0375</v>
      </c>
      <c r="AB6" s="196">
        <v>0</v>
      </c>
      <c r="AC6" s="8" t="s">
        <v>197</v>
      </c>
      <c r="AD6" s="8" t="s">
        <v>4</v>
      </c>
      <c r="AF6" s="184">
        <v>-999999</v>
      </c>
      <c r="AG6" s="184">
        <v>0</v>
      </c>
      <c r="AH6" s="184">
        <v>0</v>
      </c>
      <c r="AI6" s="17"/>
      <c r="AK6" s="8" t="s">
        <v>16</v>
      </c>
      <c r="AM6" s="8" t="s">
        <v>17</v>
      </c>
      <c r="AP6" s="8"/>
      <c r="AR6" s="8"/>
    </row>
    <row r="7" spans="1:44" ht="15.75">
      <c r="A7" s="157" t="s">
        <v>161</v>
      </c>
      <c r="B7" s="34"/>
      <c r="C7" s="9"/>
      <c r="D7" s="10"/>
      <c r="E7" s="43"/>
      <c r="F7" s="10"/>
      <c r="G7" s="10"/>
      <c r="H7" s="22"/>
      <c r="I7" s="33"/>
      <c r="J7" s="118" t="s">
        <v>188</v>
      </c>
      <c r="K7" s="146">
        <f>IF(Salary_Per="H",ROUND(Salary_Rate,5),ROUND(SALARY/PAYPERIOD_HOURS,5))</f>
        <v>69.38068</v>
      </c>
      <c r="L7" s="118"/>
      <c r="M7" s="120"/>
      <c r="N7" s="119"/>
      <c r="O7" s="124"/>
      <c r="P7" s="120"/>
      <c r="Q7" s="119"/>
      <c r="R7" s="119" t="s">
        <v>289</v>
      </c>
      <c r="S7" s="119"/>
      <c r="T7" s="118"/>
      <c r="U7" s="118"/>
      <c r="V7" s="118"/>
      <c r="W7" s="118"/>
      <c r="X7" s="141"/>
      <c r="Y7" s="17"/>
      <c r="Z7" t="s">
        <v>612</v>
      </c>
      <c r="AA7" s="197">
        <v>0.0375</v>
      </c>
      <c r="AB7" s="196">
        <v>0</v>
      </c>
      <c r="AC7" s="8" t="s">
        <v>197</v>
      </c>
      <c r="AD7" s="8" t="s">
        <v>4</v>
      </c>
      <c r="AF7" s="184">
        <v>3800</v>
      </c>
      <c r="AG7" s="184">
        <v>0.1</v>
      </c>
      <c r="AH7" s="184">
        <v>0</v>
      </c>
      <c r="AI7" s="17"/>
      <c r="AJ7" s="32" t="s">
        <v>20</v>
      </c>
      <c r="AK7" s="32" t="s">
        <v>21</v>
      </c>
      <c r="AL7" s="8" t="s">
        <v>22</v>
      </c>
      <c r="AM7" s="8" t="s">
        <v>23</v>
      </c>
      <c r="AO7" s="32"/>
      <c r="AP7" s="32"/>
      <c r="AQ7" s="8"/>
      <c r="AR7" s="8"/>
    </row>
    <row r="8" spans="1:44" ht="15.75">
      <c r="A8" s="156" t="s">
        <v>162</v>
      </c>
      <c r="B8" s="192" t="s">
        <v>646</v>
      </c>
      <c r="C8" s="18" t="s">
        <v>163</v>
      </c>
      <c r="D8" s="38">
        <v>12</v>
      </c>
      <c r="E8" s="99" t="s">
        <v>337</v>
      </c>
      <c r="F8" s="38">
        <v>19</v>
      </c>
      <c r="G8" s="10"/>
      <c r="H8" s="39"/>
      <c r="J8" s="118"/>
      <c r="K8" s="146"/>
      <c r="L8" s="118"/>
      <c r="M8" s="137" t="s">
        <v>177</v>
      </c>
      <c r="N8" s="119"/>
      <c r="O8" s="124"/>
      <c r="P8" s="120"/>
      <c r="Q8" s="119"/>
      <c r="R8" s="119"/>
      <c r="S8" s="120"/>
      <c r="T8" s="118"/>
      <c r="U8" s="118"/>
      <c r="V8" s="118"/>
      <c r="W8" s="118"/>
      <c r="X8" s="125"/>
      <c r="Y8" s="17"/>
      <c r="Z8" t="s">
        <v>613</v>
      </c>
      <c r="AA8" s="197">
        <v>0.095</v>
      </c>
      <c r="AB8" s="196">
        <v>513</v>
      </c>
      <c r="AC8" s="8" t="s">
        <v>197</v>
      </c>
      <c r="AD8" s="8" t="s">
        <v>4</v>
      </c>
      <c r="AF8" s="184">
        <v>13675</v>
      </c>
      <c r="AG8" s="184">
        <v>0.12</v>
      </c>
      <c r="AH8" s="184">
        <v>987.5</v>
      </c>
      <c r="AI8" s="17"/>
      <c r="AJ8" s="189">
        <v>15042</v>
      </c>
      <c r="AK8" s="189">
        <v>15042</v>
      </c>
      <c r="AL8" s="189">
        <v>30083</v>
      </c>
      <c r="AM8" s="189">
        <v>30083</v>
      </c>
      <c r="AO8" s="40"/>
      <c r="AP8" s="40"/>
      <c r="AQ8" s="40"/>
      <c r="AR8" s="40"/>
    </row>
    <row r="9" spans="1:35" ht="15.75">
      <c r="A9" s="156" t="s">
        <v>193</v>
      </c>
      <c r="B9" s="41"/>
      <c r="C9" s="9" t="s">
        <v>360</v>
      </c>
      <c r="D9" s="42" t="s">
        <v>338</v>
      </c>
      <c r="E9" s="43"/>
      <c r="F9" s="44" t="s">
        <v>339</v>
      </c>
      <c r="G9" s="43"/>
      <c r="H9" s="22"/>
      <c r="J9" s="118" t="s">
        <v>189</v>
      </c>
      <c r="K9" s="119">
        <f>(Reg_Days*Time_Base_Hrs)+Reg_Hrs</f>
        <v>50</v>
      </c>
      <c r="L9" s="118"/>
      <c r="M9" s="119">
        <f>IDL_FULL_PAY_WITHHOLDING</f>
        <v>327.82372159090903</v>
      </c>
      <c r="N9" s="120" t="s">
        <v>542</v>
      </c>
      <c r="O9" s="124"/>
      <c r="P9" s="120"/>
      <c r="Q9" s="119"/>
      <c r="R9" s="119" t="s">
        <v>288</v>
      </c>
      <c r="S9" s="120">
        <f>Supple_Gross_Net/Divided_By</f>
        <v>0</v>
      </c>
      <c r="T9" s="122"/>
      <c r="U9" s="118"/>
      <c r="V9" s="118"/>
      <c r="W9" s="118"/>
      <c r="X9" s="125"/>
      <c r="Y9" s="17"/>
      <c r="Z9" t="s">
        <v>614</v>
      </c>
      <c r="AA9" s="197">
        <v>0.1</v>
      </c>
      <c r="AB9" s="196">
        <v>317</v>
      </c>
      <c r="AC9" s="8" t="s">
        <v>150</v>
      </c>
      <c r="AD9" s="8" t="s">
        <v>4</v>
      </c>
      <c r="AF9" s="184">
        <v>43925</v>
      </c>
      <c r="AG9" s="184">
        <v>0.22</v>
      </c>
      <c r="AH9" s="184">
        <v>4617.5</v>
      </c>
      <c r="AI9" s="17"/>
    </row>
    <row r="10" spans="1:41" ht="15.75">
      <c r="A10" s="156" t="s">
        <v>350</v>
      </c>
      <c r="B10" s="45"/>
      <c r="C10" s="9"/>
      <c r="D10" s="158">
        <v>42004</v>
      </c>
      <c r="E10" s="10" t="s">
        <v>333</v>
      </c>
      <c r="F10" s="10"/>
      <c r="G10" s="10"/>
      <c r="H10" s="22"/>
      <c r="J10" s="118" t="s">
        <v>190</v>
      </c>
      <c r="K10" s="119">
        <f>(IDL_Full_Days*Time_Base_Hrs)+IDL_Full_Hrs</f>
        <v>126</v>
      </c>
      <c r="L10" s="118"/>
      <c r="M10" s="119">
        <f>IF(IDL_Full=0,0,ROUND(M21-Reg_SS,2))</f>
        <v>542</v>
      </c>
      <c r="N10" s="119" t="s">
        <v>10</v>
      </c>
      <c r="O10" s="124"/>
      <c r="P10" s="120"/>
      <c r="Q10" s="119"/>
      <c r="R10" s="119" t="s">
        <v>171</v>
      </c>
      <c r="S10" s="120">
        <f>ROUND(Grs_Full_Supple/Org_Hr_Rate,0)</f>
        <v>0</v>
      </c>
      <c r="T10" s="121"/>
      <c r="U10" s="118"/>
      <c r="V10" s="118"/>
      <c r="W10" s="118"/>
      <c r="X10" s="125"/>
      <c r="Y10" s="17"/>
      <c r="Z10" t="s">
        <v>615</v>
      </c>
      <c r="AA10" s="197">
        <v>0.125</v>
      </c>
      <c r="AB10" s="196">
        <v>513</v>
      </c>
      <c r="AC10" s="8" t="s">
        <v>197</v>
      </c>
      <c r="AD10" s="8" t="s">
        <v>4</v>
      </c>
      <c r="AF10" s="184">
        <v>89325</v>
      </c>
      <c r="AG10" s="184">
        <v>0.24</v>
      </c>
      <c r="AH10" s="184">
        <v>14605.5</v>
      </c>
      <c r="AI10" s="17"/>
      <c r="AJ10" s="8" t="s">
        <v>25</v>
      </c>
      <c r="AO10" s="8"/>
    </row>
    <row r="11" spans="1:44" ht="15.75">
      <c r="A11" s="156" t="s">
        <v>151</v>
      </c>
      <c r="B11" s="46" t="str">
        <f>IF(LEFT(CBID,1)="R",VLOOKUP(CBID,SDI_CBID,2),"NO")</f>
        <v>YES</v>
      </c>
      <c r="C11" s="9"/>
      <c r="D11" s="158">
        <v>42004</v>
      </c>
      <c r="E11" s="10" t="s">
        <v>334</v>
      </c>
      <c r="F11" s="10"/>
      <c r="G11" s="10"/>
      <c r="H11" s="22"/>
      <c r="J11" s="118" t="s">
        <v>191</v>
      </c>
      <c r="K11" s="119">
        <f>(IDL_23_Days*Time_Base_Hrs)+IDL_23_Hrs</f>
        <v>0</v>
      </c>
      <c r="L11" s="118"/>
      <c r="M11" s="119">
        <f>IF(IDL_Full=0,0,ROUND(M22-Reg_Med,2))</f>
        <v>126.76</v>
      </c>
      <c r="N11" s="119" t="s">
        <v>268</v>
      </c>
      <c r="O11" s="124"/>
      <c r="P11" s="120"/>
      <c r="Q11" s="119"/>
      <c r="R11" s="119" t="s">
        <v>170</v>
      </c>
      <c r="S11" s="119">
        <f>IF(Salary_Per="H",0,ROUNDDOWN(S10/Time_Base_Hrs,0))</f>
        <v>0</v>
      </c>
      <c r="T11" s="122"/>
      <c r="U11" s="118"/>
      <c r="V11" s="118"/>
      <c r="W11" s="118"/>
      <c r="X11" s="125"/>
      <c r="Y11" s="17"/>
      <c r="Z11" t="s">
        <v>616</v>
      </c>
      <c r="AA11" s="197">
        <v>0.05</v>
      </c>
      <c r="AB11" s="196">
        <v>513</v>
      </c>
      <c r="AC11" s="8" t="s">
        <v>197</v>
      </c>
      <c r="AD11" s="8" t="s">
        <v>4</v>
      </c>
      <c r="AF11" s="184">
        <v>167100</v>
      </c>
      <c r="AG11" s="187">
        <v>0.32</v>
      </c>
      <c r="AH11" s="184">
        <v>33271.5</v>
      </c>
      <c r="AI11" s="17"/>
      <c r="AK11" s="8" t="s">
        <v>16</v>
      </c>
      <c r="AM11" s="8" t="s">
        <v>17</v>
      </c>
      <c r="AP11" s="8"/>
      <c r="AR11" s="8"/>
    </row>
    <row r="12" spans="1:44" ht="15.75">
      <c r="A12" s="157" t="s">
        <v>164</v>
      </c>
      <c r="B12" s="47"/>
      <c r="C12" s="9"/>
      <c r="D12" s="116">
        <f>LEFT(X7,10)</f>
      </c>
      <c r="E12" s="114">
        <f>Y7</f>
        <v>0</v>
      </c>
      <c r="F12" s="10"/>
      <c r="G12" s="10"/>
      <c r="H12" s="22"/>
      <c r="J12" s="118" t="s">
        <v>192</v>
      </c>
      <c r="K12" s="119">
        <f>HOURS_OF_REGULAR_PAY+HOURS_IDL_FULL+HOURS_IDL_23</f>
        <v>176</v>
      </c>
      <c r="L12" s="118"/>
      <c r="M12" s="119">
        <f>IF(IDL_Full=0,0,ROUND(M23-FTAX2,2))</f>
        <v>1317.4</v>
      </c>
      <c r="N12" s="119" t="s">
        <v>269</v>
      </c>
      <c r="O12" s="124"/>
      <c r="P12" s="120"/>
      <c r="Q12" s="119"/>
      <c r="R12" s="119" t="s">
        <v>171</v>
      </c>
      <c r="S12" s="119">
        <f>IF(Salary_Per="H",S10,S10-(S11*Time_Base_Hrs))</f>
        <v>0</v>
      </c>
      <c r="T12" s="122"/>
      <c r="U12" s="118"/>
      <c r="V12" s="141"/>
      <c r="W12" s="127"/>
      <c r="X12" s="125"/>
      <c r="Y12" s="17"/>
      <c r="Z12" t="s">
        <v>617</v>
      </c>
      <c r="AA12" s="197">
        <v>0.08</v>
      </c>
      <c r="AB12" s="196">
        <v>513</v>
      </c>
      <c r="AC12" s="8" t="s">
        <v>197</v>
      </c>
      <c r="AD12" s="8" t="s">
        <v>4</v>
      </c>
      <c r="AF12" s="184">
        <v>211150</v>
      </c>
      <c r="AG12" s="187">
        <v>0.35</v>
      </c>
      <c r="AH12" s="184">
        <v>47367.5</v>
      </c>
      <c r="AI12" s="17"/>
      <c r="AJ12" s="32" t="s">
        <v>20</v>
      </c>
      <c r="AK12" s="32" t="s">
        <v>21</v>
      </c>
      <c r="AL12" s="8" t="s">
        <v>22</v>
      </c>
      <c r="AM12" s="8" t="s">
        <v>23</v>
      </c>
      <c r="AO12" s="32"/>
      <c r="AP12" s="32"/>
      <c r="AQ12" s="8"/>
      <c r="AR12" s="8"/>
    </row>
    <row r="13" spans="1:44" ht="15.75">
      <c r="A13" s="156" t="s">
        <v>165</v>
      </c>
      <c r="B13" s="48" t="s">
        <v>197</v>
      </c>
      <c r="C13" s="18" t="s">
        <v>329</v>
      </c>
      <c r="D13" s="48">
        <v>10</v>
      </c>
      <c r="E13" s="9" t="s">
        <v>166</v>
      </c>
      <c r="F13" s="10"/>
      <c r="G13" s="10"/>
      <c r="H13" s="22"/>
      <c r="J13" s="138" t="s">
        <v>19</v>
      </c>
      <c r="K13" s="147">
        <f>+S4+V16</f>
        <v>0.0375</v>
      </c>
      <c r="L13" s="142"/>
      <c r="M13" s="119">
        <f>IF(IDL_Full=0,0,ROUND(M24-STAX2,2))</f>
        <v>760.73</v>
      </c>
      <c r="N13" s="119" t="s">
        <v>270</v>
      </c>
      <c r="O13" s="124"/>
      <c r="P13" s="120"/>
      <c r="Q13" s="119"/>
      <c r="R13" s="123"/>
      <c r="S13" s="119"/>
      <c r="T13" s="122"/>
      <c r="U13" s="118"/>
      <c r="V13" s="118"/>
      <c r="W13" s="118"/>
      <c r="X13" s="125"/>
      <c r="Y13" s="17"/>
      <c r="Z13" t="s">
        <v>586</v>
      </c>
      <c r="AA13" s="197">
        <v>0.085</v>
      </c>
      <c r="AB13" s="196">
        <v>513</v>
      </c>
      <c r="AC13" s="108" t="s">
        <v>197</v>
      </c>
      <c r="AD13" s="8" t="s">
        <v>4</v>
      </c>
      <c r="AF13" s="184">
        <v>522200</v>
      </c>
      <c r="AG13" s="188">
        <v>0.37</v>
      </c>
      <c r="AH13" s="184">
        <v>156235</v>
      </c>
      <c r="AI13" s="17"/>
      <c r="AJ13" s="189">
        <v>4537</v>
      </c>
      <c r="AK13" s="189">
        <v>4537</v>
      </c>
      <c r="AL13" s="189">
        <v>9074</v>
      </c>
      <c r="AM13" s="189">
        <v>9074</v>
      </c>
      <c r="AO13" s="40"/>
      <c r="AP13" s="40"/>
      <c r="AQ13" s="40"/>
      <c r="AR13" s="40"/>
    </row>
    <row r="14" spans="1:35" ht="15.75">
      <c r="A14" s="156" t="s">
        <v>24</v>
      </c>
      <c r="B14" s="37" t="s">
        <v>197</v>
      </c>
      <c r="C14" s="18" t="s">
        <v>336</v>
      </c>
      <c r="D14" s="48">
        <v>10</v>
      </c>
      <c r="E14" s="9" t="s">
        <v>168</v>
      </c>
      <c r="F14" s="10"/>
      <c r="G14" s="9"/>
      <c r="H14" s="49" t="s">
        <v>4</v>
      </c>
      <c r="J14" s="138" t="s">
        <v>11</v>
      </c>
      <c r="K14" s="120">
        <f>ROUND(REG_RETIREMENT_WH+IDL_FULL_RETIREMENT_WH+IDL_23_RETIREMENT_WH,2)</f>
        <v>445.91</v>
      </c>
      <c r="L14" s="148"/>
      <c r="M14" s="120">
        <f>IF(IDL_Full=0,0,ROUND(M25-Reg_SDI,2))</f>
        <v>87.42</v>
      </c>
      <c r="N14" s="119" t="s">
        <v>151</v>
      </c>
      <c r="O14" s="124"/>
      <c r="P14" s="120"/>
      <c r="Q14" s="119"/>
      <c r="R14" s="123"/>
      <c r="S14" s="123"/>
      <c r="T14" s="122"/>
      <c r="U14" s="118"/>
      <c r="V14" s="118"/>
      <c r="W14" s="118"/>
      <c r="X14" s="125"/>
      <c r="Z14" t="s">
        <v>587</v>
      </c>
      <c r="AA14" s="197">
        <v>0.085</v>
      </c>
      <c r="AB14" s="196">
        <v>513</v>
      </c>
      <c r="AC14" s="108" t="s">
        <v>197</v>
      </c>
      <c r="AD14" s="8" t="s">
        <v>4</v>
      </c>
      <c r="AF14" s="184"/>
      <c r="AG14" s="184"/>
      <c r="AH14" s="184"/>
      <c r="AI14" s="13"/>
    </row>
    <row r="15" spans="1:45" ht="15.75">
      <c r="A15" s="156" t="s">
        <v>607</v>
      </c>
      <c r="B15" s="41"/>
      <c r="C15" s="51" t="s">
        <v>330</v>
      </c>
      <c r="D15" s="38">
        <v>1</v>
      </c>
      <c r="E15" s="99">
        <v>1</v>
      </c>
      <c r="F15" s="38">
        <v>20</v>
      </c>
      <c r="G15" s="9" t="s">
        <v>18</v>
      </c>
      <c r="H15" s="49"/>
      <c r="J15" s="138"/>
      <c r="K15" s="119"/>
      <c r="L15" s="149"/>
      <c r="M15" s="119">
        <f>SUM(M10:M14)</f>
        <v>2834.3100000000004</v>
      </c>
      <c r="N15" s="119" t="s">
        <v>271</v>
      </c>
      <c r="O15" s="124"/>
      <c r="P15" s="120"/>
      <c r="Q15" s="119"/>
      <c r="R15" s="123"/>
      <c r="S15" s="124"/>
      <c r="T15" s="122"/>
      <c r="U15" s="138"/>
      <c r="V15" s="142"/>
      <c r="W15" s="118"/>
      <c r="X15" s="136"/>
      <c r="Y15" s="8"/>
      <c r="Z15" t="s">
        <v>588</v>
      </c>
      <c r="AA15" s="197">
        <v>0.085</v>
      </c>
      <c r="AB15" s="196">
        <v>513</v>
      </c>
      <c r="AC15" s="108" t="s">
        <v>197</v>
      </c>
      <c r="AD15" s="8" t="s">
        <v>4</v>
      </c>
      <c r="AF15" s="185"/>
      <c r="AG15" s="185"/>
      <c r="AH15" s="185"/>
      <c r="AJ15" s="8" t="s">
        <v>32</v>
      </c>
      <c r="AO15" s="107"/>
      <c r="AP15" s="108"/>
      <c r="AQ15" s="108"/>
      <c r="AR15" s="108"/>
      <c r="AS15" s="108"/>
    </row>
    <row r="16" spans="1:45" ht="15.75">
      <c r="A16" s="159"/>
      <c r="B16" s="10"/>
      <c r="C16" s="9"/>
      <c r="D16" s="42" t="s">
        <v>338</v>
      </c>
      <c r="E16" s="43"/>
      <c r="F16" s="44" t="s">
        <v>339</v>
      </c>
      <c r="G16" s="9"/>
      <c r="H16" s="49"/>
      <c r="J16" s="138"/>
      <c r="K16" s="119"/>
      <c r="L16" s="149"/>
      <c r="M16" s="119">
        <f>IF(IDL_Full=0,0,ROUND(IDL_Full-M15,2))</f>
        <v>5907.66</v>
      </c>
      <c r="N16" s="119" t="s">
        <v>547</v>
      </c>
      <c r="O16" s="124"/>
      <c r="P16" s="120"/>
      <c r="Q16" s="119"/>
      <c r="R16" s="123"/>
      <c r="S16" s="124"/>
      <c r="T16" s="122"/>
      <c r="U16" s="138" t="s">
        <v>146</v>
      </c>
      <c r="V16" s="142">
        <f>VLOOKUP(CBID,U17:V40,2,FALSE)</f>
        <v>0</v>
      </c>
      <c r="W16" s="118"/>
      <c r="X16" s="125"/>
      <c r="Y16" s="8"/>
      <c r="Z16" t="s">
        <v>589</v>
      </c>
      <c r="AA16" s="197">
        <v>0.085</v>
      </c>
      <c r="AB16" s="196">
        <v>513</v>
      </c>
      <c r="AC16" s="108" t="s">
        <v>197</v>
      </c>
      <c r="AD16" s="8" t="s">
        <v>4</v>
      </c>
      <c r="AF16" s="186" t="s">
        <v>4</v>
      </c>
      <c r="AG16" s="186" t="s">
        <v>31</v>
      </c>
      <c r="AH16" s="185"/>
      <c r="AI16" s="10"/>
      <c r="AJ16" s="117" t="s">
        <v>12</v>
      </c>
      <c r="AK16" s="117" t="s">
        <v>13</v>
      </c>
      <c r="AL16" s="117" t="s">
        <v>14</v>
      </c>
      <c r="AO16" s="107"/>
      <c r="AP16" s="107"/>
      <c r="AQ16" s="107"/>
      <c r="AR16" s="108"/>
      <c r="AS16" s="108"/>
    </row>
    <row r="17" spans="1:45" ht="15.75">
      <c r="A17" s="160" t="s">
        <v>169</v>
      </c>
      <c r="B17" s="52" t="s">
        <v>170</v>
      </c>
      <c r="C17" s="52" t="s">
        <v>171</v>
      </c>
      <c r="D17" s="10"/>
      <c r="E17" s="10"/>
      <c r="F17" s="18"/>
      <c r="G17" s="9"/>
      <c r="H17" s="49"/>
      <c r="J17" s="138" t="s">
        <v>152</v>
      </c>
      <c r="K17" s="119">
        <f>IF(SDI="Yes",SDIGRS*X2,0)</f>
        <v>118.90809999999999</v>
      </c>
      <c r="L17" s="149"/>
      <c r="M17" s="119"/>
      <c r="N17" s="119"/>
      <c r="O17" s="124"/>
      <c r="P17" s="120"/>
      <c r="Q17" s="119"/>
      <c r="R17" s="123"/>
      <c r="S17" s="124"/>
      <c r="T17" s="122"/>
      <c r="U17" s="138" t="s">
        <v>298</v>
      </c>
      <c r="V17" s="150">
        <v>0</v>
      </c>
      <c r="W17" s="118"/>
      <c r="X17" s="136"/>
      <c r="Y17" s="17"/>
      <c r="Z17" t="s">
        <v>590</v>
      </c>
      <c r="AA17" s="197">
        <v>0.085</v>
      </c>
      <c r="AB17" s="196">
        <v>513</v>
      </c>
      <c r="AC17" s="108" t="s">
        <v>197</v>
      </c>
      <c r="AD17" s="8" t="s">
        <v>4</v>
      </c>
      <c r="AE17" s="55"/>
      <c r="AF17" s="186" t="s">
        <v>12</v>
      </c>
      <c r="AG17" s="186" t="s">
        <v>13</v>
      </c>
      <c r="AH17" s="186" t="s">
        <v>14</v>
      </c>
      <c r="AI17" s="8"/>
      <c r="AJ17" s="193">
        <v>0</v>
      </c>
      <c r="AK17" s="194">
        <v>0.011</v>
      </c>
      <c r="AL17" s="195">
        <v>0</v>
      </c>
      <c r="AO17" s="109"/>
      <c r="AP17" s="110"/>
      <c r="AQ17" s="111"/>
      <c r="AR17" s="108"/>
      <c r="AS17" s="108"/>
    </row>
    <row r="18" spans="1:81" ht="15.75">
      <c r="A18" s="156" t="s">
        <v>172</v>
      </c>
      <c r="B18" s="54">
        <v>6</v>
      </c>
      <c r="C18" s="41">
        <v>2</v>
      </c>
      <c r="D18" s="161"/>
      <c r="E18" s="161"/>
      <c r="F18" s="161"/>
      <c r="G18" s="161"/>
      <c r="H18" s="56"/>
      <c r="I18" s="55"/>
      <c r="J18" s="136" t="s">
        <v>153</v>
      </c>
      <c r="K18" s="124">
        <f>Gross_Net</f>
        <v>11890.81</v>
      </c>
      <c r="L18" s="125"/>
      <c r="M18" s="137" t="s">
        <v>178</v>
      </c>
      <c r="N18" s="119"/>
      <c r="O18" s="124"/>
      <c r="P18" s="139"/>
      <c r="Q18" s="139"/>
      <c r="R18" s="124"/>
      <c r="S18" s="124"/>
      <c r="T18" s="125"/>
      <c r="U18" s="136" t="s">
        <v>309</v>
      </c>
      <c r="V18" s="150">
        <v>0</v>
      </c>
      <c r="W18" s="125"/>
      <c r="X18" s="125"/>
      <c r="Y18" s="55"/>
      <c r="Z18" t="s">
        <v>591</v>
      </c>
      <c r="AA18" s="197">
        <v>0.085</v>
      </c>
      <c r="AB18" s="196">
        <v>513</v>
      </c>
      <c r="AC18" s="108" t="s">
        <v>197</v>
      </c>
      <c r="AD18" s="57" t="s">
        <v>4</v>
      </c>
      <c r="AE18" s="55"/>
      <c r="AF18" s="184">
        <v>-999999</v>
      </c>
      <c r="AG18" s="184">
        <v>0</v>
      </c>
      <c r="AH18" s="184">
        <v>0</v>
      </c>
      <c r="AI18" s="55"/>
      <c r="AJ18" s="193">
        <v>8809</v>
      </c>
      <c r="AK18" s="194">
        <v>0.022</v>
      </c>
      <c r="AL18" s="195">
        <v>96.9</v>
      </c>
      <c r="AM18" s="55"/>
      <c r="AN18" s="55"/>
      <c r="AO18" s="113"/>
      <c r="AP18" s="113"/>
      <c r="AQ18" s="113"/>
      <c r="AR18" s="113"/>
      <c r="AS18" s="113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</row>
    <row r="19" spans="1:81" ht="15.75">
      <c r="A19" s="156" t="s">
        <v>173</v>
      </c>
      <c r="B19" s="54">
        <v>15</v>
      </c>
      <c r="C19" s="41">
        <v>6</v>
      </c>
      <c r="D19" s="161"/>
      <c r="E19" s="161"/>
      <c r="F19" s="161"/>
      <c r="G19" s="161"/>
      <c r="H19" s="56"/>
      <c r="I19" s="55"/>
      <c r="J19" s="118"/>
      <c r="K19" s="119"/>
      <c r="L19" s="125"/>
      <c r="M19" s="119">
        <f>IDL_23_PAY_WITHHOLDING</f>
        <v>0</v>
      </c>
      <c r="N19" s="120" t="s">
        <v>542</v>
      </c>
      <c r="O19" s="124"/>
      <c r="P19" s="120"/>
      <c r="Q19" s="119"/>
      <c r="R19" s="124"/>
      <c r="S19" s="124"/>
      <c r="T19" s="125"/>
      <c r="U19" s="136" t="s">
        <v>300</v>
      </c>
      <c r="V19" s="150">
        <v>0</v>
      </c>
      <c r="W19" s="125"/>
      <c r="X19" s="125"/>
      <c r="Y19" s="55"/>
      <c r="Z19" t="s">
        <v>592</v>
      </c>
      <c r="AA19" s="197">
        <v>0.085</v>
      </c>
      <c r="AB19" s="196">
        <v>513</v>
      </c>
      <c r="AC19" s="108" t="s">
        <v>197</v>
      </c>
      <c r="AD19" s="57" t="s">
        <v>4</v>
      </c>
      <c r="AE19" s="55"/>
      <c r="AF19" s="184">
        <v>11900</v>
      </c>
      <c r="AG19" s="184">
        <v>0.1</v>
      </c>
      <c r="AH19" s="184">
        <v>0</v>
      </c>
      <c r="AI19" s="55"/>
      <c r="AJ19" s="193">
        <v>20883</v>
      </c>
      <c r="AK19" s="194">
        <v>0.044</v>
      </c>
      <c r="AL19" s="195">
        <v>362.53</v>
      </c>
      <c r="AM19" s="55"/>
      <c r="AN19" s="55"/>
      <c r="AO19" s="113"/>
      <c r="AP19" s="113"/>
      <c r="AQ19" s="113"/>
      <c r="AR19" s="113"/>
      <c r="AS19" s="113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</row>
    <row r="20" spans="1:81" ht="15.75">
      <c r="A20" s="156" t="s">
        <v>174</v>
      </c>
      <c r="B20" s="54"/>
      <c r="C20" s="41"/>
      <c r="D20" s="161"/>
      <c r="E20" s="161"/>
      <c r="F20" s="161"/>
      <c r="G20" s="161"/>
      <c r="H20" s="56"/>
      <c r="I20" s="55"/>
      <c r="J20" s="136" t="s">
        <v>527</v>
      </c>
      <c r="K20" s="124">
        <f>IF(Days_in_Pay_Period=22,22,21)</f>
        <v>22</v>
      </c>
      <c r="L20" s="125"/>
      <c r="M20" s="119">
        <f>IF(IDL_Full=0,0,REG_RETIREMENT_WH+IDL_FULL_RETIREMENT_WH)</f>
        <v>445.905259090909</v>
      </c>
      <c r="N20" s="119" t="s">
        <v>354</v>
      </c>
      <c r="O20" s="124"/>
      <c r="P20" s="120"/>
      <c r="Q20" s="119"/>
      <c r="R20" s="124"/>
      <c r="S20" s="124"/>
      <c r="T20" s="125"/>
      <c r="U20" s="136" t="s">
        <v>301</v>
      </c>
      <c r="V20" s="150">
        <v>0</v>
      </c>
      <c r="W20" s="125"/>
      <c r="X20" s="136"/>
      <c r="Y20" s="55"/>
      <c r="Z20" t="s">
        <v>593</v>
      </c>
      <c r="AA20" s="197">
        <v>0.085</v>
      </c>
      <c r="AB20" s="196">
        <v>513</v>
      </c>
      <c r="AC20" s="108" t="s">
        <v>197</v>
      </c>
      <c r="AD20" s="57" t="s">
        <v>4</v>
      </c>
      <c r="AE20" s="55"/>
      <c r="AF20" s="184">
        <v>31650</v>
      </c>
      <c r="AG20" s="184">
        <v>0.12</v>
      </c>
      <c r="AH20" s="184">
        <v>1975</v>
      </c>
      <c r="AI20" s="55"/>
      <c r="AJ20" s="193">
        <v>32960</v>
      </c>
      <c r="AK20" s="194">
        <v>0.066</v>
      </c>
      <c r="AL20" s="195">
        <v>893.92</v>
      </c>
      <c r="AM20" s="55"/>
      <c r="AN20" s="55"/>
      <c r="AO20" s="113"/>
      <c r="AP20" s="113"/>
      <c r="AQ20" s="113"/>
      <c r="AR20" s="113"/>
      <c r="AS20" s="113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</row>
    <row r="21" spans="1:45" ht="16.5" thickBot="1">
      <c r="A21" s="159"/>
      <c r="B21" s="61"/>
      <c r="C21" s="62"/>
      <c r="D21" s="10"/>
      <c r="E21" s="10"/>
      <c r="F21" s="11"/>
      <c r="G21" s="11"/>
      <c r="H21" s="63"/>
      <c r="J21" s="136" t="s">
        <v>526</v>
      </c>
      <c r="K21" s="124">
        <f>IF(ISBLANK(Time_Base_Fraction),1,Time_Base_Fraction)</f>
        <v>1</v>
      </c>
      <c r="L21" s="125"/>
      <c r="M21" s="119">
        <f>IF(IDL_Full=0,0,ROUND((Reg_Net_Grs+IDL_Full)*OASDI_,2))</f>
        <v>737.23</v>
      </c>
      <c r="N21" s="119" t="s">
        <v>355</v>
      </c>
      <c r="O21" s="119"/>
      <c r="P21" s="120"/>
      <c r="Q21" s="119"/>
      <c r="R21" s="124"/>
      <c r="S21" s="126"/>
      <c r="T21" s="118"/>
      <c r="U21" s="138" t="s">
        <v>310</v>
      </c>
      <c r="V21" s="150">
        <v>0</v>
      </c>
      <c r="W21" s="118"/>
      <c r="X21" s="136"/>
      <c r="Y21" s="17"/>
      <c r="Z21" t="s">
        <v>620</v>
      </c>
      <c r="AA21" s="197">
        <v>0.06</v>
      </c>
      <c r="AB21" s="196">
        <v>317</v>
      </c>
      <c r="AC21" s="8" t="s">
        <v>196</v>
      </c>
      <c r="AD21" s="8" t="s">
        <v>4</v>
      </c>
      <c r="AF21" s="184">
        <v>92150</v>
      </c>
      <c r="AG21" s="184">
        <v>0.22</v>
      </c>
      <c r="AH21" s="184">
        <v>9235</v>
      </c>
      <c r="AI21" s="17"/>
      <c r="AJ21" s="193">
        <v>45753</v>
      </c>
      <c r="AK21" s="194">
        <v>0.088</v>
      </c>
      <c r="AL21" s="195">
        <v>1738.26</v>
      </c>
      <c r="AO21" s="109"/>
      <c r="AP21" s="110"/>
      <c r="AQ21" s="111"/>
      <c r="AR21" s="108"/>
      <c r="AS21" s="108"/>
    </row>
    <row r="22" spans="1:45" ht="17.25" thickBot="1" thickTop="1">
      <c r="A22" s="159"/>
      <c r="B22" s="66" t="s">
        <v>175</v>
      </c>
      <c r="C22" s="67" t="s">
        <v>176</v>
      </c>
      <c r="D22" s="179" t="s">
        <v>177</v>
      </c>
      <c r="E22" s="180"/>
      <c r="F22" s="67" t="s">
        <v>178</v>
      </c>
      <c r="G22" s="68"/>
      <c r="H22" s="69"/>
      <c r="J22" s="119" t="s">
        <v>297</v>
      </c>
      <c r="K22" s="147">
        <f>IF(ISBLANK(Time_Base_Fraction),8,8*Time_Base_Fraction)</f>
        <v>8</v>
      </c>
      <c r="L22" s="125"/>
      <c r="M22" s="119">
        <f>IF(IDL_Full=0,0,ROUND((Reg_Net_Grs+IDL_Full)*MED_,2))</f>
        <v>172.42</v>
      </c>
      <c r="N22" s="119" t="s">
        <v>356</v>
      </c>
      <c r="O22" s="119"/>
      <c r="P22" s="120"/>
      <c r="Q22" s="119"/>
      <c r="R22" s="124"/>
      <c r="S22" s="126"/>
      <c r="T22" s="118"/>
      <c r="U22" s="138" t="s">
        <v>311</v>
      </c>
      <c r="V22" s="150">
        <v>0</v>
      </c>
      <c r="W22" s="118"/>
      <c r="X22" s="136"/>
      <c r="Y22" s="17"/>
      <c r="Z22" t="s">
        <v>621</v>
      </c>
      <c r="AA22" s="197">
        <v>0.01</v>
      </c>
      <c r="AB22" s="196">
        <v>317</v>
      </c>
      <c r="AC22" s="8" t="s">
        <v>196</v>
      </c>
      <c r="AD22" s="8" t="s">
        <v>4</v>
      </c>
      <c r="AF22" s="184">
        <v>182950</v>
      </c>
      <c r="AG22" s="184">
        <v>0.24</v>
      </c>
      <c r="AH22" s="184">
        <v>29211</v>
      </c>
      <c r="AI22" s="17"/>
      <c r="AJ22" s="193">
        <v>57824</v>
      </c>
      <c r="AK22" s="194">
        <v>0.1023</v>
      </c>
      <c r="AL22" s="195">
        <v>2800.51</v>
      </c>
      <c r="AO22" s="109"/>
      <c r="AP22" s="110"/>
      <c r="AQ22" s="111"/>
      <c r="AR22" s="108"/>
      <c r="AS22" s="108"/>
    </row>
    <row r="23" spans="1:45" ht="16.5" thickTop="1">
      <c r="A23" s="162" t="s">
        <v>179</v>
      </c>
      <c r="B23" s="70">
        <f>Gross_Net</f>
        <v>11890.81</v>
      </c>
      <c r="C23" s="171">
        <f>Reg_Net_Grs</f>
        <v>3148.84</v>
      </c>
      <c r="D23" s="171">
        <f>IDL_Grs</f>
        <v>5907.66</v>
      </c>
      <c r="E23" s="174"/>
      <c r="F23" s="71">
        <f>IDL_23_Grs</f>
        <v>0</v>
      </c>
      <c r="G23" s="68"/>
      <c r="H23" s="72"/>
      <c r="J23" s="151" t="s">
        <v>531</v>
      </c>
      <c r="K23" s="130">
        <f>IF(Salary_Per="H",Salary_Rate,Salary_Rate*TIMEBASE)</f>
        <v>12211</v>
      </c>
      <c r="L23" s="125"/>
      <c r="M23" s="119">
        <f>FTAX3</f>
        <v>1317.4</v>
      </c>
      <c r="N23" s="119" t="s">
        <v>357</v>
      </c>
      <c r="O23" s="119"/>
      <c r="P23" s="120"/>
      <c r="Q23" s="119"/>
      <c r="R23" s="124"/>
      <c r="S23" s="119"/>
      <c r="T23" s="118"/>
      <c r="U23" s="138" t="s">
        <v>312</v>
      </c>
      <c r="V23" s="150">
        <v>0</v>
      </c>
      <c r="W23" s="118"/>
      <c r="X23" s="136"/>
      <c r="Y23" s="17"/>
      <c r="Z23" t="s">
        <v>622</v>
      </c>
      <c r="AA23" s="197">
        <v>0.06</v>
      </c>
      <c r="AB23" s="196">
        <v>317</v>
      </c>
      <c r="AC23" s="8" t="s">
        <v>150</v>
      </c>
      <c r="AD23" s="8" t="s">
        <v>4</v>
      </c>
      <c r="AF23" s="184">
        <v>328500</v>
      </c>
      <c r="AG23" s="184">
        <v>0.32</v>
      </c>
      <c r="AH23" s="184">
        <v>66543</v>
      </c>
      <c r="AI23" s="17"/>
      <c r="AJ23" s="193">
        <v>295373</v>
      </c>
      <c r="AK23" s="194">
        <v>0.1133</v>
      </c>
      <c r="AL23" s="195">
        <v>27101.77</v>
      </c>
      <c r="AO23" s="109"/>
      <c r="AP23" s="110"/>
      <c r="AQ23" s="111"/>
      <c r="AR23" s="108"/>
      <c r="AS23" s="108"/>
    </row>
    <row r="24" spans="1:45" ht="15.75">
      <c r="A24" s="163" t="s">
        <v>180</v>
      </c>
      <c r="B24" s="49">
        <f>EPMC</f>
        <v>445.91</v>
      </c>
      <c r="C24" s="172">
        <f>REG_RETIREMENT_WH</f>
        <v>118.0815375</v>
      </c>
      <c r="D24" s="172">
        <f>IDL_FULL_RETIREMENT_WH</f>
        <v>327.82372159090903</v>
      </c>
      <c r="E24" s="49"/>
      <c r="F24" s="73">
        <f>IDL_23_RETIREMENT_WH</f>
        <v>0</v>
      </c>
      <c r="G24" s="68"/>
      <c r="H24" s="72"/>
      <c r="J24" s="136" t="s">
        <v>532</v>
      </c>
      <c r="K24" s="130">
        <f>IF(HAS_REDUCED_SALARY=FALSE,SALARY,ROUND(Red_Sal_Rate*TIMEBASE,2))</f>
        <v>11083.92</v>
      </c>
      <c r="L24" s="125"/>
      <c r="M24" s="119">
        <f>STAX3</f>
        <v>760.73</v>
      </c>
      <c r="N24" s="119" t="s">
        <v>358</v>
      </c>
      <c r="O24" s="119"/>
      <c r="P24" s="120"/>
      <c r="Q24" s="119"/>
      <c r="R24" s="119"/>
      <c r="S24" s="119"/>
      <c r="T24" s="118"/>
      <c r="U24" s="138" t="s">
        <v>313</v>
      </c>
      <c r="V24" s="150">
        <v>0</v>
      </c>
      <c r="W24" s="118"/>
      <c r="X24" s="125"/>
      <c r="Y24" s="17"/>
      <c r="Z24" t="s">
        <v>623</v>
      </c>
      <c r="AA24" s="197">
        <v>0.0375</v>
      </c>
      <c r="AB24" s="196">
        <v>0</v>
      </c>
      <c r="AC24" s="8" t="s">
        <v>150</v>
      </c>
      <c r="AD24" s="8" t="s">
        <v>4</v>
      </c>
      <c r="AF24" s="184">
        <v>426600</v>
      </c>
      <c r="AG24" s="187">
        <v>0.35</v>
      </c>
      <c r="AH24" s="184">
        <v>94735</v>
      </c>
      <c r="AI24" s="17"/>
      <c r="AJ24" s="193">
        <v>354445</v>
      </c>
      <c r="AK24" s="194">
        <v>0.1243</v>
      </c>
      <c r="AL24" s="195">
        <v>33794.63</v>
      </c>
      <c r="AO24" s="109"/>
      <c r="AP24" s="110"/>
      <c r="AQ24" s="111"/>
      <c r="AR24" s="108"/>
      <c r="AS24" s="108"/>
    </row>
    <row r="25" spans="1:45" ht="15.75">
      <c r="A25" s="163" t="s">
        <v>181</v>
      </c>
      <c r="B25" s="49">
        <f>OASDI</f>
        <v>737.23</v>
      </c>
      <c r="C25" s="172">
        <f>Reg_SS</f>
        <v>195.23</v>
      </c>
      <c r="D25" s="78"/>
      <c r="E25" s="72"/>
      <c r="F25" s="74"/>
      <c r="G25" s="68"/>
      <c r="H25" s="72"/>
      <c r="I25" s="12"/>
      <c r="J25" s="132" t="s">
        <v>533</v>
      </c>
      <c r="K25" s="130">
        <f>REDUCED_SALARY-Locked_in_Pay</f>
        <v>11083.92</v>
      </c>
      <c r="L25" s="125"/>
      <c r="M25" s="119">
        <f>IF(OR(IDL_Full=0,SDI="NO"),0,(ROUND((Reg_Net_Grs+IDL_Full)*X2,2)))</f>
        <v>118.91</v>
      </c>
      <c r="N25" s="119" t="s">
        <v>359</v>
      </c>
      <c r="O25" s="119"/>
      <c r="P25" s="120"/>
      <c r="Q25" s="119"/>
      <c r="R25" s="124"/>
      <c r="S25" s="119"/>
      <c r="T25" s="118"/>
      <c r="U25" s="138" t="s">
        <v>314</v>
      </c>
      <c r="V25" s="150">
        <v>0</v>
      </c>
      <c r="W25" s="118"/>
      <c r="X25" s="125"/>
      <c r="Y25" s="17"/>
      <c r="Z25" t="s">
        <v>624</v>
      </c>
      <c r="AA25" s="197">
        <v>0</v>
      </c>
      <c r="AB25" s="196">
        <v>0</v>
      </c>
      <c r="AC25" s="8" t="s">
        <v>196</v>
      </c>
      <c r="AD25" s="8" t="s">
        <v>4</v>
      </c>
      <c r="AF25" s="184">
        <v>633950</v>
      </c>
      <c r="AG25" s="188">
        <v>0.37</v>
      </c>
      <c r="AH25" s="184">
        <v>167307.5</v>
      </c>
      <c r="AI25" s="17"/>
      <c r="AJ25" s="193">
        <v>590742</v>
      </c>
      <c r="AK25" s="194">
        <v>0.1353</v>
      </c>
      <c r="AL25" s="195">
        <v>63166.35</v>
      </c>
      <c r="AO25" s="109"/>
      <c r="AP25" s="110"/>
      <c r="AQ25" s="111"/>
      <c r="AR25" s="108"/>
      <c r="AS25" s="108"/>
    </row>
    <row r="26" spans="1:45" ht="15.75">
      <c r="A26" s="163" t="s">
        <v>182</v>
      </c>
      <c r="B26" s="49">
        <f>MED</f>
        <v>172.42</v>
      </c>
      <c r="C26" s="172">
        <f>Reg_Med</f>
        <v>45.66</v>
      </c>
      <c r="D26" s="78"/>
      <c r="E26" s="72"/>
      <c r="F26" s="74"/>
      <c r="G26" s="68"/>
      <c r="H26" s="72"/>
      <c r="I26" s="12"/>
      <c r="J26" s="135" t="s">
        <v>529</v>
      </c>
      <c r="K26" s="152">
        <f>SALARY-Locked_in_Pay</f>
        <v>12211</v>
      </c>
      <c r="L26" s="125"/>
      <c r="M26" s="119">
        <f>ROUND((IDL_2_3/3)*2,2)</f>
        <v>0</v>
      </c>
      <c r="N26" s="119" t="s">
        <v>546</v>
      </c>
      <c r="O26" s="119"/>
      <c r="P26" s="120"/>
      <c r="Q26" s="119"/>
      <c r="R26" s="119" t="s">
        <v>299</v>
      </c>
      <c r="S26" s="119"/>
      <c r="T26" s="118"/>
      <c r="U26" s="138" t="s">
        <v>315</v>
      </c>
      <c r="V26" s="150">
        <v>0</v>
      </c>
      <c r="W26" s="118"/>
      <c r="X26" s="125"/>
      <c r="Z26" t="s">
        <v>625</v>
      </c>
      <c r="AA26" s="197">
        <v>0.06</v>
      </c>
      <c r="AB26" s="196">
        <v>238</v>
      </c>
      <c r="AC26" s="57" t="s">
        <v>196</v>
      </c>
      <c r="AD26" s="8" t="s">
        <v>4</v>
      </c>
      <c r="AF26" s="17"/>
      <c r="AG26" s="17"/>
      <c r="AH26" s="17"/>
      <c r="AI26" s="17"/>
      <c r="AJ26" s="193">
        <v>1000000</v>
      </c>
      <c r="AK26" s="194">
        <v>0.1463</v>
      </c>
      <c r="AL26" s="195">
        <v>118538.96</v>
      </c>
      <c r="AO26" s="109"/>
      <c r="AP26" s="110"/>
      <c r="AQ26" s="111"/>
      <c r="AR26" s="108"/>
      <c r="AS26" s="108"/>
    </row>
    <row r="27" spans="1:45" ht="15.75">
      <c r="A27" s="163" t="s">
        <v>183</v>
      </c>
      <c r="B27" s="49">
        <f>FTAX1</f>
        <v>1317.4</v>
      </c>
      <c r="C27" s="172">
        <f>FTAX2</f>
        <v>0</v>
      </c>
      <c r="D27" s="78"/>
      <c r="E27" s="72"/>
      <c r="F27" s="74"/>
      <c r="G27" s="68"/>
      <c r="H27" s="72"/>
      <c r="I27" s="12"/>
      <c r="J27" s="132" t="s">
        <v>537</v>
      </c>
      <c r="K27" s="130">
        <f>IF(APPLY_EXCLUSION=TRUE,RET_EXCLUSION_AMT,0)</f>
        <v>0</v>
      </c>
      <c r="L27" s="125"/>
      <c r="M27" s="119"/>
      <c r="N27" s="119"/>
      <c r="O27" s="119"/>
      <c r="P27" s="120"/>
      <c r="Q27" s="119"/>
      <c r="R27" s="119" t="s">
        <v>298</v>
      </c>
      <c r="S27" s="119" t="s">
        <v>308</v>
      </c>
      <c r="T27" s="122"/>
      <c r="U27" s="138" t="s">
        <v>302</v>
      </c>
      <c r="V27" s="150">
        <v>0</v>
      </c>
      <c r="W27" s="118"/>
      <c r="X27" s="125"/>
      <c r="Z27" t="s">
        <v>626</v>
      </c>
      <c r="AA27" s="197">
        <v>0.06</v>
      </c>
      <c r="AB27" s="196">
        <v>238</v>
      </c>
      <c r="AC27" s="57" t="s">
        <v>150</v>
      </c>
      <c r="AD27" s="8" t="s">
        <v>4</v>
      </c>
      <c r="AJ27" s="193">
        <v>9999999</v>
      </c>
      <c r="AK27" s="194">
        <v>0.1463</v>
      </c>
      <c r="AL27" s="195">
        <v>118538.96</v>
      </c>
      <c r="AO27" s="109"/>
      <c r="AP27" s="110"/>
      <c r="AQ27" s="111"/>
      <c r="AR27" s="108"/>
      <c r="AS27" s="108"/>
    </row>
    <row r="28" spans="1:45" ht="15.75">
      <c r="A28" s="163" t="s">
        <v>184</v>
      </c>
      <c r="B28" s="49">
        <f>STAX1</f>
        <v>760.73</v>
      </c>
      <c r="C28" s="172">
        <f>STAX2</f>
        <v>0</v>
      </c>
      <c r="D28" s="78"/>
      <c r="E28" s="72"/>
      <c r="F28" s="74"/>
      <c r="G28" s="68"/>
      <c r="H28" s="72"/>
      <c r="I28" s="12"/>
      <c r="J28" s="135" t="s">
        <v>525</v>
      </c>
      <c r="K28" s="135" t="b">
        <f>IF(OR(PayFreq&lt;&gt;"S",LEFT(Ret_SM_Exl_Apply,1)="Y"),TRUE,FALSE)</f>
        <v>1</v>
      </c>
      <c r="L28" s="125"/>
      <c r="M28" s="119"/>
      <c r="N28" s="119"/>
      <c r="O28" s="119"/>
      <c r="P28" s="120"/>
      <c r="Q28" s="119"/>
      <c r="R28" s="119" t="s">
        <v>309</v>
      </c>
      <c r="S28" s="119" t="s">
        <v>156</v>
      </c>
      <c r="T28" s="122"/>
      <c r="U28" s="138" t="s">
        <v>316</v>
      </c>
      <c r="V28" s="150">
        <v>0</v>
      </c>
      <c r="W28" s="118"/>
      <c r="X28" s="125"/>
      <c r="Z28" t="s">
        <v>627</v>
      </c>
      <c r="AA28" s="197">
        <v>0.06</v>
      </c>
      <c r="AB28" s="196">
        <v>317</v>
      </c>
      <c r="AC28" s="57" t="s">
        <v>150</v>
      </c>
      <c r="AD28" s="8" t="s">
        <v>4</v>
      </c>
      <c r="AJ28" s="108"/>
      <c r="AK28" s="108"/>
      <c r="AL28" s="108"/>
      <c r="AO28" s="108"/>
      <c r="AP28" s="108"/>
      <c r="AQ28" s="108"/>
      <c r="AR28" s="108"/>
      <c r="AS28" s="108"/>
    </row>
    <row r="29" spans="1:45" ht="15.75">
      <c r="A29" s="163" t="s">
        <v>154</v>
      </c>
      <c r="B29" s="49">
        <f>SDI1</f>
        <v>118.90809999999999</v>
      </c>
      <c r="C29" s="172">
        <f>Reg_SDI</f>
        <v>31.488400000000002</v>
      </c>
      <c r="D29" s="78"/>
      <c r="E29" s="72"/>
      <c r="F29" s="74"/>
      <c r="G29" s="68"/>
      <c r="H29" s="72"/>
      <c r="I29" s="12"/>
      <c r="J29" s="135" t="s">
        <v>528</v>
      </c>
      <c r="K29" s="135" t="b">
        <f>IF(OR(ISBLANK(Red_Sal_Rate),Red_Sal_Rate&lt;=0),FALSE,TRUE)</f>
        <v>1</v>
      </c>
      <c r="L29" s="125"/>
      <c r="M29" s="131" t="s">
        <v>172</v>
      </c>
      <c r="N29" s="130">
        <f>ROUND(IF(Salary_Per="H",REDUCED_SALARY*HOURS_OF_REGULAR_PAY,(REDUCED_SALARY/PAYPERIOD_HOURS)*HOURS_OF_REGULAR_PAY),2)</f>
        <v>3148.84</v>
      </c>
      <c r="O29" s="119"/>
      <c r="P29" s="120"/>
      <c r="Q29" s="119"/>
      <c r="R29" s="119" t="s">
        <v>300</v>
      </c>
      <c r="S29" s="119" t="s">
        <v>308</v>
      </c>
      <c r="T29" s="122"/>
      <c r="U29" s="138" t="s">
        <v>317</v>
      </c>
      <c r="V29" s="150">
        <v>0</v>
      </c>
      <c r="W29" s="118"/>
      <c r="X29" s="125"/>
      <c r="Z29" t="s">
        <v>628</v>
      </c>
      <c r="AA29" s="197">
        <v>0.06</v>
      </c>
      <c r="AB29" s="196">
        <v>317</v>
      </c>
      <c r="AC29" s="8" t="s">
        <v>196</v>
      </c>
      <c r="AD29" s="8" t="s">
        <v>4</v>
      </c>
      <c r="AJ29" s="107" t="s">
        <v>45</v>
      </c>
      <c r="AK29" s="108"/>
      <c r="AL29" s="108"/>
      <c r="AO29" s="107"/>
      <c r="AP29" s="108"/>
      <c r="AQ29" s="108"/>
      <c r="AR29" s="108"/>
      <c r="AS29" s="108"/>
    </row>
    <row r="30" spans="1:45" ht="16.5" thickBot="1">
      <c r="A30" s="163" t="s">
        <v>185</v>
      </c>
      <c r="B30" s="75">
        <f>ROUND(B23-(ROUND(SUM(B24:B29),2)),2)</f>
        <v>8338.21</v>
      </c>
      <c r="C30" s="173">
        <f>ROUND(C23-(SUM(C24:C29)),2)</f>
        <v>2758.38</v>
      </c>
      <c r="D30" s="173">
        <f>ROUND(D23-D24,2)</f>
        <v>5579.84</v>
      </c>
      <c r="E30" s="84"/>
      <c r="F30" s="75">
        <f>ROUND(F23-F24,2)</f>
        <v>0</v>
      </c>
      <c r="G30" s="68"/>
      <c r="H30" s="72"/>
      <c r="I30" s="12"/>
      <c r="J30" s="118"/>
      <c r="K30" s="124"/>
      <c r="L30" s="125"/>
      <c r="M30" s="132" t="s">
        <v>534</v>
      </c>
      <c r="N30" s="130">
        <f>IF(Salary_Per="H",RED_SAL_NOT_LOCKED*HOURS_OF_REGULAR_PAY,ROUND((RED_SAL_NOT_LOCKED/PAYPERIOD_HOURS),5)*HOURS_OF_REGULAR_PAY)</f>
        <v>3148.841</v>
      </c>
      <c r="O30" s="119"/>
      <c r="P30" s="120"/>
      <c r="Q30" s="119"/>
      <c r="R30" s="119" t="s">
        <v>301</v>
      </c>
      <c r="S30" s="119" t="s">
        <v>308</v>
      </c>
      <c r="T30" s="122"/>
      <c r="U30" s="138" t="s">
        <v>303</v>
      </c>
      <c r="V30" s="150">
        <v>0</v>
      </c>
      <c r="W30" s="118"/>
      <c r="X30" s="125"/>
      <c r="Z30" t="s">
        <v>629</v>
      </c>
      <c r="AA30" s="197">
        <v>0.11</v>
      </c>
      <c r="AB30" s="196">
        <v>317</v>
      </c>
      <c r="AC30" s="8" t="s">
        <v>150</v>
      </c>
      <c r="AD30" s="8" t="s">
        <v>4</v>
      </c>
      <c r="AJ30" s="107" t="s">
        <v>12</v>
      </c>
      <c r="AK30" s="107" t="s">
        <v>13</v>
      </c>
      <c r="AL30" s="107" t="s">
        <v>14</v>
      </c>
      <c r="AO30" s="107"/>
      <c r="AP30" s="107"/>
      <c r="AQ30" s="107"/>
      <c r="AR30" s="108"/>
      <c r="AS30" s="108"/>
    </row>
    <row r="31" spans="1:45" ht="17.25" thickBot="1" thickTop="1">
      <c r="A31" s="163" t="s">
        <v>278</v>
      </c>
      <c r="B31" s="56">
        <f>Org_Hr_Rate</f>
        <v>69.38068</v>
      </c>
      <c r="C31" s="76"/>
      <c r="D31" s="68"/>
      <c r="E31" s="68"/>
      <c r="F31" s="77"/>
      <c r="G31" s="78"/>
      <c r="H31" s="72"/>
      <c r="I31" s="12"/>
      <c r="J31" s="118"/>
      <c r="K31" s="119"/>
      <c r="L31" s="125"/>
      <c r="M31" s="132" t="s">
        <v>535</v>
      </c>
      <c r="N31" s="130">
        <f>IF(REG_PAY_SUBJ_RETIREMENT&gt;EXCLUSION,EXCLUSION,REG_PAY_SUBJ_RETIREMENT)</f>
        <v>0</v>
      </c>
      <c r="O31" s="119"/>
      <c r="P31" s="120"/>
      <c r="Q31" s="119"/>
      <c r="R31" s="119" t="s">
        <v>310</v>
      </c>
      <c r="S31" s="119" t="s">
        <v>156</v>
      </c>
      <c r="T31" s="121"/>
      <c r="U31" s="138" t="s">
        <v>304</v>
      </c>
      <c r="V31" s="150">
        <v>0</v>
      </c>
      <c r="W31" s="118"/>
      <c r="X31" s="125"/>
      <c r="Z31" t="s">
        <v>198</v>
      </c>
      <c r="AA31" s="197">
        <v>0.07</v>
      </c>
      <c r="AB31" s="196">
        <v>317</v>
      </c>
      <c r="AC31" s="8" t="s">
        <v>150</v>
      </c>
      <c r="AJ31" s="193">
        <v>0</v>
      </c>
      <c r="AK31" s="194">
        <v>0.011</v>
      </c>
      <c r="AL31" s="195">
        <v>0</v>
      </c>
      <c r="AO31" s="109"/>
      <c r="AP31" s="110"/>
      <c r="AQ31" s="111"/>
      <c r="AR31" s="108"/>
      <c r="AS31" s="108"/>
    </row>
    <row r="32" spans="1:45" ht="17.25" thickBot="1" thickTop="1">
      <c r="A32" s="163" t="s">
        <v>272</v>
      </c>
      <c r="B32" s="49">
        <f>IF(ROUND(Full_Net-(SUM(C30:F30)),2)&lt;0,0,ROUND(Full_Net-(SUM(C30:F30)),2))</f>
        <v>0</v>
      </c>
      <c r="C32" s="79" t="s">
        <v>273</v>
      </c>
      <c r="D32" s="80">
        <f>Withhold_Factor</f>
        <v>0.6375</v>
      </c>
      <c r="E32" s="80"/>
      <c r="F32" s="81" t="s">
        <v>274</v>
      </c>
      <c r="G32" s="82">
        <f>ROUND(Supple_Gross_Net/Divided_By,2)</f>
        <v>0</v>
      </c>
      <c r="H32" s="83"/>
      <c r="I32" s="12"/>
      <c r="J32" s="118"/>
      <c r="K32" s="119"/>
      <c r="L32" s="125"/>
      <c r="M32" s="132" t="s">
        <v>536</v>
      </c>
      <c r="N32" s="130">
        <f>IF(REG_PAY_SUBJ_RETIREMENT&gt;EXCLUSION,(REG_PAY_SUBJ_RETIREMENT-EXCLUSION)*EPMC_P,0)</f>
        <v>118.0815375</v>
      </c>
      <c r="O32" s="119"/>
      <c r="P32" s="120"/>
      <c r="Q32" s="119"/>
      <c r="R32" s="119" t="s">
        <v>311</v>
      </c>
      <c r="S32" s="119" t="s">
        <v>156</v>
      </c>
      <c r="T32" s="121"/>
      <c r="U32" s="138" t="s">
        <v>318</v>
      </c>
      <c r="V32" s="150">
        <v>0</v>
      </c>
      <c r="W32" s="118"/>
      <c r="X32" s="125"/>
      <c r="Z32" t="s">
        <v>407</v>
      </c>
      <c r="AA32" s="197">
        <v>0.11</v>
      </c>
      <c r="AB32" s="196">
        <v>317</v>
      </c>
      <c r="AC32" s="8" t="s">
        <v>196</v>
      </c>
      <c r="AJ32" s="193">
        <v>17618</v>
      </c>
      <c r="AK32" s="194">
        <v>0.022</v>
      </c>
      <c r="AL32" s="195">
        <v>193.8</v>
      </c>
      <c r="AO32" s="109"/>
      <c r="AP32" s="110"/>
      <c r="AQ32" s="111"/>
      <c r="AR32" s="108"/>
      <c r="AS32" s="108"/>
    </row>
    <row r="33" spans="1:45" ht="17.25" thickBot="1" thickTop="1">
      <c r="A33" s="164" t="s">
        <v>279</v>
      </c>
      <c r="B33" s="84">
        <f>S9</f>
        <v>0</v>
      </c>
      <c r="C33" s="85"/>
      <c r="D33" s="68"/>
      <c r="E33" s="69"/>
      <c r="F33" s="86"/>
      <c r="G33" s="87"/>
      <c r="H33" s="72"/>
      <c r="I33" s="12"/>
      <c r="J33" s="118"/>
      <c r="K33" s="119"/>
      <c r="L33" s="125"/>
      <c r="M33" s="133" t="s">
        <v>540</v>
      </c>
      <c r="N33" s="134">
        <f>EXCLUSION-REG_PAY_EXCLUSION</f>
        <v>0</v>
      </c>
      <c r="O33" s="119"/>
      <c r="P33" s="120"/>
      <c r="Q33" s="119"/>
      <c r="R33" s="119" t="s">
        <v>312</v>
      </c>
      <c r="S33" s="119" t="s">
        <v>156</v>
      </c>
      <c r="T33" s="121"/>
      <c r="U33" s="138" t="s">
        <v>307</v>
      </c>
      <c r="V33" s="150">
        <v>0</v>
      </c>
      <c r="W33" s="118"/>
      <c r="X33" s="125"/>
      <c r="Z33" t="s">
        <v>408</v>
      </c>
      <c r="AA33" s="197">
        <v>0.11</v>
      </c>
      <c r="AB33" s="196">
        <v>317</v>
      </c>
      <c r="AC33" s="8" t="s">
        <v>150</v>
      </c>
      <c r="AJ33" s="193">
        <v>41766</v>
      </c>
      <c r="AK33" s="194">
        <v>0.044</v>
      </c>
      <c r="AL33" s="195">
        <v>725.06</v>
      </c>
      <c r="AO33" s="109"/>
      <c r="AP33" s="110"/>
      <c r="AQ33" s="111"/>
      <c r="AR33" s="108"/>
      <c r="AS33" s="108"/>
    </row>
    <row r="34" spans="1:45" ht="17.25" thickBot="1" thickTop="1">
      <c r="A34" s="165" t="s">
        <v>275</v>
      </c>
      <c r="B34" s="88"/>
      <c r="C34" s="175"/>
      <c r="D34" s="176">
        <f>S10</f>
        <v>0</v>
      </c>
      <c r="E34" s="177"/>
      <c r="F34" s="68"/>
      <c r="G34" s="68"/>
      <c r="H34" s="72"/>
      <c r="I34" s="12"/>
      <c r="J34" s="119"/>
      <c r="K34" s="125"/>
      <c r="L34" s="125"/>
      <c r="M34" s="135"/>
      <c r="N34" s="129"/>
      <c r="O34" s="119"/>
      <c r="P34" s="120"/>
      <c r="Q34" s="119"/>
      <c r="R34" s="119" t="s">
        <v>313</v>
      </c>
      <c r="S34" s="119" t="s">
        <v>156</v>
      </c>
      <c r="T34" s="121"/>
      <c r="U34" s="138" t="s">
        <v>319</v>
      </c>
      <c r="V34" s="150">
        <v>0</v>
      </c>
      <c r="W34" s="118"/>
      <c r="X34" s="125"/>
      <c r="Z34" t="s">
        <v>409</v>
      </c>
      <c r="AA34" s="197">
        <v>0.11</v>
      </c>
      <c r="AB34" s="196">
        <v>317</v>
      </c>
      <c r="AC34" s="8" t="s">
        <v>150</v>
      </c>
      <c r="AJ34" s="193">
        <v>65920</v>
      </c>
      <c r="AK34" s="194">
        <v>0.066</v>
      </c>
      <c r="AL34" s="195">
        <v>1787.84</v>
      </c>
      <c r="AO34" s="109"/>
      <c r="AP34" s="110"/>
      <c r="AQ34" s="111"/>
      <c r="AR34" s="108"/>
      <c r="AS34" s="108"/>
    </row>
    <row r="35" spans="1:45" ht="17.25" thickBot="1" thickTop="1">
      <c r="A35" s="166" t="s">
        <v>276</v>
      </c>
      <c r="B35" s="89">
        <f>S11</f>
        <v>0</v>
      </c>
      <c r="C35" s="178" t="s">
        <v>277</v>
      </c>
      <c r="D35" s="90">
        <f>S12</f>
        <v>0</v>
      </c>
      <c r="E35" s="90"/>
      <c r="F35" s="91"/>
      <c r="G35" s="92"/>
      <c r="H35" s="93"/>
      <c r="I35" s="12"/>
      <c r="K35" s="135"/>
      <c r="L35" s="125"/>
      <c r="M35" s="136" t="s">
        <v>173</v>
      </c>
      <c r="N35" s="130">
        <f>IF(Salary_Per="H",RETIREMENT_SALARY_RATE*HOURS_IDL_FULL,RETIREMENT_SALARY_RATE/PAYPERIOD_HOURS*HOURS_IDL_FULL)</f>
        <v>8741.965909090908</v>
      </c>
      <c r="O35" s="119"/>
      <c r="P35" s="120"/>
      <c r="Q35" s="119"/>
      <c r="R35" s="119" t="s">
        <v>314</v>
      </c>
      <c r="S35" s="119" t="s">
        <v>156</v>
      </c>
      <c r="T35" s="121"/>
      <c r="U35" s="138" t="s">
        <v>320</v>
      </c>
      <c r="V35" s="150">
        <v>0</v>
      </c>
      <c r="W35" s="118"/>
      <c r="X35" s="125"/>
      <c r="Z35" t="s">
        <v>410</v>
      </c>
      <c r="AA35" s="197">
        <v>0.11</v>
      </c>
      <c r="AB35" s="196">
        <v>317</v>
      </c>
      <c r="AC35" s="8" t="s">
        <v>196</v>
      </c>
      <c r="AJ35" s="193">
        <v>91506</v>
      </c>
      <c r="AK35" s="194">
        <v>0.088</v>
      </c>
      <c r="AL35" s="195">
        <v>3476.52</v>
      </c>
      <c r="AO35" s="109"/>
      <c r="AP35" s="110"/>
      <c r="AQ35" s="111"/>
      <c r="AR35" s="108"/>
      <c r="AS35" s="108"/>
    </row>
    <row r="36" spans="1:45" ht="16.5" thickTop="1">
      <c r="A36" s="94"/>
      <c r="H36" s="170" t="s">
        <v>685</v>
      </c>
      <c r="I36" s="12"/>
      <c r="J36" s="136"/>
      <c r="K36" s="124"/>
      <c r="L36" s="125"/>
      <c r="M36" s="136" t="s">
        <v>538</v>
      </c>
      <c r="N36" s="130">
        <f>IF(IDL_FULL_PAY&gt;N33,N33,IDL_FULL_PAY)</f>
        <v>0</v>
      </c>
      <c r="O36" s="119"/>
      <c r="P36" s="120"/>
      <c r="Q36" s="119"/>
      <c r="R36" s="119" t="s">
        <v>315</v>
      </c>
      <c r="S36" s="119" t="s">
        <v>156</v>
      </c>
      <c r="T36" s="121"/>
      <c r="U36" s="138" t="s">
        <v>305</v>
      </c>
      <c r="V36" s="150">
        <v>0</v>
      </c>
      <c r="W36" s="118"/>
      <c r="X36" s="125"/>
      <c r="Z36" t="s">
        <v>411</v>
      </c>
      <c r="AA36" s="197">
        <v>0.11</v>
      </c>
      <c r="AB36" s="196">
        <v>317</v>
      </c>
      <c r="AC36" s="8" t="s">
        <v>150</v>
      </c>
      <c r="AJ36" s="193">
        <v>115648</v>
      </c>
      <c r="AK36" s="194">
        <v>0.1023</v>
      </c>
      <c r="AL36" s="195">
        <v>5601.02</v>
      </c>
      <c r="AO36" s="109"/>
      <c r="AP36" s="110"/>
      <c r="AQ36" s="111"/>
      <c r="AR36" s="108"/>
      <c r="AS36" s="108"/>
    </row>
    <row r="37" spans="1:45" ht="15.75">
      <c r="A37" s="94"/>
      <c r="I37" s="12"/>
      <c r="J37" s="118"/>
      <c r="K37" s="119"/>
      <c r="L37" s="125"/>
      <c r="M37" s="136" t="s">
        <v>539</v>
      </c>
      <c r="N37" s="130">
        <f>IF(IDL_FULL_PAY&gt;IDL_FULL_PAY_EXCLUSION,(IDL_FULL_PAY-IDL_FULL_PAY_EXCLUSION)*EPMC_P,0)</f>
        <v>327.82372159090903</v>
      </c>
      <c r="O37" s="119"/>
      <c r="P37" s="120"/>
      <c r="Q37" s="119"/>
      <c r="R37" s="119" t="s">
        <v>302</v>
      </c>
      <c r="S37" s="119" t="s">
        <v>308</v>
      </c>
      <c r="T37" s="121"/>
      <c r="U37" s="138" t="s">
        <v>306</v>
      </c>
      <c r="V37" s="150">
        <v>0</v>
      </c>
      <c r="W37" s="118"/>
      <c r="X37" s="125"/>
      <c r="Z37" t="s">
        <v>412</v>
      </c>
      <c r="AA37" s="197">
        <v>0.11</v>
      </c>
      <c r="AB37" s="196">
        <v>317</v>
      </c>
      <c r="AC37" s="8" t="s">
        <v>196</v>
      </c>
      <c r="AJ37" s="193">
        <v>590746</v>
      </c>
      <c r="AK37" s="194">
        <v>0.1133</v>
      </c>
      <c r="AL37" s="195">
        <v>54203.55</v>
      </c>
      <c r="AO37" s="109"/>
      <c r="AP37" s="110"/>
      <c r="AQ37" s="111"/>
      <c r="AR37" s="108"/>
      <c r="AS37" s="108"/>
    </row>
    <row r="38" spans="1:45" ht="15.75">
      <c r="A38" s="94"/>
      <c r="I38" s="12"/>
      <c r="J38" s="118"/>
      <c r="K38" s="119"/>
      <c r="L38" s="125"/>
      <c r="M38" s="133" t="s">
        <v>541</v>
      </c>
      <c r="N38" s="134">
        <f>N33-IDL_FULL_PAY_EXCLUSION</f>
        <v>0</v>
      </c>
      <c r="O38" s="119"/>
      <c r="P38" s="120"/>
      <c r="Q38" s="119"/>
      <c r="R38" s="119" t="s">
        <v>316</v>
      </c>
      <c r="S38" s="119" t="s">
        <v>156</v>
      </c>
      <c r="T38" s="121"/>
      <c r="U38" s="138" t="s">
        <v>148</v>
      </c>
      <c r="V38" s="150">
        <v>0</v>
      </c>
      <c r="W38" s="118"/>
      <c r="X38" s="125"/>
      <c r="Z38" t="s">
        <v>447</v>
      </c>
      <c r="AA38" s="197">
        <v>0.11</v>
      </c>
      <c r="AB38" s="196">
        <v>317</v>
      </c>
      <c r="AC38" s="8" t="s">
        <v>196</v>
      </c>
      <c r="AJ38" s="193">
        <v>708890</v>
      </c>
      <c r="AK38" s="194">
        <v>0.1243</v>
      </c>
      <c r="AL38" s="195">
        <v>67589.27</v>
      </c>
      <c r="AO38" s="109"/>
      <c r="AP38" s="110"/>
      <c r="AQ38" s="111"/>
      <c r="AR38" s="108"/>
      <c r="AS38" s="108"/>
    </row>
    <row r="39" spans="3:45" ht="15.75">
      <c r="C39" s="7" t="s">
        <v>558</v>
      </c>
      <c r="I39" s="12"/>
      <c r="J39" s="118"/>
      <c r="K39" s="119"/>
      <c r="L39" s="125"/>
      <c r="M39" s="119"/>
      <c r="N39" s="119"/>
      <c r="O39" s="119"/>
      <c r="P39" s="120"/>
      <c r="Q39" s="119"/>
      <c r="R39" s="119" t="s">
        <v>317</v>
      </c>
      <c r="S39" s="119" t="s">
        <v>156</v>
      </c>
      <c r="T39" s="121"/>
      <c r="U39" s="138" t="s">
        <v>149</v>
      </c>
      <c r="V39" s="150">
        <v>0</v>
      </c>
      <c r="W39" s="118"/>
      <c r="X39" s="125"/>
      <c r="Z39" t="s">
        <v>448</v>
      </c>
      <c r="AA39" s="197">
        <v>0.11</v>
      </c>
      <c r="AB39" s="196">
        <v>317</v>
      </c>
      <c r="AC39" s="8" t="s">
        <v>150</v>
      </c>
      <c r="AJ39" s="193">
        <v>1000000</v>
      </c>
      <c r="AK39" s="194">
        <v>0.1353</v>
      </c>
      <c r="AL39" s="195">
        <v>103774.24</v>
      </c>
      <c r="AO39" s="109"/>
      <c r="AP39" s="110"/>
      <c r="AQ39" s="111"/>
      <c r="AR39" s="108"/>
      <c r="AS39" s="108"/>
    </row>
    <row r="40" spans="9:45" ht="15.75">
      <c r="I40" s="12"/>
      <c r="J40" s="136"/>
      <c r="K40" s="130"/>
      <c r="L40" s="125"/>
      <c r="M40" s="136" t="s">
        <v>174</v>
      </c>
      <c r="N40" s="130">
        <f>IF(Salary_Per="H",RETIREMENT_SALARY_RATE*HOURS_IDL_23,RETIREMENT_SALARY_RATE/PAYPERIOD_HOURS*HOURS_IDL_23)</f>
        <v>0</v>
      </c>
      <c r="O40" s="119"/>
      <c r="P40" s="120"/>
      <c r="Q40" s="119"/>
      <c r="R40" s="119" t="s">
        <v>303</v>
      </c>
      <c r="S40" s="119" t="s">
        <v>308</v>
      </c>
      <c r="T40" s="121"/>
      <c r="U40" s="118" t="s">
        <v>147</v>
      </c>
      <c r="V40" s="150">
        <v>0</v>
      </c>
      <c r="W40" s="118"/>
      <c r="X40" s="125"/>
      <c r="Z40" t="s">
        <v>413</v>
      </c>
      <c r="AA40" s="197">
        <v>0.11</v>
      </c>
      <c r="AB40" s="196">
        <v>317</v>
      </c>
      <c r="AC40" s="8" t="s">
        <v>150</v>
      </c>
      <c r="AJ40" s="193">
        <v>1181484</v>
      </c>
      <c r="AK40" s="194">
        <v>0.1463</v>
      </c>
      <c r="AL40" s="195">
        <v>128329.03</v>
      </c>
      <c r="AO40" s="109"/>
      <c r="AP40" s="110"/>
      <c r="AQ40" s="111"/>
      <c r="AR40" s="108"/>
      <c r="AS40" s="108"/>
    </row>
    <row r="41" spans="1:45" ht="15.75">
      <c r="A41" s="1" t="s">
        <v>362</v>
      </c>
      <c r="J41" s="136"/>
      <c r="K41" s="130"/>
      <c r="L41" s="125"/>
      <c r="M41" s="136" t="s">
        <v>543</v>
      </c>
      <c r="N41" s="130">
        <f>IF(IDL_23_PAY&gt;N38,N38,IDL_23_PAY)</f>
        <v>0</v>
      </c>
      <c r="O41" s="119"/>
      <c r="P41" s="120"/>
      <c r="Q41" s="119"/>
      <c r="R41" s="119" t="s">
        <v>304</v>
      </c>
      <c r="S41" s="119" t="s">
        <v>308</v>
      </c>
      <c r="T41" s="121"/>
      <c r="U41" s="118"/>
      <c r="V41" s="153"/>
      <c r="W41" s="118"/>
      <c r="X41" s="125"/>
      <c r="Z41" t="s">
        <v>414</v>
      </c>
      <c r="AA41" s="197">
        <v>0.11</v>
      </c>
      <c r="AB41" s="196">
        <v>317</v>
      </c>
      <c r="AC41" s="8" t="s">
        <v>196</v>
      </c>
      <c r="AJ41" s="193">
        <v>9999999</v>
      </c>
      <c r="AK41" s="194">
        <v>0.1463</v>
      </c>
      <c r="AL41" s="195">
        <v>128329.03</v>
      </c>
      <c r="AO41" s="109"/>
      <c r="AP41" s="110"/>
      <c r="AQ41" s="111"/>
      <c r="AR41" s="108"/>
      <c r="AS41" s="108"/>
    </row>
    <row r="42" spans="1:45" ht="15.75">
      <c r="A42" s="1" t="s">
        <v>376</v>
      </c>
      <c r="J42" s="136"/>
      <c r="K42" s="124"/>
      <c r="L42" s="125"/>
      <c r="M42" s="136" t="s">
        <v>544</v>
      </c>
      <c r="N42" s="130">
        <f>IF(IDL_23_PAY&gt;IDL_23_PAY_EXCLUSION,(IDL_23_PAY-IDL_23_PAY_EXCLUSION)*EPMC_P,0)</f>
        <v>0</v>
      </c>
      <c r="O42" s="119"/>
      <c r="P42" s="120"/>
      <c r="Q42" s="119"/>
      <c r="R42" s="119" t="s">
        <v>318</v>
      </c>
      <c r="S42" s="119" t="s">
        <v>156</v>
      </c>
      <c r="T42" s="118"/>
      <c r="U42" s="118"/>
      <c r="V42" s="153"/>
      <c r="W42" s="118"/>
      <c r="X42" s="125"/>
      <c r="Z42" t="s">
        <v>505</v>
      </c>
      <c r="AA42" s="197">
        <v>0.09</v>
      </c>
      <c r="AB42" s="196">
        <v>0</v>
      </c>
      <c r="AC42" s="8" t="s">
        <v>150</v>
      </c>
      <c r="AJ42" s="108"/>
      <c r="AK42" s="108"/>
      <c r="AL42" s="108"/>
      <c r="AO42" s="108"/>
      <c r="AP42" s="108"/>
      <c r="AQ42" s="108"/>
      <c r="AR42" s="108"/>
      <c r="AS42" s="108"/>
    </row>
    <row r="43" spans="1:45" ht="15.75">
      <c r="A43" s="1" t="s">
        <v>346</v>
      </c>
      <c r="C43" s="8"/>
      <c r="J43" s="136"/>
      <c r="K43" s="124"/>
      <c r="L43" s="125"/>
      <c r="M43" s="133" t="s">
        <v>545</v>
      </c>
      <c r="N43" s="134">
        <f>N38-IDL_23_PAY_EXCLUSION</f>
        <v>0</v>
      </c>
      <c r="O43" s="119"/>
      <c r="P43" s="120"/>
      <c r="Q43" s="119"/>
      <c r="R43" s="119" t="s">
        <v>307</v>
      </c>
      <c r="S43" s="119" t="s">
        <v>308</v>
      </c>
      <c r="T43" s="118"/>
      <c r="U43" s="118"/>
      <c r="V43" s="153"/>
      <c r="W43" s="118"/>
      <c r="X43" s="125"/>
      <c r="Z43" t="s">
        <v>449</v>
      </c>
      <c r="AA43" s="197">
        <v>0.11</v>
      </c>
      <c r="AB43" s="196">
        <v>317</v>
      </c>
      <c r="AC43" s="8" t="s">
        <v>150</v>
      </c>
      <c r="AJ43" s="107" t="s">
        <v>57</v>
      </c>
      <c r="AK43" s="108"/>
      <c r="AL43" s="108"/>
      <c r="AO43" s="107"/>
      <c r="AP43" s="108"/>
      <c r="AQ43" s="108"/>
      <c r="AR43" s="108"/>
      <c r="AS43" s="108"/>
    </row>
    <row r="44" spans="1:45" ht="15.75">
      <c r="A44" s="1" t="s">
        <v>347</v>
      </c>
      <c r="C44" s="8"/>
      <c r="J44" s="57"/>
      <c r="K44" s="58"/>
      <c r="L44" s="59"/>
      <c r="O44" s="58"/>
      <c r="P44" s="104"/>
      <c r="Q44" s="104"/>
      <c r="R44" s="13" t="s">
        <v>319</v>
      </c>
      <c r="S44" s="13" t="s">
        <v>156</v>
      </c>
      <c r="V44" s="95"/>
      <c r="Z44" t="s">
        <v>481</v>
      </c>
      <c r="AA44" s="197">
        <v>0.105</v>
      </c>
      <c r="AB44" s="196">
        <v>317</v>
      </c>
      <c r="AC44" s="57" t="s">
        <v>196</v>
      </c>
      <c r="AJ44" s="107" t="s">
        <v>12</v>
      </c>
      <c r="AK44" s="107" t="s">
        <v>13</v>
      </c>
      <c r="AL44" s="107" t="s">
        <v>14</v>
      </c>
      <c r="AO44" s="107"/>
      <c r="AP44" s="107"/>
      <c r="AQ44" s="107"/>
      <c r="AR44" s="108"/>
      <c r="AS44" s="108"/>
    </row>
    <row r="45" spans="1:45" ht="15.75">
      <c r="A45" s="1"/>
      <c r="J45" s="57"/>
      <c r="K45" s="58"/>
      <c r="L45" s="59"/>
      <c r="O45" s="58"/>
      <c r="P45" s="104"/>
      <c r="Q45" s="104"/>
      <c r="R45" s="13" t="s">
        <v>320</v>
      </c>
      <c r="S45" s="13" t="s">
        <v>156</v>
      </c>
      <c r="V45" s="95"/>
      <c r="Z45" t="s">
        <v>450</v>
      </c>
      <c r="AA45" s="197">
        <v>0.11</v>
      </c>
      <c r="AB45" s="196">
        <v>317</v>
      </c>
      <c r="AC45" s="8" t="s">
        <v>196</v>
      </c>
      <c r="AJ45" s="193">
        <v>0</v>
      </c>
      <c r="AK45" s="194">
        <v>0.011</v>
      </c>
      <c r="AL45" s="195">
        <v>0</v>
      </c>
      <c r="AO45" s="109"/>
      <c r="AP45" s="110"/>
      <c r="AQ45" s="111"/>
      <c r="AR45" s="108"/>
      <c r="AS45" s="108"/>
    </row>
    <row r="46" spans="1:45" ht="15.75">
      <c r="A46" s="5" t="s">
        <v>53</v>
      </c>
      <c r="J46" s="57"/>
      <c r="K46" s="58"/>
      <c r="L46" s="59"/>
      <c r="M46" s="105"/>
      <c r="N46" s="105"/>
      <c r="O46" s="58"/>
      <c r="P46" s="104"/>
      <c r="Q46" s="104"/>
      <c r="R46" s="13" t="s">
        <v>305</v>
      </c>
      <c r="S46" s="13" t="s">
        <v>308</v>
      </c>
      <c r="V46" s="95"/>
      <c r="Z46" t="s">
        <v>451</v>
      </c>
      <c r="AA46" s="197">
        <v>0.11</v>
      </c>
      <c r="AB46" s="196">
        <v>317</v>
      </c>
      <c r="AC46" s="8" t="s">
        <v>150</v>
      </c>
      <c r="AJ46" s="193">
        <v>17629</v>
      </c>
      <c r="AK46" s="194">
        <v>0.022</v>
      </c>
      <c r="AL46" s="195">
        <v>193.92</v>
      </c>
      <c r="AO46" s="109"/>
      <c r="AP46" s="110"/>
      <c r="AQ46" s="111"/>
      <c r="AR46" s="108"/>
      <c r="AS46" s="108"/>
    </row>
    <row r="47" spans="1:45" ht="15.75">
      <c r="A47" s="1"/>
      <c r="J47" s="200" t="s">
        <v>561</v>
      </c>
      <c r="K47" s="200"/>
      <c r="L47" s="59"/>
      <c r="M47" s="200"/>
      <c r="N47" s="200"/>
      <c r="O47" s="58"/>
      <c r="R47" s="13" t="s">
        <v>306</v>
      </c>
      <c r="S47" s="13" t="s">
        <v>308</v>
      </c>
      <c r="V47" s="95"/>
      <c r="Z47" t="s">
        <v>452</v>
      </c>
      <c r="AA47" s="197">
        <v>0.11</v>
      </c>
      <c r="AB47" s="196">
        <v>317</v>
      </c>
      <c r="AC47" s="8" t="s">
        <v>196</v>
      </c>
      <c r="AJ47" s="193">
        <v>41768</v>
      </c>
      <c r="AK47" s="194">
        <v>0.044</v>
      </c>
      <c r="AL47" s="195">
        <v>724.98</v>
      </c>
      <c r="AO47" s="109"/>
      <c r="AP47" s="110"/>
      <c r="AQ47" s="111"/>
      <c r="AR47" s="108"/>
      <c r="AS47" s="108"/>
    </row>
    <row r="48" spans="1:45" ht="15.75">
      <c r="A48" s="100" t="s">
        <v>366</v>
      </c>
      <c r="J48" s="60" t="s">
        <v>26</v>
      </c>
      <c r="K48" s="50">
        <f>ROUND(Gross_Net-EPMC,2)</f>
        <v>11444.9</v>
      </c>
      <c r="L48" s="50" t="s">
        <v>292</v>
      </c>
      <c r="N48" s="50"/>
      <c r="O48" s="50"/>
      <c r="V48" s="95"/>
      <c r="W48" s="16"/>
      <c r="Z48" t="s">
        <v>562</v>
      </c>
      <c r="AA48" s="197">
        <v>0.06</v>
      </c>
      <c r="AB48" s="196">
        <v>317</v>
      </c>
      <c r="AC48" s="8" t="s">
        <v>150</v>
      </c>
      <c r="AJ48" s="193">
        <v>53843</v>
      </c>
      <c r="AK48" s="194">
        <v>0.066</v>
      </c>
      <c r="AL48" s="195">
        <v>1256.28</v>
      </c>
      <c r="AO48" s="109"/>
      <c r="AP48" s="110"/>
      <c r="AQ48" s="111"/>
      <c r="AR48" s="108"/>
      <c r="AS48" s="108"/>
    </row>
    <row r="49" spans="1:45" ht="15.75">
      <c r="A49" s="2" t="s">
        <v>367</v>
      </c>
      <c r="J49" s="60" t="s">
        <v>27</v>
      </c>
      <c r="K49" s="50">
        <f>(Reg_Net_Grs-REG_RETIREMENT_WH)</f>
        <v>3030.7584625</v>
      </c>
      <c r="L49" s="50" t="s">
        <v>293</v>
      </c>
      <c r="N49" s="50"/>
      <c r="O49" s="50"/>
      <c r="S49" s="13" t="s">
        <v>280</v>
      </c>
      <c r="U49" s="35"/>
      <c r="V49" s="95"/>
      <c r="W49" s="16"/>
      <c r="Z49" t="s">
        <v>465</v>
      </c>
      <c r="AA49" s="197">
        <v>0.11</v>
      </c>
      <c r="AB49" s="196">
        <v>317</v>
      </c>
      <c r="AC49" s="57" t="s">
        <v>150</v>
      </c>
      <c r="AJ49" s="193">
        <v>66636</v>
      </c>
      <c r="AK49" s="194">
        <v>0.088</v>
      </c>
      <c r="AL49" s="195">
        <v>2100.62</v>
      </c>
      <c r="AO49" s="109"/>
      <c r="AP49" s="110"/>
      <c r="AQ49" s="111"/>
      <c r="AR49" s="108"/>
      <c r="AS49" s="108"/>
    </row>
    <row r="50" spans="1:45" ht="15.75">
      <c r="A50" s="2"/>
      <c r="J50" s="60" t="s">
        <v>28</v>
      </c>
      <c r="K50" s="13">
        <f>(Reg_Net_Grs+IDL_Full)-M20</f>
        <v>11444.90474090909</v>
      </c>
      <c r="L50" s="13" t="s">
        <v>294</v>
      </c>
      <c r="R50" s="96" t="s">
        <v>286</v>
      </c>
      <c r="S50" s="13">
        <f>IF(AND(FEDE&lt;99,STE&lt;99,S2="S"),1,IF(AND(FEDE&lt;99,STE&lt;99,S2="M"),2,IF(AND(FEDE&lt;99,STE&lt;99,S2="N"),3,IF(AND(FEDE=99,STE=99,S2="S"),4,IF(AND(FEDE=99,STE=99,S2="M"),5,IF(AND(FEDE=99,STE=99,S2="N"),6,0))))))</f>
        <v>1</v>
      </c>
      <c r="T50" s="53">
        <f>IF(S50&gt;0,VLOOKUP(S50,Mand_Hold_Factor,2),VLOOKUP(S51,Mand_Hold_Factor,2))</f>
        <v>0.6375</v>
      </c>
      <c r="V50" s="95"/>
      <c r="W50" s="16"/>
      <c r="Z50" t="s">
        <v>466</v>
      </c>
      <c r="AA50" s="197">
        <v>0.11</v>
      </c>
      <c r="AB50" s="196">
        <v>317</v>
      </c>
      <c r="AC50" s="57" t="s">
        <v>196</v>
      </c>
      <c r="AJ50" s="193">
        <v>78710</v>
      </c>
      <c r="AK50" s="194">
        <v>0.1023</v>
      </c>
      <c r="AL50" s="195">
        <v>3163.13</v>
      </c>
      <c r="AO50" s="109"/>
      <c r="AP50" s="110"/>
      <c r="AQ50" s="111"/>
      <c r="AR50" s="108"/>
      <c r="AS50" s="108"/>
    </row>
    <row r="51" spans="1:45" ht="15.75">
      <c r="A51" s="2" t="s">
        <v>323</v>
      </c>
      <c r="J51" s="60" t="s">
        <v>29</v>
      </c>
      <c r="K51" s="13">
        <f>Salary_Rate</f>
        <v>12211</v>
      </c>
      <c r="L51" s="13" t="s">
        <v>295</v>
      </c>
      <c r="R51" s="96" t="s">
        <v>287</v>
      </c>
      <c r="S51" s="13">
        <f>IF(AND(FEDE&lt;99,STE=99,S2="S"),7,IF(AND(FEDE&lt;99,STE=99,S2="M"),8,IF(AND(FEDE&lt;99,STE=99,S2="N"),9,IF(AND(FEDE=99,STE&lt;99,S2="S"),10,IF(AND(FEDE=99,STE&lt;99,S2="M"),11,IF(AND(FEDE=99,STE&lt;99,S2="N"),12,0))))))</f>
        <v>0</v>
      </c>
      <c r="V51" s="95"/>
      <c r="Z51" t="s">
        <v>480</v>
      </c>
      <c r="AA51" s="197">
        <v>0.11</v>
      </c>
      <c r="AB51" s="196">
        <v>317</v>
      </c>
      <c r="AC51" s="57" t="s">
        <v>150</v>
      </c>
      <c r="AJ51" s="193">
        <v>401705</v>
      </c>
      <c r="AK51" s="194">
        <v>0.1133</v>
      </c>
      <c r="AL51" s="195">
        <v>36205.52</v>
      </c>
      <c r="AO51" s="109"/>
      <c r="AP51" s="110"/>
      <c r="AQ51" s="111"/>
      <c r="AR51" s="108"/>
      <c r="AS51" s="108"/>
    </row>
    <row r="52" spans="1:45" ht="15.75">
      <c r="A52" s="2" t="s">
        <v>377</v>
      </c>
      <c r="J52" s="60" t="s">
        <v>30</v>
      </c>
      <c r="K52" s="13">
        <f>Salary_Rate</f>
        <v>12211</v>
      </c>
      <c r="L52" s="13" t="s">
        <v>295</v>
      </c>
      <c r="R52" s="13" t="s">
        <v>265</v>
      </c>
      <c r="S52" s="13">
        <v>1</v>
      </c>
      <c r="T52" s="16">
        <v>0.6375</v>
      </c>
      <c r="U52" s="6" t="s">
        <v>282</v>
      </c>
      <c r="V52" s="95"/>
      <c r="Z52" t="s">
        <v>500</v>
      </c>
      <c r="AA52" s="197">
        <v>0.135</v>
      </c>
      <c r="AB52" s="196">
        <v>317</v>
      </c>
      <c r="AC52" s="57" t="s">
        <v>196</v>
      </c>
      <c r="AJ52" s="193">
        <v>482047</v>
      </c>
      <c r="AK52" s="194">
        <v>0.1243</v>
      </c>
      <c r="AL52" s="195">
        <v>45308.27</v>
      </c>
      <c r="AO52" s="109"/>
      <c r="AP52" s="110"/>
      <c r="AQ52" s="111"/>
      <c r="AR52" s="108"/>
      <c r="AS52" s="108"/>
    </row>
    <row r="53" spans="1:45" ht="15.75">
      <c r="A53" s="2" t="s">
        <v>363</v>
      </c>
      <c r="J53" s="60" t="s">
        <v>33</v>
      </c>
      <c r="K53" s="13">
        <f>Salary_Rate</f>
        <v>12211</v>
      </c>
      <c r="L53" s="13" t="s">
        <v>295</v>
      </c>
      <c r="R53" s="13" t="s">
        <v>281</v>
      </c>
      <c r="S53" s="13">
        <v>2</v>
      </c>
      <c r="T53" s="16">
        <v>0.6995</v>
      </c>
      <c r="U53" s="6" t="s">
        <v>282</v>
      </c>
      <c r="V53" s="95"/>
      <c r="Z53" t="s">
        <v>501</v>
      </c>
      <c r="AA53" s="197">
        <v>0.135</v>
      </c>
      <c r="AB53" s="196">
        <v>317</v>
      </c>
      <c r="AC53" s="57" t="s">
        <v>150</v>
      </c>
      <c r="AJ53" s="193">
        <v>803410</v>
      </c>
      <c r="AK53" s="194">
        <v>0.1353</v>
      </c>
      <c r="AL53" s="195">
        <v>85253.69</v>
      </c>
      <c r="AO53" s="109"/>
      <c r="AP53" s="110"/>
      <c r="AQ53" s="111"/>
      <c r="AR53" s="108"/>
      <c r="AS53" s="108"/>
    </row>
    <row r="54" spans="1:45" ht="15.75">
      <c r="A54" s="2" t="s">
        <v>324</v>
      </c>
      <c r="J54" s="14"/>
      <c r="K54" s="50"/>
      <c r="R54" s="13" t="s">
        <v>351</v>
      </c>
      <c r="S54" s="13">
        <v>3</v>
      </c>
      <c r="T54" s="16">
        <v>0.714</v>
      </c>
      <c r="U54" s="6" t="s">
        <v>282</v>
      </c>
      <c r="V54" s="95"/>
      <c r="Z54" t="s">
        <v>630</v>
      </c>
      <c r="AA54" s="197">
        <v>0.1</v>
      </c>
      <c r="AB54" s="196">
        <v>317</v>
      </c>
      <c r="AC54" s="8" t="s">
        <v>150</v>
      </c>
      <c r="AJ54" s="193">
        <v>1000000</v>
      </c>
      <c r="AK54" s="194">
        <v>0.1463</v>
      </c>
      <c r="AL54" s="195">
        <v>111852.32</v>
      </c>
      <c r="AO54" s="109"/>
      <c r="AP54" s="110"/>
      <c r="AQ54" s="111"/>
      <c r="AR54" s="108"/>
      <c r="AS54" s="108"/>
    </row>
    <row r="55" spans="1:45" ht="15.75">
      <c r="A55" s="4"/>
      <c r="J55" s="65" t="s">
        <v>34</v>
      </c>
      <c r="M55" s="64"/>
      <c r="R55" s="13" t="s">
        <v>265</v>
      </c>
      <c r="S55" s="13">
        <v>4</v>
      </c>
      <c r="T55" s="16">
        <v>0.9235</v>
      </c>
      <c r="U55" s="6" t="s">
        <v>283</v>
      </c>
      <c r="Z55" t="s">
        <v>631</v>
      </c>
      <c r="AA55" s="197">
        <v>0</v>
      </c>
      <c r="AB55" s="196">
        <v>0</v>
      </c>
      <c r="AC55" s="8" t="s">
        <v>150</v>
      </c>
      <c r="AJ55" s="193">
        <v>9999999</v>
      </c>
      <c r="AK55" s="194">
        <v>0.1463</v>
      </c>
      <c r="AL55" s="195">
        <v>111852.32</v>
      </c>
      <c r="AO55" s="109"/>
      <c r="AP55" s="110"/>
      <c r="AQ55" s="111"/>
      <c r="AR55" s="108"/>
      <c r="AS55" s="108"/>
    </row>
    <row r="56" spans="1:45" ht="15.75">
      <c r="A56" s="101" t="s">
        <v>368</v>
      </c>
      <c r="J56" s="65" t="s">
        <v>35</v>
      </c>
      <c r="K56" s="13">
        <f>IF(PayFreq="M",12,IF(PayFreq="S",24,IF(PayFreq="B",26,0)))</f>
        <v>12</v>
      </c>
      <c r="L56" s="17"/>
      <c r="M56" s="64"/>
      <c r="R56" s="13" t="s">
        <v>281</v>
      </c>
      <c r="S56" s="13">
        <v>5</v>
      </c>
      <c r="T56" s="16">
        <v>0.9855</v>
      </c>
      <c r="U56" s="6" t="s">
        <v>283</v>
      </c>
      <c r="Z56" t="s">
        <v>632</v>
      </c>
      <c r="AA56" s="197">
        <v>0</v>
      </c>
      <c r="AB56" s="196">
        <v>0</v>
      </c>
      <c r="AC56" s="8" t="s">
        <v>150</v>
      </c>
      <c r="AO56" s="108"/>
      <c r="AP56" s="108"/>
      <c r="AQ56" s="108"/>
      <c r="AR56" s="108"/>
      <c r="AS56" s="108"/>
    </row>
    <row r="57" spans="1:45" ht="15.75">
      <c r="A57" s="4"/>
      <c r="J57" s="65" t="s">
        <v>36</v>
      </c>
      <c r="K57" s="13">
        <f>(FEDE*FEDEXMPT1)</f>
        <v>43000</v>
      </c>
      <c r="L57" s="17"/>
      <c r="M57" s="64"/>
      <c r="R57" s="13" t="s">
        <v>351</v>
      </c>
      <c r="S57" s="13">
        <v>6</v>
      </c>
      <c r="T57" s="16">
        <v>1</v>
      </c>
      <c r="U57" s="6" t="s">
        <v>283</v>
      </c>
      <c r="V57" s="17"/>
      <c r="Z57" t="s">
        <v>633</v>
      </c>
      <c r="AA57" s="197">
        <v>0.06</v>
      </c>
      <c r="AB57" s="196">
        <v>317</v>
      </c>
      <c r="AC57" s="8" t="s">
        <v>150</v>
      </c>
      <c r="AJ57" s="8" t="s">
        <v>70</v>
      </c>
      <c r="AO57" s="107"/>
      <c r="AP57" s="108"/>
      <c r="AQ57" s="108"/>
      <c r="AR57" s="108"/>
      <c r="AS57" s="108"/>
    </row>
    <row r="58" spans="1:45" ht="15.75">
      <c r="A58" s="101" t="s">
        <v>341</v>
      </c>
      <c r="J58" s="65" t="s">
        <v>37</v>
      </c>
      <c r="M58" s="64"/>
      <c r="R58" s="13" t="s">
        <v>265</v>
      </c>
      <c r="S58" s="13">
        <v>7</v>
      </c>
      <c r="T58" s="16">
        <v>0.7035</v>
      </c>
      <c r="U58" s="6" t="s">
        <v>284</v>
      </c>
      <c r="Z58" t="s">
        <v>634</v>
      </c>
      <c r="AA58" s="197">
        <v>0.08</v>
      </c>
      <c r="AB58" s="196">
        <v>513</v>
      </c>
      <c r="AC58" s="8" t="s">
        <v>197</v>
      </c>
      <c r="AJ58" s="8" t="s">
        <v>72</v>
      </c>
      <c r="AK58" s="8" t="s">
        <v>73</v>
      </c>
      <c r="AO58" s="107"/>
      <c r="AP58" s="107"/>
      <c r="AQ58" s="108"/>
      <c r="AR58" s="108"/>
      <c r="AS58" s="108"/>
    </row>
    <row r="59" spans="1:45" ht="15.75">
      <c r="A59" s="4"/>
      <c r="J59" s="65" t="s">
        <v>38</v>
      </c>
      <c r="K59" s="13">
        <f>(PAYFACT*TG1)</f>
        <v>137338.8</v>
      </c>
      <c r="L59" s="17"/>
      <c r="M59" s="64"/>
      <c r="R59" s="13" t="s">
        <v>281</v>
      </c>
      <c r="S59" s="13">
        <v>8</v>
      </c>
      <c r="T59" s="16">
        <v>0.7655</v>
      </c>
      <c r="U59" s="6" t="s">
        <v>284</v>
      </c>
      <c r="Z59" t="s">
        <v>635</v>
      </c>
      <c r="AA59" s="197">
        <v>0.125</v>
      </c>
      <c r="AB59" s="196">
        <v>513</v>
      </c>
      <c r="AC59" s="8" t="s">
        <v>197</v>
      </c>
      <c r="AJ59" s="8" t="s">
        <v>75</v>
      </c>
      <c r="AK59" s="6">
        <v>0</v>
      </c>
      <c r="AL59" s="6">
        <v>1</v>
      </c>
      <c r="AM59" s="6">
        <v>2</v>
      </c>
      <c r="AN59" s="32" t="s">
        <v>76</v>
      </c>
      <c r="AO59" s="107"/>
      <c r="AP59" s="108"/>
      <c r="AQ59" s="108"/>
      <c r="AR59" s="108"/>
      <c r="AS59" s="112"/>
    </row>
    <row r="60" spans="1:45" ht="15.75">
      <c r="A60" s="101" t="s">
        <v>342</v>
      </c>
      <c r="J60" s="65" t="s">
        <v>39</v>
      </c>
      <c r="K60" s="97">
        <f>ROUND(PAYFACT*TG2,2)</f>
        <v>36369.1</v>
      </c>
      <c r="L60" s="17"/>
      <c r="M60" s="64"/>
      <c r="R60" s="13" t="s">
        <v>351</v>
      </c>
      <c r="S60" s="13">
        <v>9</v>
      </c>
      <c r="T60" s="16">
        <v>0.78</v>
      </c>
      <c r="U60" s="6" t="s">
        <v>284</v>
      </c>
      <c r="Z60" t="s">
        <v>636</v>
      </c>
      <c r="AA60" s="197">
        <v>0.08</v>
      </c>
      <c r="AB60" s="196">
        <v>513</v>
      </c>
      <c r="AC60" s="8" t="s">
        <v>197</v>
      </c>
      <c r="AJ60" s="8" t="s">
        <v>20</v>
      </c>
      <c r="AK60" s="6">
        <v>0</v>
      </c>
      <c r="AL60" s="185">
        <v>134.2</v>
      </c>
      <c r="AM60" s="185">
        <v>268.4</v>
      </c>
      <c r="AN60" s="185">
        <v>134.2</v>
      </c>
      <c r="AO60" s="107"/>
      <c r="AP60" s="108"/>
      <c r="AQ60" s="108"/>
      <c r="AR60" s="108"/>
      <c r="AS60" s="108"/>
    </row>
    <row r="61" spans="1:45" ht="15.75">
      <c r="A61" s="4" t="s">
        <v>352</v>
      </c>
      <c r="J61" s="65" t="s">
        <v>40</v>
      </c>
      <c r="K61" s="13">
        <f>(PAYFACT*TG3)</f>
        <v>137338.85689090908</v>
      </c>
      <c r="L61" s="17"/>
      <c r="M61" s="64"/>
      <c r="R61" s="13" t="s">
        <v>265</v>
      </c>
      <c r="S61" s="13">
        <v>10</v>
      </c>
      <c r="T61" s="16">
        <v>0.8575</v>
      </c>
      <c r="U61" s="6" t="s">
        <v>285</v>
      </c>
      <c r="Z61" t="s">
        <v>415</v>
      </c>
      <c r="AA61" s="197">
        <v>0.11</v>
      </c>
      <c r="AB61" s="196">
        <v>317</v>
      </c>
      <c r="AC61" s="8" t="s">
        <v>196</v>
      </c>
      <c r="AJ61" s="8" t="s">
        <v>78</v>
      </c>
      <c r="AK61" s="6">
        <v>0</v>
      </c>
      <c r="AL61" s="185">
        <v>134.2</v>
      </c>
      <c r="AM61" s="185">
        <v>268.4</v>
      </c>
      <c r="AN61" s="185">
        <v>134.2</v>
      </c>
      <c r="AO61" s="107"/>
      <c r="AP61" s="108"/>
      <c r="AQ61" s="108"/>
      <c r="AR61" s="108"/>
      <c r="AS61" s="108"/>
    </row>
    <row r="62" spans="1:29" ht="15.75">
      <c r="A62" s="4" t="s">
        <v>343</v>
      </c>
      <c r="J62" s="65" t="s">
        <v>41</v>
      </c>
      <c r="K62" s="13">
        <f>(PAYFACT*TG4)</f>
        <v>146532</v>
      </c>
      <c r="L62" s="17"/>
      <c r="M62" s="64"/>
      <c r="R62" s="13" t="s">
        <v>281</v>
      </c>
      <c r="S62" s="13">
        <v>11</v>
      </c>
      <c r="T62" s="16">
        <v>0.9195</v>
      </c>
      <c r="U62" s="6" t="s">
        <v>285</v>
      </c>
      <c r="Z62" t="s">
        <v>416</v>
      </c>
      <c r="AA62" s="197">
        <v>0.11</v>
      </c>
      <c r="AB62" s="196">
        <v>317</v>
      </c>
      <c r="AC62" s="8" t="s">
        <v>150</v>
      </c>
    </row>
    <row r="63" spans="1:29" ht="15.75">
      <c r="A63" s="4"/>
      <c r="J63" s="65" t="s">
        <v>42</v>
      </c>
      <c r="K63" s="13">
        <f>(PAYFACT*TG5)</f>
        <v>146532</v>
      </c>
      <c r="L63" s="17"/>
      <c r="M63" s="64"/>
      <c r="R63" s="13" t="s">
        <v>351</v>
      </c>
      <c r="S63" s="13">
        <v>12</v>
      </c>
      <c r="T63" s="16">
        <v>0.934</v>
      </c>
      <c r="U63" s="6" t="s">
        <v>285</v>
      </c>
      <c r="Z63" t="s">
        <v>417</v>
      </c>
      <c r="AA63" s="197">
        <v>0.1</v>
      </c>
      <c r="AB63" s="196">
        <v>513</v>
      </c>
      <c r="AC63" s="8" t="s">
        <v>197</v>
      </c>
    </row>
    <row r="64" spans="1:29" ht="15.75">
      <c r="A64" s="101" t="s">
        <v>548</v>
      </c>
      <c r="J64" s="65" t="s">
        <v>43</v>
      </c>
      <c r="K64" s="13">
        <f>(PAYFACT*TG6)</f>
        <v>146532</v>
      </c>
      <c r="L64" s="17"/>
      <c r="M64" s="64"/>
      <c r="Z64" t="s">
        <v>418</v>
      </c>
      <c r="AA64" s="197">
        <v>0.1</v>
      </c>
      <c r="AB64" s="196">
        <v>513</v>
      </c>
      <c r="AC64" s="8" t="s">
        <v>197</v>
      </c>
    </row>
    <row r="65" spans="1:29" ht="15.75">
      <c r="A65" s="4"/>
      <c r="C65" s="8"/>
      <c r="J65" s="14"/>
      <c r="Z65" t="s">
        <v>419</v>
      </c>
      <c r="AA65" s="197">
        <v>0.1</v>
      </c>
      <c r="AB65" s="196">
        <v>513</v>
      </c>
      <c r="AC65" s="8" t="s">
        <v>197</v>
      </c>
    </row>
    <row r="66" spans="1:29" ht="15.75">
      <c r="A66" s="100" t="s">
        <v>348</v>
      </c>
      <c r="J66" s="65" t="s">
        <v>44</v>
      </c>
      <c r="M66" s="64"/>
      <c r="T66" s="17"/>
      <c r="Z66" t="s">
        <v>420</v>
      </c>
      <c r="AA66" s="197">
        <v>0.1</v>
      </c>
      <c r="AB66" s="196">
        <v>513</v>
      </c>
      <c r="AC66" s="8" t="s">
        <v>197</v>
      </c>
    </row>
    <row r="67" spans="1:30" ht="15.75">
      <c r="A67" s="100"/>
      <c r="J67" s="65" t="s">
        <v>46</v>
      </c>
      <c r="K67" s="13">
        <f>ROUND(FAN1-FEDEXM,2)</f>
        <v>94338.8</v>
      </c>
      <c r="L67" s="17"/>
      <c r="M67" s="64"/>
      <c r="T67" s="17"/>
      <c r="Z67" t="s">
        <v>421</v>
      </c>
      <c r="AA67" s="197">
        <v>0.1</v>
      </c>
      <c r="AB67" s="196">
        <v>513</v>
      </c>
      <c r="AC67" s="8" t="s">
        <v>197</v>
      </c>
      <c r="AD67" s="115"/>
    </row>
    <row r="68" spans="1:30" ht="15.75">
      <c r="A68" s="102" t="s">
        <v>369</v>
      </c>
      <c r="J68" s="65" t="s">
        <v>47</v>
      </c>
      <c r="K68" s="97">
        <f>(K60-FEDEXM)</f>
        <v>-6630.9000000000015</v>
      </c>
      <c r="L68" s="17"/>
      <c r="M68" s="64"/>
      <c r="Z68" t="s">
        <v>422</v>
      </c>
      <c r="AA68" s="197">
        <v>0.1</v>
      </c>
      <c r="AB68" s="196">
        <v>513</v>
      </c>
      <c r="AC68" s="8" t="s">
        <v>197</v>
      </c>
      <c r="AD68" s="115"/>
    </row>
    <row r="69" spans="1:30" ht="15.75">
      <c r="A69" s="1" t="s">
        <v>549</v>
      </c>
      <c r="J69" s="65" t="s">
        <v>48</v>
      </c>
      <c r="K69" s="13">
        <f>(K61-FEDEXM)</f>
        <v>94338.85689090908</v>
      </c>
      <c r="L69" s="17"/>
      <c r="M69" s="64"/>
      <c r="Z69" t="s">
        <v>493</v>
      </c>
      <c r="AA69" s="197">
        <v>0.08</v>
      </c>
      <c r="AB69" s="196">
        <v>513</v>
      </c>
      <c r="AC69" s="8" t="s">
        <v>197</v>
      </c>
      <c r="AD69" s="115"/>
    </row>
    <row r="70" spans="1:30" ht="15.75">
      <c r="A70" s="1"/>
      <c r="J70" s="65" t="s">
        <v>49</v>
      </c>
      <c r="K70" s="13">
        <f>(K62-FEDEXM)</f>
        <v>103532</v>
      </c>
      <c r="L70" s="17"/>
      <c r="M70" s="64"/>
      <c r="T70" s="17"/>
      <c r="Z70" t="s">
        <v>423</v>
      </c>
      <c r="AA70" s="197">
        <v>0.1</v>
      </c>
      <c r="AB70" s="196">
        <v>513</v>
      </c>
      <c r="AC70" s="8" t="s">
        <v>197</v>
      </c>
      <c r="AD70" s="115"/>
    </row>
    <row r="71" spans="1:30" ht="15.75">
      <c r="A71" s="100" t="s">
        <v>353</v>
      </c>
      <c r="J71" s="65" t="s">
        <v>50</v>
      </c>
      <c r="K71" s="13">
        <f>(K63-FEDEXM)</f>
        <v>103532</v>
      </c>
      <c r="L71" s="17"/>
      <c r="M71" s="64"/>
      <c r="T71" s="17"/>
      <c r="Z71" t="s">
        <v>443</v>
      </c>
      <c r="AA71" s="197">
        <v>0.09</v>
      </c>
      <c r="AB71" s="196">
        <v>317</v>
      </c>
      <c r="AC71" s="8" t="s">
        <v>196</v>
      </c>
      <c r="AD71" s="115"/>
    </row>
    <row r="72" spans="1:30" ht="15.75">
      <c r="A72" s="1" t="s">
        <v>370</v>
      </c>
      <c r="J72" s="65" t="s">
        <v>51</v>
      </c>
      <c r="K72" s="13">
        <f>(K64-FEDEXM)</f>
        <v>103532</v>
      </c>
      <c r="L72" s="17"/>
      <c r="M72" s="64"/>
      <c r="T72" s="17"/>
      <c r="Z72" t="s">
        <v>424</v>
      </c>
      <c r="AA72" s="197">
        <v>0.1</v>
      </c>
      <c r="AB72" s="196">
        <v>513</v>
      </c>
      <c r="AC72" s="8" t="s">
        <v>197</v>
      </c>
      <c r="AD72" s="115"/>
    </row>
    <row r="73" spans="1:30" ht="15.75">
      <c r="A73" s="1" t="s">
        <v>371</v>
      </c>
      <c r="J73" s="14"/>
      <c r="T73" s="17"/>
      <c r="Z73" t="s">
        <v>445</v>
      </c>
      <c r="AA73" s="197">
        <v>0.08</v>
      </c>
      <c r="AB73" s="196">
        <v>513</v>
      </c>
      <c r="AC73" s="8" t="s">
        <v>197</v>
      </c>
      <c r="AD73" s="115"/>
    </row>
    <row r="74" spans="1:30" ht="15.75">
      <c r="A74" s="1"/>
      <c r="J74" s="65" t="s">
        <v>52</v>
      </c>
      <c r="M74" s="64"/>
      <c r="T74" s="17"/>
      <c r="Z74" t="s">
        <v>506</v>
      </c>
      <c r="AA74" s="197">
        <v>0.0725</v>
      </c>
      <c r="AB74" s="196">
        <v>0</v>
      </c>
      <c r="AC74" s="8" t="s">
        <v>197</v>
      </c>
      <c r="AD74" s="115"/>
    </row>
    <row r="75" spans="1:30" ht="15.75">
      <c r="A75" s="100" t="s">
        <v>372</v>
      </c>
      <c r="J75" s="65" t="s">
        <v>54</v>
      </c>
      <c r="K75" s="13">
        <f>IF(OR(FEDM="S",FEDM="H"),VLOOKUP(FTG1,FTXTBLSH1,1),IF(FEDM="M",VLOOKUP(FTG1,FTXTBLM1,1),0))</f>
        <v>89325</v>
      </c>
      <c r="L75" s="17"/>
      <c r="M75" s="64"/>
      <c r="T75" s="17"/>
      <c r="Z75" t="s">
        <v>563</v>
      </c>
      <c r="AA75" s="197">
        <v>0.125</v>
      </c>
      <c r="AB75" s="196">
        <v>513</v>
      </c>
      <c r="AC75" s="8" t="s">
        <v>197</v>
      </c>
      <c r="AD75" s="115"/>
    </row>
    <row r="76" spans="1:30" ht="15.75">
      <c r="A76" s="1" t="s">
        <v>457</v>
      </c>
      <c r="J76" s="65" t="s">
        <v>55</v>
      </c>
      <c r="K76" s="13">
        <f>IF(OR(FEDM="S",FEDM="H"),VLOOKUP(K68,FTXTBLSH1,1),IF(FEDM="M",VLOOKUP(K68,FTXTBLM1,1),0))</f>
        <v>-999999</v>
      </c>
      <c r="L76" s="17"/>
      <c r="M76" s="64"/>
      <c r="Z76" t="s">
        <v>425</v>
      </c>
      <c r="AA76" s="197">
        <v>0.08</v>
      </c>
      <c r="AB76" s="196">
        <v>513</v>
      </c>
      <c r="AC76" s="8" t="s">
        <v>197</v>
      </c>
      <c r="AD76" s="115"/>
    </row>
    <row r="77" spans="1:30" ht="15.75">
      <c r="A77" s="1" t="s">
        <v>325</v>
      </c>
      <c r="J77" s="65" t="s">
        <v>56</v>
      </c>
      <c r="K77" s="13">
        <f>IF(OR(FEDM="S",FEDM="H"),VLOOKUP(K69,FTXTBLSH1,1),IF(FEDM="M",VLOOKUP(K69,FTXTBLM1,1),0))</f>
        <v>89325</v>
      </c>
      <c r="L77" s="17"/>
      <c r="M77" s="64"/>
      <c r="Z77" t="s">
        <v>473</v>
      </c>
      <c r="AA77" s="197">
        <v>0.1</v>
      </c>
      <c r="AB77" s="196">
        <v>317</v>
      </c>
      <c r="AC77" s="57" t="s">
        <v>196</v>
      </c>
      <c r="AD77" s="115"/>
    </row>
    <row r="78" spans="1:30" ht="15.75">
      <c r="A78" s="4" t="s">
        <v>326</v>
      </c>
      <c r="J78" s="65" t="s">
        <v>385</v>
      </c>
      <c r="K78" s="13">
        <f>IF(OR(FEDM="S",FEDM="H"),VLOOKUP(K70,FTXTBLSH1,1),IF(FEDM="M",VLOOKUP(K70,FTXTBLM1,1),0))</f>
        <v>89325</v>
      </c>
      <c r="L78" s="17"/>
      <c r="M78" s="64"/>
      <c r="T78" s="17"/>
      <c r="Z78" t="s">
        <v>446</v>
      </c>
      <c r="AA78" s="197">
        <v>0.08</v>
      </c>
      <c r="AB78" s="196">
        <v>513</v>
      </c>
      <c r="AC78" s="8" t="s">
        <v>197</v>
      </c>
      <c r="AD78" s="115"/>
    </row>
    <row r="79" spans="1:30" ht="15.75">
      <c r="A79" s="101"/>
      <c r="J79" s="65" t="s">
        <v>386</v>
      </c>
      <c r="K79" s="13">
        <f>IF(OR(FEDM="S",FEDM="H"),VLOOKUP(K71,FTXTBLSH1,1),IF(FEDM="M",VLOOKUP(K71,FTXTBLM1,1),0))</f>
        <v>89325</v>
      </c>
      <c r="L79" s="17"/>
      <c r="M79" s="64"/>
      <c r="T79" s="17"/>
      <c r="Z79" t="s">
        <v>458</v>
      </c>
      <c r="AA79" s="197">
        <v>0.09</v>
      </c>
      <c r="AB79" s="196">
        <v>317</v>
      </c>
      <c r="AC79" s="8" t="s">
        <v>196</v>
      </c>
      <c r="AD79" s="57"/>
    </row>
    <row r="80" spans="1:30" ht="15.75">
      <c r="A80" s="101" t="s">
        <v>373</v>
      </c>
      <c r="J80" s="65" t="s">
        <v>387</v>
      </c>
      <c r="K80" s="13">
        <f>IF(OR(FEDM="S",FEDM="H"),VLOOKUP(K72,FTXTBLSH1,1),IF(FEDM="M",VLOOKUP(K72,FTXTBLM1,1),0))</f>
        <v>89325</v>
      </c>
      <c r="L80" s="17"/>
      <c r="M80" s="64"/>
      <c r="T80" s="17"/>
      <c r="Z80" t="s">
        <v>459</v>
      </c>
      <c r="AA80" s="197">
        <v>0.09</v>
      </c>
      <c r="AB80" s="196">
        <v>317</v>
      </c>
      <c r="AC80" s="8" t="s">
        <v>150</v>
      </c>
      <c r="AD80" s="57"/>
    </row>
    <row r="81" spans="1:30" ht="15.75">
      <c r="A81" s="3"/>
      <c r="J81" s="14"/>
      <c r="T81" s="17"/>
      <c r="Z81" t="s">
        <v>564</v>
      </c>
      <c r="AA81" s="197">
        <v>0.06</v>
      </c>
      <c r="AB81" s="196">
        <v>317</v>
      </c>
      <c r="AC81" s="8" t="s">
        <v>196</v>
      </c>
      <c r="AD81" s="57"/>
    </row>
    <row r="82" spans="1:30" ht="15.75">
      <c r="A82" s="101" t="s">
        <v>344</v>
      </c>
      <c r="J82" s="65" t="s">
        <v>58</v>
      </c>
      <c r="M82" s="64"/>
      <c r="T82" s="17"/>
      <c r="Z82" t="s">
        <v>444</v>
      </c>
      <c r="AA82" s="197">
        <v>0.09</v>
      </c>
      <c r="AB82" s="196">
        <v>317</v>
      </c>
      <c r="AC82" s="8" t="s">
        <v>150</v>
      </c>
      <c r="AD82" s="57"/>
    </row>
    <row r="83" spans="1:30" ht="15.75">
      <c r="A83" s="4" t="s">
        <v>327</v>
      </c>
      <c r="J83" s="65" t="s">
        <v>59</v>
      </c>
      <c r="K83" s="13">
        <f>IF(OR(FEDM="S",FEDM="H"),VLOOKUP(FTG1,FTXTBLSH1,2),IF(FEDM="M",VLOOKUP(FTG1,FTXTBLM1,2),0))</f>
        <v>0.24</v>
      </c>
      <c r="L83" s="17"/>
      <c r="M83" s="64"/>
      <c r="T83" s="17"/>
      <c r="Z83" t="s">
        <v>474</v>
      </c>
      <c r="AA83" s="197">
        <v>0.09</v>
      </c>
      <c r="AB83" s="196">
        <v>513</v>
      </c>
      <c r="AC83" s="57" t="s">
        <v>197</v>
      </c>
      <c r="AD83" s="57"/>
    </row>
    <row r="84" spans="1:30" ht="15.75">
      <c r="A84" s="2" t="s">
        <v>374</v>
      </c>
      <c r="J84" s="65" t="s">
        <v>60</v>
      </c>
      <c r="K84" s="13">
        <f>IF(OR(FEDM="S",FEDM="H"),VLOOKUP(K68,FTXTBLSH1,2),IF(FEDM="M",VLOOKUP(K68,FTXTBLM1,2),0))</f>
        <v>0</v>
      </c>
      <c r="L84" s="17"/>
      <c r="M84" s="64"/>
      <c r="Z84" t="s">
        <v>475</v>
      </c>
      <c r="AA84" s="197">
        <v>0.08</v>
      </c>
      <c r="AB84" s="196">
        <v>513</v>
      </c>
      <c r="AC84" s="57" t="s">
        <v>197</v>
      </c>
      <c r="AD84" s="57"/>
    </row>
    <row r="85" spans="1:30" ht="15.75">
      <c r="A85" s="1" t="s">
        <v>375</v>
      </c>
      <c r="J85" s="65" t="s">
        <v>61</v>
      </c>
      <c r="K85" s="13">
        <f>IF(OR(FEDM="S",FEDM="H"),VLOOKUP(K69,FTXTBLSH1,2),IF(FEDM="M",VLOOKUP(K69,FTXTBLM1,2),0))</f>
        <v>0.24</v>
      </c>
      <c r="L85" s="17"/>
      <c r="M85" s="64"/>
      <c r="Z85" t="s">
        <v>461</v>
      </c>
      <c r="AA85" s="197">
        <v>0.08</v>
      </c>
      <c r="AB85" s="196">
        <v>513</v>
      </c>
      <c r="AC85" s="57" t="s">
        <v>197</v>
      </c>
      <c r="AD85" s="57"/>
    </row>
    <row r="86" spans="1:30" ht="15.75">
      <c r="A86" s="1"/>
      <c r="J86" s="65" t="s">
        <v>62</v>
      </c>
      <c r="K86" s="13">
        <f>IF(OR(FEDM="S",FEDM="H"),VLOOKUP(K70,FTXTBLSH1,2),IF(FEDM="M",VLOOKUP(K70,FTXTBLM1,2),0))</f>
        <v>0.24</v>
      </c>
      <c r="L86" s="17"/>
      <c r="M86" s="64"/>
      <c r="T86" s="17"/>
      <c r="Z86" t="s">
        <v>565</v>
      </c>
      <c r="AA86" s="197">
        <v>0.05</v>
      </c>
      <c r="AB86" s="196">
        <v>513</v>
      </c>
      <c r="AC86" s="57" t="s">
        <v>197</v>
      </c>
      <c r="AD86" s="57"/>
    </row>
    <row r="87" spans="1:30" ht="15.75">
      <c r="A87" s="100" t="s">
        <v>550</v>
      </c>
      <c r="J87" s="65" t="s">
        <v>63</v>
      </c>
      <c r="K87" s="13">
        <f>IF(OR(FEDM="S",FEDM="H"),VLOOKUP(K71,FTXTBLSH1,2),IF(FEDM="M",VLOOKUP(K71,FTXTBLM1,2),0))</f>
        <v>0.24</v>
      </c>
      <c r="L87" s="17"/>
      <c r="M87" s="64"/>
      <c r="T87" s="17"/>
      <c r="Z87" t="s">
        <v>637</v>
      </c>
      <c r="AA87" s="197">
        <v>0.105</v>
      </c>
      <c r="AB87" s="196">
        <v>317</v>
      </c>
      <c r="AC87" s="8" t="s">
        <v>196</v>
      </c>
      <c r="AD87" s="57"/>
    </row>
    <row r="88" spans="1:30" ht="15.75">
      <c r="A88" s="1" t="s">
        <v>378</v>
      </c>
      <c r="J88" s="65" t="s">
        <v>64</v>
      </c>
      <c r="K88" s="13">
        <f>IF(OR(FEDM="S",FEDM="H"),VLOOKUP(K72,FTXTBLSH1,2),IF(FEDM="M",VLOOKUP(K72,FTXTBLM1,2),0))</f>
        <v>0.24</v>
      </c>
      <c r="L88" s="17"/>
      <c r="M88" s="64"/>
      <c r="T88" s="17"/>
      <c r="Z88" t="s">
        <v>638</v>
      </c>
      <c r="AA88" s="197">
        <v>0.08</v>
      </c>
      <c r="AB88" s="196">
        <v>238</v>
      </c>
      <c r="AC88" s="57" t="s">
        <v>196</v>
      </c>
      <c r="AD88" s="115"/>
    </row>
    <row r="89" spans="1:30" ht="15.75">
      <c r="A89" s="1"/>
      <c r="J89" s="14"/>
      <c r="T89" s="17"/>
      <c r="Z89" t="s">
        <v>639</v>
      </c>
      <c r="AA89" s="197">
        <v>0.08</v>
      </c>
      <c r="AB89" s="196">
        <v>238</v>
      </c>
      <c r="AC89" s="57" t="s">
        <v>150</v>
      </c>
      <c r="AD89" s="115"/>
    </row>
    <row r="90" spans="1:30" ht="15.75">
      <c r="A90" s="100" t="s">
        <v>551</v>
      </c>
      <c r="J90" s="65" t="s">
        <v>65</v>
      </c>
      <c r="M90" s="64"/>
      <c r="T90" s="17"/>
      <c r="Z90" t="s">
        <v>640</v>
      </c>
      <c r="AA90" s="197">
        <v>0.01</v>
      </c>
      <c r="AB90" s="196">
        <v>317</v>
      </c>
      <c r="AC90" s="57" t="s">
        <v>150</v>
      </c>
      <c r="AD90" s="115"/>
    </row>
    <row r="91" spans="1:30" ht="15.75">
      <c r="A91" s="1" t="s">
        <v>523</v>
      </c>
      <c r="J91" s="65" t="s">
        <v>66</v>
      </c>
      <c r="K91" s="13">
        <f>IF(OR(FEDM="S",FEDM="H"),VLOOKUP(FTG1,FTXTBLSH1,3),IF(FEDM="M",VLOOKUP(FTG1,FTXTBLM1,3),0))</f>
        <v>14605.5</v>
      </c>
      <c r="L91" s="17"/>
      <c r="M91" s="64"/>
      <c r="T91" s="17"/>
      <c r="Z91" t="s">
        <v>641</v>
      </c>
      <c r="AA91" s="197">
        <v>0.06</v>
      </c>
      <c r="AB91" s="196">
        <v>238</v>
      </c>
      <c r="AC91" s="57" t="s">
        <v>196</v>
      </c>
      <c r="AD91" s="57"/>
    </row>
    <row r="92" spans="1:30" ht="15.75">
      <c r="A92" s="1"/>
      <c r="J92" s="65" t="s">
        <v>67</v>
      </c>
      <c r="K92" s="13">
        <f>IF(OR(FEDM="S",FEDM="H"),VLOOKUP(K68,FTXTBLSH1,3),IF(FEDM="M",VLOOKUP(K68,FTXTBLM1,3),0))</f>
        <v>0</v>
      </c>
      <c r="L92" s="17"/>
      <c r="M92" s="64"/>
      <c r="Z92" t="s">
        <v>642</v>
      </c>
      <c r="AA92" s="197">
        <v>0.115</v>
      </c>
      <c r="AB92" s="196">
        <v>513</v>
      </c>
      <c r="AC92" s="8" t="s">
        <v>150</v>
      </c>
      <c r="AD92" s="57"/>
    </row>
    <row r="93" spans="1:30" ht="15.75">
      <c r="A93" s="100" t="s">
        <v>559</v>
      </c>
      <c r="J93" s="65" t="s">
        <v>68</v>
      </c>
      <c r="K93" s="13">
        <f>IF(OR(FEDM="S",FEDM="H"),VLOOKUP(K69,FTXTBLSH1,3),IF(FEDM="M",VLOOKUP(K69,FTXTBLM1,3),0))</f>
        <v>14605.5</v>
      </c>
      <c r="L93" s="17"/>
      <c r="M93" s="64"/>
      <c r="Z93" t="s">
        <v>643</v>
      </c>
      <c r="AA93" s="197">
        <v>0.08</v>
      </c>
      <c r="AB93" s="196">
        <v>863</v>
      </c>
      <c r="AC93" s="57" t="s">
        <v>196</v>
      </c>
      <c r="AD93" s="57"/>
    </row>
    <row r="94" spans="1:30" ht="15.75">
      <c r="A94" s="1" t="s">
        <v>517</v>
      </c>
      <c r="J94" s="65" t="s">
        <v>69</v>
      </c>
      <c r="K94" s="13">
        <f>IF(OR(FEDM="S",FEDM="H"),VLOOKUP(K70,FTXTBLSH1,3),IF(FEDM="M",VLOOKUP(K70,FTXTBLM1,3),0))</f>
        <v>14605.5</v>
      </c>
      <c r="L94" s="17"/>
      <c r="M94" s="64"/>
      <c r="T94" s="17"/>
      <c r="Z94" t="s">
        <v>644</v>
      </c>
      <c r="AA94" s="197">
        <v>0.08</v>
      </c>
      <c r="AB94" s="196">
        <v>238</v>
      </c>
      <c r="AC94" s="57" t="s">
        <v>196</v>
      </c>
      <c r="AD94" s="57"/>
    </row>
    <row r="95" spans="1:30" ht="15.75">
      <c r="A95" s="1" t="s">
        <v>518</v>
      </c>
      <c r="J95" s="65" t="s">
        <v>71</v>
      </c>
      <c r="K95" s="13">
        <f>IF(OR(FEDM="S",FEDM="H"),VLOOKUP(K71,FTXTBLSH1,3),IF(FEDM="M",VLOOKUP(K71,FTXTBLM1,3),0))</f>
        <v>14605.5</v>
      </c>
      <c r="L95" s="17"/>
      <c r="M95" s="64"/>
      <c r="T95" s="17"/>
      <c r="Z95" t="s">
        <v>199</v>
      </c>
      <c r="AA95" s="197">
        <v>0.13</v>
      </c>
      <c r="AB95" s="196">
        <v>863</v>
      </c>
      <c r="AC95" s="8" t="s">
        <v>196</v>
      </c>
      <c r="AD95" s="57"/>
    </row>
    <row r="96" spans="1:30" ht="15.75">
      <c r="A96" s="1"/>
      <c r="J96" s="65" t="s">
        <v>74</v>
      </c>
      <c r="K96" s="13">
        <f>IF(OR(FEDM="S",FEDM="H"),VLOOKUP(K72,FTXTBLSH1,3),IF(FEDM="M",VLOOKUP(K72,FTXTBLM1,3),0))</f>
        <v>14605.5</v>
      </c>
      <c r="L96" s="17"/>
      <c r="M96" s="64"/>
      <c r="T96" s="17"/>
      <c r="Z96" t="s">
        <v>200</v>
      </c>
      <c r="AA96" s="197">
        <v>0.13</v>
      </c>
      <c r="AB96" s="196">
        <v>863</v>
      </c>
      <c r="AC96" s="8" t="s">
        <v>150</v>
      </c>
      <c r="AD96" s="115"/>
    </row>
    <row r="97" spans="1:30" ht="15.75">
      <c r="A97" s="100" t="s">
        <v>552</v>
      </c>
      <c r="J97" s="14"/>
      <c r="T97" s="17"/>
      <c r="Z97" t="s">
        <v>201</v>
      </c>
      <c r="AA97" s="197">
        <v>0.13</v>
      </c>
      <c r="AB97" s="196">
        <v>863</v>
      </c>
      <c r="AC97" s="8" t="s">
        <v>196</v>
      </c>
      <c r="AD97" s="115"/>
    </row>
    <row r="98" spans="1:30" ht="15.75">
      <c r="A98" s="1" t="s">
        <v>519</v>
      </c>
      <c r="J98" s="65" t="s">
        <v>77</v>
      </c>
      <c r="M98" s="64"/>
      <c r="T98" s="17"/>
      <c r="Z98" t="s">
        <v>202</v>
      </c>
      <c r="AA98" s="197">
        <v>0.13</v>
      </c>
      <c r="AB98" s="196">
        <v>863</v>
      </c>
      <c r="AC98" s="8" t="s">
        <v>150</v>
      </c>
      <c r="AD98" s="115"/>
    </row>
    <row r="99" spans="1:30" ht="15.75">
      <c r="A99" s="1" t="s">
        <v>520</v>
      </c>
      <c r="J99" s="65" t="s">
        <v>79</v>
      </c>
      <c r="K99" s="13">
        <f>ROUND(FTG1-FBSA1,2)</f>
        <v>5013.8</v>
      </c>
      <c r="L99" s="17"/>
      <c r="M99" s="64"/>
      <c r="T99" s="17"/>
      <c r="Z99" t="s">
        <v>426</v>
      </c>
      <c r="AA99" s="197">
        <v>0.13</v>
      </c>
      <c r="AB99" s="196">
        <v>863</v>
      </c>
      <c r="AC99" s="8" t="s">
        <v>196</v>
      </c>
      <c r="AD99" s="115"/>
    </row>
    <row r="100" spans="1:30" ht="15.75">
      <c r="A100" s="100"/>
      <c r="J100" s="65" t="s">
        <v>80</v>
      </c>
      <c r="K100" s="97">
        <f>ROUND(K68-K76,2)</f>
        <v>993368.1</v>
      </c>
      <c r="L100" s="17"/>
      <c r="M100" s="64"/>
      <c r="Z100" t="s">
        <v>427</v>
      </c>
      <c r="AA100" s="197">
        <v>0.13</v>
      </c>
      <c r="AB100" s="196">
        <v>863</v>
      </c>
      <c r="AC100" s="8" t="s">
        <v>150</v>
      </c>
      <c r="AD100" s="115"/>
    </row>
    <row r="101" spans="1:30" ht="15.75">
      <c r="A101" s="100" t="s">
        <v>553</v>
      </c>
      <c r="J101" s="65" t="s">
        <v>81</v>
      </c>
      <c r="K101" s="13">
        <f>(K69-K77)</f>
        <v>5013.856890909083</v>
      </c>
      <c r="L101" s="17"/>
      <c r="M101" s="64"/>
      <c r="Z101" t="s">
        <v>507</v>
      </c>
      <c r="AA101" s="197">
        <v>0.12</v>
      </c>
      <c r="AB101" s="196">
        <v>0</v>
      </c>
      <c r="AC101" s="190" t="s">
        <v>196</v>
      </c>
      <c r="AD101" s="115"/>
    </row>
    <row r="102" spans="1:30" ht="15.75">
      <c r="A102" s="1" t="s">
        <v>557</v>
      </c>
      <c r="J102" s="65" t="s">
        <v>82</v>
      </c>
      <c r="K102" s="13">
        <f>(K70-K78)</f>
        <v>14207</v>
      </c>
      <c r="L102" s="17"/>
      <c r="M102" s="64"/>
      <c r="T102" s="17"/>
      <c r="Z102" t="s">
        <v>508</v>
      </c>
      <c r="AA102" s="197">
        <v>0.12</v>
      </c>
      <c r="AB102" s="196">
        <v>0</v>
      </c>
      <c r="AC102" s="190" t="s">
        <v>150</v>
      </c>
      <c r="AD102" s="115"/>
    </row>
    <row r="103" spans="1:30" ht="15.75">
      <c r="A103" s="1" t="s">
        <v>556</v>
      </c>
      <c r="J103" s="65" t="s">
        <v>83</v>
      </c>
      <c r="K103" s="13">
        <f>(K71-K79)</f>
        <v>14207</v>
      </c>
      <c r="L103" s="17"/>
      <c r="M103" s="64"/>
      <c r="T103" s="17"/>
      <c r="Z103" t="s">
        <v>566</v>
      </c>
      <c r="AA103" s="197">
        <v>0.08</v>
      </c>
      <c r="AB103" s="196">
        <v>513</v>
      </c>
      <c r="AC103" s="8" t="s">
        <v>196</v>
      </c>
      <c r="AD103" s="115"/>
    </row>
    <row r="104" spans="1:30" ht="15.75">
      <c r="A104" s="1"/>
      <c r="J104" s="65" t="s">
        <v>84</v>
      </c>
      <c r="K104" s="13">
        <f>(K72-K80)</f>
        <v>14207</v>
      </c>
      <c r="L104" s="17"/>
      <c r="M104" s="64"/>
      <c r="T104" s="17"/>
      <c r="Z104" t="s">
        <v>567</v>
      </c>
      <c r="AA104" s="197">
        <v>0.08</v>
      </c>
      <c r="AB104" s="196">
        <v>513</v>
      </c>
      <c r="AC104" s="8" t="s">
        <v>150</v>
      </c>
      <c r="AD104" s="115"/>
    </row>
    <row r="105" spans="1:30" ht="15.75">
      <c r="A105" s="100" t="s">
        <v>554</v>
      </c>
      <c r="J105" s="14"/>
      <c r="T105" s="17"/>
      <c r="Z105" t="s">
        <v>482</v>
      </c>
      <c r="AA105" s="197">
        <v>0.11</v>
      </c>
      <c r="AB105" s="196">
        <v>863</v>
      </c>
      <c r="AC105" s="57" t="s">
        <v>196</v>
      </c>
      <c r="AD105" s="115"/>
    </row>
    <row r="106" spans="1:30" ht="15.75">
      <c r="A106" s="3" t="s">
        <v>555</v>
      </c>
      <c r="J106" s="65" t="s">
        <v>85</v>
      </c>
      <c r="M106" s="64"/>
      <c r="T106" s="17"/>
      <c r="Z106" t="s">
        <v>483</v>
      </c>
      <c r="AA106" s="197">
        <v>0.13</v>
      </c>
      <c r="AB106" s="196">
        <v>863</v>
      </c>
      <c r="AC106" s="57" t="s">
        <v>150</v>
      </c>
      <c r="AD106" s="115"/>
    </row>
    <row r="107" spans="1:30" ht="15.75">
      <c r="A107" s="3" t="s">
        <v>521</v>
      </c>
      <c r="J107" s="65" t="s">
        <v>86</v>
      </c>
      <c r="K107" s="36">
        <f>(FBST1+ROUND(FOVR1*FMTR1,5))</f>
        <v>15808.812</v>
      </c>
      <c r="L107" s="17"/>
      <c r="M107" s="64"/>
      <c r="T107" s="17"/>
      <c r="Z107" t="s">
        <v>515</v>
      </c>
      <c r="AA107" s="197">
        <v>0.08</v>
      </c>
      <c r="AB107" s="196">
        <v>238</v>
      </c>
      <c r="AC107" s="57" t="s">
        <v>196</v>
      </c>
      <c r="AD107" s="115"/>
    </row>
    <row r="108" spans="1:30" ht="15.75">
      <c r="A108" s="103"/>
      <c r="J108" s="65" t="s">
        <v>87</v>
      </c>
      <c r="K108" s="36">
        <f>(K92+ROUND(K100*FMTR2,5))</f>
        <v>0</v>
      </c>
      <c r="L108" s="17"/>
      <c r="M108" s="64"/>
      <c r="Z108" t="s">
        <v>516</v>
      </c>
      <c r="AA108" s="197">
        <v>0.08</v>
      </c>
      <c r="AB108" s="196">
        <v>238</v>
      </c>
      <c r="AC108" s="57" t="s">
        <v>150</v>
      </c>
      <c r="AD108" s="115"/>
    </row>
    <row r="109" spans="1:30" ht="15.75">
      <c r="A109" s="100" t="s">
        <v>379</v>
      </c>
      <c r="J109" s="65" t="s">
        <v>88</v>
      </c>
      <c r="K109" s="36">
        <f>(K93+ROUND(K101*FMTR3,5))</f>
        <v>15808.82565</v>
      </c>
      <c r="L109" s="17"/>
      <c r="M109" s="64"/>
      <c r="Z109" t="s">
        <v>568</v>
      </c>
      <c r="AA109" s="197">
        <v>0.08</v>
      </c>
      <c r="AB109" s="196">
        <v>238</v>
      </c>
      <c r="AC109" s="57" t="s">
        <v>196</v>
      </c>
      <c r="AD109" s="57"/>
    </row>
    <row r="110" spans="1:29" ht="15.75">
      <c r="A110" s="1" t="s">
        <v>380</v>
      </c>
      <c r="J110" s="65" t="s">
        <v>89</v>
      </c>
      <c r="K110" s="36">
        <f>(K94+ROUND(K102*FMTR4,5))</f>
        <v>18015.18</v>
      </c>
      <c r="L110" s="17"/>
      <c r="M110" s="64"/>
      <c r="T110" s="17"/>
      <c r="Z110" t="s">
        <v>569</v>
      </c>
      <c r="AA110" s="197">
        <v>0.08</v>
      </c>
      <c r="AB110" s="196">
        <v>238</v>
      </c>
      <c r="AC110" s="57" t="s">
        <v>150</v>
      </c>
    </row>
    <row r="111" spans="1:30" ht="15.75">
      <c r="A111" s="1"/>
      <c r="J111" s="65" t="s">
        <v>90</v>
      </c>
      <c r="K111" s="36">
        <f>(K95+ROUND(K103*FMTR5,5))</f>
        <v>18015.18</v>
      </c>
      <c r="L111" s="17"/>
      <c r="M111" s="64"/>
      <c r="T111" s="17"/>
      <c r="Z111" t="s">
        <v>495</v>
      </c>
      <c r="AA111" s="197">
        <v>0.125</v>
      </c>
      <c r="AB111" s="196">
        <v>863</v>
      </c>
      <c r="AC111" s="57" t="s">
        <v>196</v>
      </c>
      <c r="AD111" s="115"/>
    </row>
    <row r="112" spans="1:30" ht="15.75">
      <c r="A112" s="1" t="s">
        <v>383</v>
      </c>
      <c r="J112" s="65" t="s">
        <v>296</v>
      </c>
      <c r="K112" s="36">
        <f>(K96+ROUND(K104*FMTR6,5))</f>
        <v>18015.18</v>
      </c>
      <c r="L112" s="17"/>
      <c r="M112" s="64"/>
      <c r="T112" s="17"/>
      <c r="Z112" t="s">
        <v>496</v>
      </c>
      <c r="AA112" s="197">
        <v>0.13</v>
      </c>
      <c r="AB112" s="196">
        <v>863</v>
      </c>
      <c r="AC112" s="57" t="s">
        <v>150</v>
      </c>
      <c r="AD112" s="115"/>
    </row>
    <row r="113" spans="1:30" ht="15.75">
      <c r="A113" s="1" t="s">
        <v>384</v>
      </c>
      <c r="J113" s="14"/>
      <c r="T113" s="17"/>
      <c r="Z113" t="s">
        <v>497</v>
      </c>
      <c r="AA113" s="197">
        <v>0.125</v>
      </c>
      <c r="AB113" s="196">
        <v>863</v>
      </c>
      <c r="AC113" s="57" t="s">
        <v>196</v>
      </c>
      <c r="AD113" s="115"/>
    </row>
    <row r="114" spans="1:30" ht="15.75">
      <c r="A114" s="1" t="s">
        <v>522</v>
      </c>
      <c r="J114" s="65" t="s">
        <v>91</v>
      </c>
      <c r="M114" s="64"/>
      <c r="T114" s="17"/>
      <c r="Z114" t="s">
        <v>498</v>
      </c>
      <c r="AA114" s="197">
        <v>0.125</v>
      </c>
      <c r="AB114" s="196">
        <v>863</v>
      </c>
      <c r="AC114" s="57" t="s">
        <v>150</v>
      </c>
      <c r="AD114" s="115"/>
    </row>
    <row r="115" spans="1:30" ht="15.75">
      <c r="A115" s="1"/>
      <c r="J115" s="65" t="s">
        <v>92</v>
      </c>
      <c r="K115" s="13">
        <f>ROUND(FTA1/PAYFACT,2)</f>
        <v>1317.4</v>
      </c>
      <c r="L115" s="17"/>
      <c r="M115" s="64"/>
      <c r="T115" s="17"/>
      <c r="Z115" t="s">
        <v>509</v>
      </c>
      <c r="AA115" s="197">
        <v>0.12</v>
      </c>
      <c r="AB115" s="196">
        <v>0</v>
      </c>
      <c r="AC115" s="190" t="s">
        <v>196</v>
      </c>
      <c r="AD115" s="57"/>
    </row>
    <row r="116" spans="1:30" ht="15.75">
      <c r="A116" s="1" t="s">
        <v>381</v>
      </c>
      <c r="J116" s="65" t="s">
        <v>93</v>
      </c>
      <c r="K116" s="13">
        <f>ROUND(K108/PAYFACT,2)</f>
        <v>0</v>
      </c>
      <c r="L116" s="17"/>
      <c r="M116" s="64"/>
      <c r="Z116" t="s">
        <v>484</v>
      </c>
      <c r="AA116" s="197">
        <v>0.1</v>
      </c>
      <c r="AB116" s="196">
        <v>513</v>
      </c>
      <c r="AC116" s="57" t="s">
        <v>196</v>
      </c>
      <c r="AD116" s="57"/>
    </row>
    <row r="117" spans="1:30" ht="15.75">
      <c r="A117" s="1" t="s">
        <v>382</v>
      </c>
      <c r="J117" s="65" t="s">
        <v>94</v>
      </c>
      <c r="K117" s="13">
        <f>ROUND(K109/PAYFACT,2)</f>
        <v>1317.4</v>
      </c>
      <c r="L117" s="17"/>
      <c r="M117" s="64"/>
      <c r="Z117" t="s">
        <v>485</v>
      </c>
      <c r="AA117" s="197">
        <v>0.13</v>
      </c>
      <c r="AB117" s="196">
        <v>513</v>
      </c>
      <c r="AC117" s="57" t="s">
        <v>150</v>
      </c>
      <c r="AD117" s="57"/>
    </row>
    <row r="118" spans="1:29" ht="15.75">
      <c r="A118" s="1"/>
      <c r="J118" s="65" t="s">
        <v>95</v>
      </c>
      <c r="K118" s="13">
        <f>ROUND(K110/PAYFACT,2)</f>
        <v>1501.27</v>
      </c>
      <c r="L118" s="17"/>
      <c r="M118" s="64"/>
      <c r="Z118" t="s">
        <v>510</v>
      </c>
      <c r="AA118" s="197">
        <v>0.12</v>
      </c>
      <c r="AB118" s="196">
        <v>0</v>
      </c>
      <c r="AC118" s="190" t="s">
        <v>150</v>
      </c>
    </row>
    <row r="119" spans="1:29" ht="15.75">
      <c r="A119" s="100" t="s">
        <v>364</v>
      </c>
      <c r="J119" s="65" t="s">
        <v>96</v>
      </c>
      <c r="K119" s="13">
        <f>ROUND(K111/PAYFACT,2)</f>
        <v>1501.27</v>
      </c>
      <c r="L119" s="17"/>
      <c r="M119" s="64"/>
      <c r="Z119" t="s">
        <v>645</v>
      </c>
      <c r="AA119" s="197">
        <v>0.105</v>
      </c>
      <c r="AB119" s="196">
        <v>317</v>
      </c>
      <c r="AC119" s="8" t="s">
        <v>196</v>
      </c>
    </row>
    <row r="120" spans="1:29" ht="15.75">
      <c r="A120" s="1"/>
      <c r="J120" s="65" t="s">
        <v>97</v>
      </c>
      <c r="K120" s="13">
        <f>ROUND(K112/PAYFACT,2)</f>
        <v>1501.27</v>
      </c>
      <c r="L120" s="17"/>
      <c r="M120" s="64"/>
      <c r="T120" s="17"/>
      <c r="Z120" t="s">
        <v>646</v>
      </c>
      <c r="AA120" s="197">
        <v>0.0375</v>
      </c>
      <c r="AB120" s="196">
        <v>0</v>
      </c>
      <c r="AC120" s="8" t="s">
        <v>197</v>
      </c>
    </row>
    <row r="121" spans="1:29" ht="15.75">
      <c r="A121" s="100" t="s">
        <v>345</v>
      </c>
      <c r="J121" s="14"/>
      <c r="T121" s="17"/>
      <c r="Z121" t="s">
        <v>647</v>
      </c>
      <c r="AA121" s="197">
        <v>0.06</v>
      </c>
      <c r="AB121" s="196">
        <v>317</v>
      </c>
      <c r="AC121" s="8" t="s">
        <v>150</v>
      </c>
    </row>
    <row r="122" spans="1:30" ht="15.75">
      <c r="A122" s="1"/>
      <c r="J122" s="65" t="s">
        <v>98</v>
      </c>
      <c r="M122" s="64"/>
      <c r="T122" s="17"/>
      <c r="Z122" t="s">
        <v>648</v>
      </c>
      <c r="AA122" s="197">
        <v>0.05</v>
      </c>
      <c r="AB122" s="196">
        <v>513</v>
      </c>
      <c r="AC122" s="8" t="s">
        <v>197</v>
      </c>
      <c r="AD122" s="115"/>
    </row>
    <row r="123" spans="1:30" ht="15.75">
      <c r="A123" s="1" t="s">
        <v>365</v>
      </c>
      <c r="J123" s="65" t="s">
        <v>99</v>
      </c>
      <c r="K123" s="13">
        <f>IF(STM="S",LIES1,IF(AND(STM="M",STE&lt;2),LIEM1,IF(AND(STM="M",STE&gt;=2),LIEM2,IF(STM="H",LIEH1,99999))))</f>
        <v>15042</v>
      </c>
      <c r="L123" s="17"/>
      <c r="M123" s="64"/>
      <c r="T123" s="17"/>
      <c r="Z123" t="s">
        <v>649</v>
      </c>
      <c r="AA123" s="197">
        <v>0.0375</v>
      </c>
      <c r="AB123" s="196">
        <v>0</v>
      </c>
      <c r="AC123" s="8" t="s">
        <v>197</v>
      </c>
      <c r="AD123" s="115"/>
    </row>
    <row r="124" spans="1:30" ht="15.75">
      <c r="A124" s="1"/>
      <c r="J124" s="65" t="s">
        <v>395</v>
      </c>
      <c r="K124" s="13">
        <f>(STA*SADDALL1)</f>
        <v>0</v>
      </c>
      <c r="L124" s="17"/>
      <c r="M124" s="64"/>
      <c r="T124" s="17"/>
      <c r="Z124" t="s">
        <v>650</v>
      </c>
      <c r="AA124" s="197">
        <v>0.08</v>
      </c>
      <c r="AB124" s="196">
        <v>513</v>
      </c>
      <c r="AC124" s="8" t="s">
        <v>197</v>
      </c>
      <c r="AD124" s="57"/>
    </row>
    <row r="125" spans="1:30" ht="15.75">
      <c r="A125" s="1" t="s">
        <v>328</v>
      </c>
      <c r="J125" s="65" t="s">
        <v>396</v>
      </c>
      <c r="K125" s="13">
        <f>IF(STM="S",SDS1,IF(AND(STM="M",STE&lt;2),SDM1,IF(AND(STM="M",STE&gt;=2),SDM2,IF(STM="H",SDH1,0))))</f>
        <v>4537</v>
      </c>
      <c r="L125" s="17"/>
      <c r="M125" s="64"/>
      <c r="T125" s="17"/>
      <c r="Z125" t="s">
        <v>651</v>
      </c>
      <c r="AA125" s="197">
        <v>0.06</v>
      </c>
      <c r="AB125" s="196">
        <v>317</v>
      </c>
      <c r="AC125" s="8" t="s">
        <v>196</v>
      </c>
      <c r="AD125" s="57"/>
    </row>
    <row r="126" spans="1:30" ht="15.75">
      <c r="A126" s="1"/>
      <c r="J126" s="65" t="s">
        <v>100</v>
      </c>
      <c r="K126" s="13">
        <f>IF(AND(B14="S",D14=0),AK60,IF(AND(B14="S",D14=1),AL60,IF(AND(B14="S",D14&gt;=2),AM60,IF(AND(B14="M",D14=0),AK61,IF(OR(AND(B14="M",B14="H"),D14=1),AL61,IF(OR(AND(B14="M",B14="H"),D14&gt;=2),AM61,0))))))</f>
        <v>268.4</v>
      </c>
      <c r="L126" s="17"/>
      <c r="M126" s="64"/>
      <c r="T126" s="17"/>
      <c r="Z126" t="s">
        <v>652</v>
      </c>
      <c r="AA126" s="197">
        <v>0.0375</v>
      </c>
      <c r="AB126" s="196">
        <v>0</v>
      </c>
      <c r="AC126" s="8" t="s">
        <v>197</v>
      </c>
      <c r="AD126" s="57"/>
    </row>
    <row r="127" spans="1:30" ht="15.75">
      <c r="A127" s="1" t="s">
        <v>349</v>
      </c>
      <c r="J127" s="65" t="s">
        <v>397</v>
      </c>
      <c r="K127" s="13">
        <f>IF(STE&lt;3,0,STE-2)</f>
        <v>8</v>
      </c>
      <c r="L127" s="17"/>
      <c r="M127" s="64"/>
      <c r="Z127" t="s">
        <v>653</v>
      </c>
      <c r="AA127" s="197">
        <v>0.06</v>
      </c>
      <c r="AB127" s="196">
        <v>317</v>
      </c>
      <c r="AC127" s="8" t="s">
        <v>150</v>
      </c>
      <c r="AD127" s="57"/>
    </row>
    <row r="128" spans="10:30" ht="15.75">
      <c r="J128" s="65" t="s">
        <v>101</v>
      </c>
      <c r="K128" s="13">
        <f>IF(STM="S",TCRS3,TCRM3)</f>
        <v>134.2</v>
      </c>
      <c r="L128" s="17"/>
      <c r="M128" s="64"/>
      <c r="T128" s="17"/>
      <c r="Z128" t="s">
        <v>654</v>
      </c>
      <c r="AA128" s="197">
        <v>0.09</v>
      </c>
      <c r="AB128" s="196">
        <v>513</v>
      </c>
      <c r="AC128" s="8" t="s">
        <v>197</v>
      </c>
      <c r="AD128" s="57"/>
    </row>
    <row r="129" spans="10:30" ht="15.75">
      <c r="J129" s="65" t="s">
        <v>102</v>
      </c>
      <c r="K129" s="13">
        <f>(TXCRB+(TXCROV*TXCRR))</f>
        <v>1342</v>
      </c>
      <c r="L129" s="17"/>
      <c r="M129" s="64"/>
      <c r="T129" s="17"/>
      <c r="Z129" t="s">
        <v>203</v>
      </c>
      <c r="AA129" s="197">
        <v>0.08</v>
      </c>
      <c r="AB129" s="196">
        <v>513</v>
      </c>
      <c r="AC129" s="8" t="s">
        <v>197</v>
      </c>
      <c r="AD129" s="57"/>
    </row>
    <row r="130" spans="10:30" ht="15.75">
      <c r="J130" s="65"/>
      <c r="L130" s="17"/>
      <c r="M130" s="64"/>
      <c r="T130" s="17"/>
      <c r="Z130" t="s">
        <v>204</v>
      </c>
      <c r="AA130" s="197">
        <v>0.08</v>
      </c>
      <c r="AB130" s="196">
        <v>513</v>
      </c>
      <c r="AC130" s="8" t="s">
        <v>197</v>
      </c>
      <c r="AD130" s="57"/>
    </row>
    <row r="131" spans="10:29" ht="15.75">
      <c r="J131" s="65" t="s">
        <v>103</v>
      </c>
      <c r="M131" s="64"/>
      <c r="T131" s="17"/>
      <c r="Z131" t="s">
        <v>205</v>
      </c>
      <c r="AA131" s="197">
        <v>0.06</v>
      </c>
      <c r="AB131" s="196">
        <v>317</v>
      </c>
      <c r="AC131" s="8" t="s">
        <v>196</v>
      </c>
    </row>
    <row r="132" spans="10:29" ht="15.75">
      <c r="J132" s="65" t="s">
        <v>104</v>
      </c>
      <c r="K132" s="13">
        <f>IF((PAYFACT*TG1)-ADDALLOW1-SDED1&lt;=0,0,(PAYFACT*TG1)-ADDALLOW1-SDED1)</f>
        <v>132801.8</v>
      </c>
      <c r="L132" s="17"/>
      <c r="M132" s="64"/>
      <c r="T132" s="17"/>
      <c r="Z132" t="s">
        <v>206</v>
      </c>
      <c r="AA132" s="197">
        <v>0.0375</v>
      </c>
      <c r="AB132" s="196">
        <v>0</v>
      </c>
      <c r="AC132" s="8" t="s">
        <v>197</v>
      </c>
    </row>
    <row r="133" spans="10:30" ht="15.75">
      <c r="J133" s="65" t="s">
        <v>105</v>
      </c>
      <c r="K133" s="13">
        <f>IF((PAYFACT*TG2)-ADDALLOW1-SDED1&lt;=0,0,(PAYFACT*TG2)-ADDALLOW1-SDED1)</f>
        <v>31832.10155</v>
      </c>
      <c r="L133" s="17"/>
      <c r="M133" s="64"/>
      <c r="T133" s="17"/>
      <c r="Z133" t="s">
        <v>207</v>
      </c>
      <c r="AA133" s="197">
        <v>0.0375</v>
      </c>
      <c r="AB133" s="196">
        <v>0</v>
      </c>
      <c r="AC133" s="8" t="s">
        <v>197</v>
      </c>
      <c r="AD133" s="57"/>
    </row>
    <row r="134" spans="10:29" ht="15.75">
      <c r="J134" s="65" t="s">
        <v>106</v>
      </c>
      <c r="K134" s="13">
        <f>IF((PAYFACT*TG3)-ADDALLOW1-SDED1&lt;=0,0,(PAYFACT*TG3)-ADDALLOW1-SDED1)</f>
        <v>132801.85689090908</v>
      </c>
      <c r="L134" s="17"/>
      <c r="M134" s="64"/>
      <c r="Z134" t="s">
        <v>208</v>
      </c>
      <c r="AA134" s="197">
        <v>0.0375</v>
      </c>
      <c r="AB134" s="196">
        <v>0</v>
      </c>
      <c r="AC134" s="8" t="s">
        <v>197</v>
      </c>
    </row>
    <row r="135" spans="10:30" ht="15.75">
      <c r="J135" s="65" t="s">
        <v>107</v>
      </c>
      <c r="K135" s="13">
        <f>IF((PAYFACT*TG4)-ADDALLOW1-SDED1&lt;=0,0,(PAYFACT*TG4)-ADDALLOW1-SDED1)</f>
        <v>141995</v>
      </c>
      <c r="L135" s="17"/>
      <c r="M135" s="64"/>
      <c r="Z135" t="s">
        <v>209</v>
      </c>
      <c r="AA135" s="197">
        <v>0.09</v>
      </c>
      <c r="AB135" s="196">
        <v>513</v>
      </c>
      <c r="AC135" s="8" t="s">
        <v>197</v>
      </c>
      <c r="AD135" s="8" t="s">
        <v>4</v>
      </c>
    </row>
    <row r="136" spans="10:30" ht="15.75">
      <c r="J136" s="65" t="s">
        <v>108</v>
      </c>
      <c r="K136" s="13">
        <f>IF((PAYFACT*TG5)-ADDALLOW1-SDED1&lt;=0,0,(PAYFACT*TG5)-ADDALLOW1-SDED1)</f>
        <v>141995</v>
      </c>
      <c r="L136" s="17"/>
      <c r="M136" s="64"/>
      <c r="T136" s="17"/>
      <c r="Z136" t="s">
        <v>210</v>
      </c>
      <c r="AA136" s="197">
        <v>0.09</v>
      </c>
      <c r="AB136" s="196">
        <v>513</v>
      </c>
      <c r="AC136" s="8" t="s">
        <v>197</v>
      </c>
      <c r="AD136" s="8" t="s">
        <v>4</v>
      </c>
    </row>
    <row r="137" spans="10:30" ht="15.75">
      <c r="J137" s="65" t="s">
        <v>109</v>
      </c>
      <c r="K137" s="13">
        <f>IF((PAYFACT*TG6)-ADDALLOW1-SDED1&lt;=0,0,(PAYFACT*TG6)-ADDALLOW1-SDED1)</f>
        <v>141995</v>
      </c>
      <c r="L137" s="17"/>
      <c r="M137" s="64"/>
      <c r="T137" s="17"/>
      <c r="Z137" t="s">
        <v>211</v>
      </c>
      <c r="AA137" s="197">
        <v>0.03</v>
      </c>
      <c r="AB137" s="196">
        <v>513</v>
      </c>
      <c r="AC137" s="8" t="s">
        <v>197</v>
      </c>
      <c r="AD137" s="8" t="s">
        <v>4</v>
      </c>
    </row>
    <row r="138" spans="10:30" ht="15.75">
      <c r="J138" s="14"/>
      <c r="T138" s="17"/>
      <c r="Z138" t="s">
        <v>212</v>
      </c>
      <c r="AA138" s="197">
        <v>0.07</v>
      </c>
      <c r="AB138" s="196">
        <v>317</v>
      </c>
      <c r="AC138" s="8" t="s">
        <v>196</v>
      </c>
      <c r="AD138" s="8" t="s">
        <v>4</v>
      </c>
    </row>
    <row r="139" spans="10:30" ht="15.75">
      <c r="J139" s="65" t="s">
        <v>110</v>
      </c>
      <c r="M139" s="64"/>
      <c r="T139" s="17"/>
      <c r="Z139" t="s">
        <v>213</v>
      </c>
      <c r="AA139" s="197">
        <v>0.08</v>
      </c>
      <c r="AB139" s="196">
        <v>513</v>
      </c>
      <c r="AC139" s="8" t="s">
        <v>197</v>
      </c>
      <c r="AD139" s="8" t="s">
        <v>4</v>
      </c>
    </row>
    <row r="140" spans="10:30" ht="15.75">
      <c r="J140" s="65" t="s">
        <v>111</v>
      </c>
      <c r="K140" s="13">
        <f>IF(STM="S",VLOOKUP(STG1,STXTBLS1,1),IF(STM="M",VLOOKUP(STG1,STXTBLM1,1),IF(STM="H",VLOOKUP(STG1,STXTBLH1,1),0)))</f>
        <v>57824</v>
      </c>
      <c r="L140" s="17"/>
      <c r="M140" s="64"/>
      <c r="T140" s="17"/>
      <c r="Z140" t="s">
        <v>428</v>
      </c>
      <c r="AA140" s="197">
        <v>0.11</v>
      </c>
      <c r="AB140" s="196">
        <v>317</v>
      </c>
      <c r="AC140" s="8" t="s">
        <v>196</v>
      </c>
      <c r="AD140" s="8" t="s">
        <v>4</v>
      </c>
    </row>
    <row r="141" spans="10:30" ht="15.75">
      <c r="J141" s="65" t="s">
        <v>112</v>
      </c>
      <c r="K141" s="13">
        <f>IF(STM="S",VLOOKUP(K133,STXTBLS1,1),IF(STM="M",VLOOKUP(K133,STXTBLM1,1),IF(STM="H",VLOOKUP(K133,STXTBLH1,1),0)))</f>
        <v>20883</v>
      </c>
      <c r="L141" s="17"/>
      <c r="M141" s="64"/>
      <c r="T141" s="17"/>
      <c r="Z141" t="s">
        <v>429</v>
      </c>
      <c r="AA141" s="197">
        <v>0.11</v>
      </c>
      <c r="AB141" s="196">
        <v>317</v>
      </c>
      <c r="AC141" s="8" t="s">
        <v>150</v>
      </c>
      <c r="AD141" s="8" t="s">
        <v>4</v>
      </c>
    </row>
    <row r="142" spans="10:30" ht="15.75">
      <c r="J142" s="65" t="s">
        <v>388</v>
      </c>
      <c r="K142" s="13">
        <f>IF(STM="S",VLOOKUP(K134,STXTBLS1,1),IF(STM="M",VLOOKUP(K134,STXTBLM1,1),IF(STM="H",VLOOKUP(K134,STXTBLH1,1),0)))</f>
        <v>57824</v>
      </c>
      <c r="L142" s="17"/>
      <c r="M142" s="64"/>
      <c r="Z142" t="s">
        <v>214</v>
      </c>
      <c r="AA142" s="197">
        <v>0.08</v>
      </c>
      <c r="AB142" s="196">
        <v>513</v>
      </c>
      <c r="AC142" s="8" t="s">
        <v>197</v>
      </c>
      <c r="AD142" s="8" t="s">
        <v>4</v>
      </c>
    </row>
    <row r="143" spans="10:30" ht="15.75">
      <c r="J143" s="65" t="s">
        <v>389</v>
      </c>
      <c r="K143" s="13">
        <f>IF(STM="S",VLOOKUP(K135,STXTBLS1,1),IF(STM="M",VLOOKUP(K135,STXTBLM1,1),IF(STM="H",VLOOKUP(K135,STXTBLH1,1),0)))</f>
        <v>57824</v>
      </c>
      <c r="L143" s="17"/>
      <c r="M143" s="64"/>
      <c r="Z143" t="s">
        <v>560</v>
      </c>
      <c r="AA143" s="197">
        <v>0.0725</v>
      </c>
      <c r="AB143" s="196">
        <v>513</v>
      </c>
      <c r="AC143" s="138" t="s">
        <v>197</v>
      </c>
      <c r="AD143" s="115"/>
    </row>
    <row r="144" spans="10:30" ht="15.75">
      <c r="J144" s="65" t="s">
        <v>390</v>
      </c>
      <c r="K144" s="13">
        <f>IF(STM="S",VLOOKUP(K136,STXTBLS1,1),IF(STM="M",VLOOKUP(K136,STXTBLM1,1),IF(STM="H",VLOOKUP(K136,STXTBLH1,1),0)))</f>
        <v>57824</v>
      </c>
      <c r="L144" s="17"/>
      <c r="M144" s="64"/>
      <c r="T144" s="17"/>
      <c r="Z144" t="s">
        <v>215</v>
      </c>
      <c r="AA144" s="197">
        <v>0.0375</v>
      </c>
      <c r="AB144" s="196">
        <v>0</v>
      </c>
      <c r="AC144" s="8" t="s">
        <v>197</v>
      </c>
      <c r="AD144" s="115"/>
    </row>
    <row r="145" spans="10:29" ht="15.75">
      <c r="J145" s="65" t="s">
        <v>391</v>
      </c>
      <c r="K145" s="13">
        <f>IF(STM="S",VLOOKUP(K137,STXTBLS1,1),IF(STM="M",VLOOKUP(K137,STXTBLM1,1),IF(STM="H",VLOOKUP(K137,STXTBLH1,1),0)))</f>
        <v>57824</v>
      </c>
      <c r="L145" s="17"/>
      <c r="M145" s="64"/>
      <c r="T145" s="17"/>
      <c r="Z145" t="s">
        <v>216</v>
      </c>
      <c r="AA145" s="197">
        <v>0.0375</v>
      </c>
      <c r="AB145" s="196">
        <v>0</v>
      </c>
      <c r="AC145" s="8" t="s">
        <v>197</v>
      </c>
    </row>
    <row r="146" spans="10:29" ht="15.75">
      <c r="J146" s="14"/>
      <c r="T146" s="17"/>
      <c r="Z146" t="s">
        <v>217</v>
      </c>
      <c r="AA146" s="197">
        <v>0.1</v>
      </c>
      <c r="AB146" s="196">
        <v>513</v>
      </c>
      <c r="AC146" s="8" t="s">
        <v>197</v>
      </c>
    </row>
    <row r="147" spans="10:29" ht="15.75">
      <c r="J147" s="65" t="s">
        <v>113</v>
      </c>
      <c r="M147" s="64"/>
      <c r="T147" s="17"/>
      <c r="Z147" t="s">
        <v>511</v>
      </c>
      <c r="AA147" s="197">
        <v>0.0725</v>
      </c>
      <c r="AB147" s="196">
        <v>0</v>
      </c>
      <c r="AC147" s="8" t="s">
        <v>196</v>
      </c>
    </row>
    <row r="148" spans="10:29" ht="15.75">
      <c r="J148" s="65" t="s">
        <v>114</v>
      </c>
      <c r="K148" s="36">
        <f>IF(STM="S",VLOOKUP(STG1,STXTBLS1,2),IF(STM="M",VLOOKUP(STG1,STXTBLM1,2),IF(STM="H",VLOOKUP(STG1,STXTBLH1,2),0)))</f>
        <v>0.1023</v>
      </c>
      <c r="L148" s="17"/>
      <c r="M148" s="64"/>
      <c r="N148" s="98"/>
      <c r="T148" s="17"/>
      <c r="Z148" t="s">
        <v>460</v>
      </c>
      <c r="AA148" s="197">
        <v>0.08</v>
      </c>
      <c r="AB148" s="196">
        <v>513</v>
      </c>
      <c r="AC148" s="8" t="s">
        <v>197</v>
      </c>
    </row>
    <row r="149" spans="10:29" ht="15.75">
      <c r="J149" s="65" t="s">
        <v>115</v>
      </c>
      <c r="K149" s="36">
        <f>IF(STM="S",VLOOKUP(K133,STXTBLS1,2),IF(STM="M",VLOOKUP(K133,STXTBLM1,2),IF(STM="H",VLOOKUP(K133,STXTBLH1,2),0)))</f>
        <v>0.044</v>
      </c>
      <c r="L149" s="17"/>
      <c r="M149" s="64"/>
      <c r="N149" s="98"/>
      <c r="T149" s="17"/>
      <c r="Z149" t="s">
        <v>430</v>
      </c>
      <c r="AA149" s="197">
        <v>0.1</v>
      </c>
      <c r="AB149" s="196">
        <v>513</v>
      </c>
      <c r="AC149" s="8" t="s">
        <v>197</v>
      </c>
    </row>
    <row r="150" spans="10:30" ht="15.75">
      <c r="J150" s="65" t="s">
        <v>116</v>
      </c>
      <c r="K150" s="36">
        <f>IF(STM="S",VLOOKUP(K134,STXTBLS1,2),IF(STM="M",VLOOKUP(K134,STXTBLM1,2),IF(STM="H",VLOOKUP(K134,STXTBLH1,2),0)))</f>
        <v>0.1023</v>
      </c>
      <c r="L150" s="17"/>
      <c r="M150" s="64"/>
      <c r="N150" s="98"/>
      <c r="Z150" t="s">
        <v>218</v>
      </c>
      <c r="AA150" s="197">
        <v>0.05</v>
      </c>
      <c r="AB150" s="196">
        <v>513</v>
      </c>
      <c r="AC150" s="8" t="s">
        <v>197</v>
      </c>
      <c r="AD150" s="115"/>
    </row>
    <row r="151" spans="10:30" ht="15.75">
      <c r="J151" s="65" t="s">
        <v>117</v>
      </c>
      <c r="K151" s="36">
        <f>IF(STM="S",VLOOKUP(K135,STXTBLS1,2),IF(STM="M",VLOOKUP(K135,STXTBLM1,2),IF(STM="H",VLOOKUP(K135,STXTBLH1,2),0)))</f>
        <v>0.1023</v>
      </c>
      <c r="L151" s="17"/>
      <c r="M151" s="64"/>
      <c r="N151" s="98"/>
      <c r="Z151" t="s">
        <v>219</v>
      </c>
      <c r="AA151" s="197">
        <v>0.0375</v>
      </c>
      <c r="AB151" s="196">
        <v>0</v>
      </c>
      <c r="AC151" s="8" t="s">
        <v>197</v>
      </c>
      <c r="AD151" s="8" t="s">
        <v>4</v>
      </c>
    </row>
    <row r="152" spans="10:30" ht="15.75">
      <c r="J152" s="65" t="s">
        <v>118</v>
      </c>
      <c r="K152" s="36">
        <f>IF(STM="S",VLOOKUP(K136,STXTBLS1,2),IF(STM="M",VLOOKUP(K136,STXTBLM1,2),IF(STM="H",VLOOKUP(K136,STXTBLH1,2),0)))</f>
        <v>0.1023</v>
      </c>
      <c r="L152" s="17"/>
      <c r="M152" s="64"/>
      <c r="N152" s="98"/>
      <c r="T152" s="17"/>
      <c r="Z152" t="s">
        <v>438</v>
      </c>
      <c r="AA152" s="197">
        <v>0</v>
      </c>
      <c r="AB152" s="196">
        <v>0</v>
      </c>
      <c r="AC152" s="8" t="s">
        <v>197</v>
      </c>
      <c r="AD152" s="8" t="s">
        <v>4</v>
      </c>
    </row>
    <row r="153" spans="10:30" ht="15.75">
      <c r="J153" s="65" t="s">
        <v>119</v>
      </c>
      <c r="K153" s="36">
        <f>IF(STM="S",VLOOKUP(K137,STXTBLS1,2),IF(STM="M",VLOOKUP(K137,STXTBLM1,2),IF(STM="H",VLOOKUP(K137,STXTBLH1,2),0)))</f>
        <v>0.1023</v>
      </c>
      <c r="L153" s="17"/>
      <c r="M153" s="64"/>
      <c r="N153" s="98"/>
      <c r="T153" s="17"/>
      <c r="Z153" t="s">
        <v>655</v>
      </c>
      <c r="AA153" s="197">
        <v>0.08</v>
      </c>
      <c r="AB153" s="196">
        <v>238</v>
      </c>
      <c r="AC153" s="8" t="s">
        <v>150</v>
      </c>
      <c r="AD153" s="8" t="s">
        <v>4</v>
      </c>
    </row>
    <row r="154" spans="10:30" ht="15.75">
      <c r="J154" s="14"/>
      <c r="T154" s="17"/>
      <c r="Z154" t="s">
        <v>656</v>
      </c>
      <c r="AA154" s="197">
        <v>0.08</v>
      </c>
      <c r="AB154" s="196">
        <v>238</v>
      </c>
      <c r="AC154" s="8" t="s">
        <v>196</v>
      </c>
      <c r="AD154" s="8" t="s">
        <v>4</v>
      </c>
    </row>
    <row r="155" spans="10:29" ht="15.75">
      <c r="J155" s="65" t="s">
        <v>120</v>
      </c>
      <c r="M155" s="64"/>
      <c r="T155" s="17"/>
      <c r="Z155" t="s">
        <v>657</v>
      </c>
      <c r="AA155" s="197">
        <v>0.08</v>
      </c>
      <c r="AB155" s="196">
        <v>238</v>
      </c>
      <c r="AC155" s="8" t="s">
        <v>150</v>
      </c>
    </row>
    <row r="156" spans="10:30" ht="15.75">
      <c r="J156" s="65" t="s">
        <v>121</v>
      </c>
      <c r="K156" s="13">
        <f>IF(STM="S",VLOOKUP(STG1,STXTBLS1,3),IF(STM="M",VLOOKUP(STG1,STXTBLM1,3),IF(STM="H",VLOOKUP(STG1,STXTBLH1,3),0)))</f>
        <v>2800.51</v>
      </c>
      <c r="L156" s="17"/>
      <c r="M156" s="64"/>
      <c r="T156" s="17"/>
      <c r="Z156" t="s">
        <v>658</v>
      </c>
      <c r="AA156" s="197">
        <v>0.08</v>
      </c>
      <c r="AB156" s="196">
        <v>238</v>
      </c>
      <c r="AC156" s="8" t="s">
        <v>196</v>
      </c>
      <c r="AD156" s="8" t="s">
        <v>4</v>
      </c>
    </row>
    <row r="157" spans="10:30" ht="15.75">
      <c r="J157" s="65" t="s">
        <v>122</v>
      </c>
      <c r="K157" s="13">
        <f>IF(STM="S",VLOOKUP(K133,STXTBLS1,3),IF(STM="M",VLOOKUP(K133,STXTBLM1,3),IF(STM="H",VLOOKUP(K133,STXTBLH1,3),0)))</f>
        <v>362.53</v>
      </c>
      <c r="L157" s="17"/>
      <c r="M157" s="64"/>
      <c r="T157" s="17"/>
      <c r="Z157" t="s">
        <v>659</v>
      </c>
      <c r="AA157" s="197">
        <v>0.08</v>
      </c>
      <c r="AB157" s="196">
        <v>238</v>
      </c>
      <c r="AC157" s="8" t="s">
        <v>150</v>
      </c>
      <c r="AD157" s="8" t="s">
        <v>4</v>
      </c>
    </row>
    <row r="158" spans="10:30" ht="15.75">
      <c r="J158" s="65" t="s">
        <v>123</v>
      </c>
      <c r="K158" s="13">
        <f>IF(STM="S",VLOOKUP(K134,STXTBLS1,3),IF(STM="M",VLOOKUP(K134,STXTBLM1,3),IF(STM="H",VLOOKUP(K134,STXTBLH1,3),0)))</f>
        <v>2800.51</v>
      </c>
      <c r="L158" s="17"/>
      <c r="M158" s="64"/>
      <c r="Z158" t="s">
        <v>660</v>
      </c>
      <c r="AA158" s="197">
        <v>0.13</v>
      </c>
      <c r="AB158" s="196">
        <v>863</v>
      </c>
      <c r="AC158" s="8" t="s">
        <v>196</v>
      </c>
      <c r="AD158" s="8" t="s">
        <v>4</v>
      </c>
    </row>
    <row r="159" spans="10:30" ht="15.75">
      <c r="J159" s="65" t="s">
        <v>124</v>
      </c>
      <c r="K159" s="13">
        <f>IF(STM="S",VLOOKUP(K135,STXTBLS1,3),IF(STM="M",VLOOKUP(K135,STXTBLM1,3),IF(STM="H",VLOOKUP(K135,STXTBLH1,3),0)))</f>
        <v>2800.51</v>
      </c>
      <c r="L159" s="17"/>
      <c r="M159" s="64"/>
      <c r="Z159" t="s">
        <v>661</v>
      </c>
      <c r="AA159" s="197">
        <v>0.08</v>
      </c>
      <c r="AB159" s="196">
        <v>863</v>
      </c>
      <c r="AC159" s="8" t="s">
        <v>150</v>
      </c>
      <c r="AD159" s="8" t="s">
        <v>4</v>
      </c>
    </row>
    <row r="160" spans="10:30" ht="15.75">
      <c r="J160" s="65" t="s">
        <v>125</v>
      </c>
      <c r="K160" s="13">
        <f>IF(STM="S",VLOOKUP(K136,STXTBLS1,3),IF(STM="M",VLOOKUP(K136,STXTBLM1,3),IF(STM="H",VLOOKUP(K136,STXTBLH1,3),0)))</f>
        <v>2800.51</v>
      </c>
      <c r="L160" s="17"/>
      <c r="M160" s="64"/>
      <c r="T160" s="17"/>
      <c r="Z160" t="s">
        <v>662</v>
      </c>
      <c r="AA160" s="197">
        <v>0.08</v>
      </c>
      <c r="AB160" s="196">
        <v>513</v>
      </c>
      <c r="AC160" s="8" t="s">
        <v>196</v>
      </c>
      <c r="AD160" s="8" t="s">
        <v>4</v>
      </c>
    </row>
    <row r="161" spans="10:30" ht="15.75">
      <c r="J161" s="65" t="s">
        <v>126</v>
      </c>
      <c r="K161" s="13">
        <f>IF(STM="S",VLOOKUP(K137,STXTBLS1,3),IF(STM="M",VLOOKUP(K137,STXTBLM1,3),IF(STM="H",VLOOKUP(K137,STXTBLH1,3),0)))</f>
        <v>2800.51</v>
      </c>
      <c r="L161" s="17"/>
      <c r="M161" s="64"/>
      <c r="T161" s="17"/>
      <c r="Z161" t="s">
        <v>663</v>
      </c>
      <c r="AA161" s="197">
        <v>0.08</v>
      </c>
      <c r="AB161" s="196">
        <v>513</v>
      </c>
      <c r="AC161" s="8" t="s">
        <v>150</v>
      </c>
      <c r="AD161" s="8" t="s">
        <v>4</v>
      </c>
    </row>
    <row r="162" spans="10:30" ht="15.75">
      <c r="J162" s="14"/>
      <c r="T162" s="17"/>
      <c r="Z162" t="s">
        <v>220</v>
      </c>
      <c r="AA162" s="197">
        <v>0.06</v>
      </c>
      <c r="AB162" s="196">
        <v>513</v>
      </c>
      <c r="AC162" s="8" t="s">
        <v>196</v>
      </c>
      <c r="AD162" s="8" t="s">
        <v>4</v>
      </c>
    </row>
    <row r="163" spans="10:30" ht="15.75">
      <c r="J163" s="65" t="s">
        <v>127</v>
      </c>
      <c r="M163" s="64"/>
      <c r="T163" s="17"/>
      <c r="Z163" t="s">
        <v>221</v>
      </c>
      <c r="AA163" s="197">
        <v>0.13</v>
      </c>
      <c r="AB163" s="196">
        <v>863</v>
      </c>
      <c r="AC163" s="8" t="s">
        <v>150</v>
      </c>
      <c r="AD163" s="8" t="s">
        <v>4</v>
      </c>
    </row>
    <row r="164" spans="10:30" ht="15.75">
      <c r="J164" s="65" t="s">
        <v>128</v>
      </c>
      <c r="K164" s="13">
        <f>ROUND(STG1-SBSA1,2)</f>
        <v>74977.8</v>
      </c>
      <c r="L164" s="17"/>
      <c r="M164" s="64"/>
      <c r="T164" s="17"/>
      <c r="Z164" t="s">
        <v>222</v>
      </c>
      <c r="AA164" s="197">
        <v>0.13</v>
      </c>
      <c r="AB164" s="196">
        <v>513</v>
      </c>
      <c r="AC164" s="8" t="s">
        <v>196</v>
      </c>
      <c r="AD164" s="8" t="s">
        <v>4</v>
      </c>
    </row>
    <row r="165" spans="10:30" ht="15.75">
      <c r="J165" s="65" t="s">
        <v>129</v>
      </c>
      <c r="K165" s="13">
        <f>ROUND(K133-K141,2)</f>
        <v>10949.1</v>
      </c>
      <c r="L165" s="17"/>
      <c r="M165" s="64"/>
      <c r="T165" s="17"/>
      <c r="Z165" t="s">
        <v>223</v>
      </c>
      <c r="AA165" s="197">
        <v>0.13</v>
      </c>
      <c r="AB165" s="196">
        <v>513</v>
      </c>
      <c r="AC165" s="8" t="s">
        <v>150</v>
      </c>
      <c r="AD165" s="8" t="s">
        <v>4</v>
      </c>
    </row>
    <row r="166" spans="10:30" ht="15.75">
      <c r="J166" s="65" t="s">
        <v>130</v>
      </c>
      <c r="K166" s="13">
        <f>ROUND(K134-K142,2)</f>
        <v>74977.86</v>
      </c>
      <c r="L166" s="17"/>
      <c r="M166" s="64"/>
      <c r="Z166" t="s">
        <v>224</v>
      </c>
      <c r="AA166" s="197">
        <v>0.13</v>
      </c>
      <c r="AB166" s="196">
        <v>513</v>
      </c>
      <c r="AC166" s="8" t="s">
        <v>196</v>
      </c>
      <c r="AD166" s="8" t="s">
        <v>4</v>
      </c>
    </row>
    <row r="167" spans="10:30" ht="15.75">
      <c r="J167" s="65" t="s">
        <v>392</v>
      </c>
      <c r="K167" s="13">
        <f>ROUND(K135-K143,2)</f>
        <v>84171</v>
      </c>
      <c r="L167" s="17"/>
      <c r="M167" s="64"/>
      <c r="Z167" t="s">
        <v>225</v>
      </c>
      <c r="AA167" s="197">
        <v>0.13</v>
      </c>
      <c r="AB167" s="196">
        <v>513</v>
      </c>
      <c r="AC167" s="8" t="s">
        <v>150</v>
      </c>
      <c r="AD167" s="57"/>
    </row>
    <row r="168" spans="10:30" ht="15.75">
      <c r="J168" s="65" t="s">
        <v>393</v>
      </c>
      <c r="K168" s="13">
        <f>ROUND(K136-K144,2)</f>
        <v>84171</v>
      </c>
      <c r="L168" s="17"/>
      <c r="M168" s="64"/>
      <c r="T168" s="17"/>
      <c r="Z168" t="s">
        <v>226</v>
      </c>
      <c r="AA168" s="197">
        <v>0.13</v>
      </c>
      <c r="AB168" s="196">
        <v>513</v>
      </c>
      <c r="AC168" s="8" t="s">
        <v>196</v>
      </c>
      <c r="AD168" s="57"/>
    </row>
    <row r="169" spans="10:30" ht="15.75">
      <c r="J169" s="65" t="s">
        <v>394</v>
      </c>
      <c r="K169" s="13">
        <f>ROUND(K137-K145,2)</f>
        <v>84171</v>
      </c>
      <c r="L169" s="17"/>
      <c r="M169" s="64"/>
      <c r="T169" s="17"/>
      <c r="Z169" t="s">
        <v>227</v>
      </c>
      <c r="AA169" s="197">
        <v>0.13</v>
      </c>
      <c r="AB169" s="196">
        <v>513</v>
      </c>
      <c r="AC169" s="8" t="s">
        <v>150</v>
      </c>
      <c r="AD169" s="57"/>
    </row>
    <row r="170" spans="10:30" ht="15.75">
      <c r="J170" s="14"/>
      <c r="T170" s="17"/>
      <c r="Z170" t="s">
        <v>228</v>
      </c>
      <c r="AA170" s="197">
        <v>0.13</v>
      </c>
      <c r="AB170" s="196">
        <v>863</v>
      </c>
      <c r="AC170" s="8" t="s">
        <v>196</v>
      </c>
      <c r="AD170" s="57"/>
    </row>
    <row r="171" spans="10:30" ht="15.75">
      <c r="J171" s="65" t="s">
        <v>131</v>
      </c>
      <c r="M171" s="64"/>
      <c r="T171" s="17"/>
      <c r="Z171" t="s">
        <v>229</v>
      </c>
      <c r="AA171" s="197">
        <v>0.13</v>
      </c>
      <c r="AB171" s="196">
        <v>863</v>
      </c>
      <c r="AC171" s="8" t="s">
        <v>150</v>
      </c>
      <c r="AD171" s="8" t="s">
        <v>4</v>
      </c>
    </row>
    <row r="172" spans="10:30" ht="15.75">
      <c r="J172" s="65" t="s">
        <v>132</v>
      </c>
      <c r="K172" s="36">
        <f>(SBST1+ROUND(SOVR1*SMTR1,5))</f>
        <v>10470.73894</v>
      </c>
      <c r="L172" s="17"/>
      <c r="M172" s="64"/>
      <c r="T172" s="17"/>
      <c r="Z172" t="s">
        <v>230</v>
      </c>
      <c r="AA172" s="197">
        <v>0.06</v>
      </c>
      <c r="AB172" s="196">
        <v>513</v>
      </c>
      <c r="AC172" s="8" t="s">
        <v>196</v>
      </c>
      <c r="AD172" s="8" t="s">
        <v>4</v>
      </c>
    </row>
    <row r="173" spans="10:30" ht="15.75">
      <c r="J173" s="65" t="s">
        <v>133</v>
      </c>
      <c r="K173" s="36">
        <f>(K157+ROUND(K165*SMTR2,5))</f>
        <v>844.2904</v>
      </c>
      <c r="L173" s="17"/>
      <c r="M173" s="64"/>
      <c r="T173" s="17"/>
      <c r="Z173" t="s">
        <v>231</v>
      </c>
      <c r="AA173" s="197">
        <v>0.06</v>
      </c>
      <c r="AB173" s="196">
        <v>513</v>
      </c>
      <c r="AC173" s="8" t="s">
        <v>150</v>
      </c>
      <c r="AD173" s="8" t="s">
        <v>4</v>
      </c>
    </row>
    <row r="174" spans="10:30" ht="15.75">
      <c r="J174" s="65" t="s">
        <v>134</v>
      </c>
      <c r="K174" s="36">
        <f>(K158+ROUND(K166*SMTR3,5))</f>
        <v>10470.74508</v>
      </c>
      <c r="L174" s="17"/>
      <c r="M174" s="64"/>
      <c r="Z174" t="s">
        <v>570</v>
      </c>
      <c r="AA174" s="197">
        <v>0.06</v>
      </c>
      <c r="AB174" s="196">
        <v>513</v>
      </c>
      <c r="AC174" s="8" t="s">
        <v>196</v>
      </c>
      <c r="AD174" s="8" t="s">
        <v>4</v>
      </c>
    </row>
    <row r="175" spans="10:30" ht="15.75">
      <c r="J175" s="65" t="s">
        <v>135</v>
      </c>
      <c r="K175" s="36">
        <f>(K159+ROUND(K167*SMTR4,5))</f>
        <v>11411.203300000001</v>
      </c>
      <c r="L175" s="17"/>
      <c r="M175" s="64"/>
      <c r="Z175" t="s">
        <v>571</v>
      </c>
      <c r="AA175" s="197">
        <v>0.06</v>
      </c>
      <c r="AB175" s="196">
        <v>513</v>
      </c>
      <c r="AC175" s="8" t="s">
        <v>150</v>
      </c>
      <c r="AD175" s="8" t="s">
        <v>4</v>
      </c>
    </row>
    <row r="176" spans="10:30" ht="15.75">
      <c r="J176" s="65" t="s">
        <v>136</v>
      </c>
      <c r="K176" s="36">
        <f>(K160+ROUND(K168*SMTR5,5))</f>
        <v>11411.203300000001</v>
      </c>
      <c r="L176" s="17"/>
      <c r="M176" s="64"/>
      <c r="T176" s="17"/>
      <c r="Z176" t="s">
        <v>468</v>
      </c>
      <c r="AA176" s="197">
        <v>0.13</v>
      </c>
      <c r="AB176" s="196">
        <v>513</v>
      </c>
      <c r="AC176" s="57" t="s">
        <v>150</v>
      </c>
      <c r="AD176" s="8" t="s">
        <v>4</v>
      </c>
    </row>
    <row r="177" spans="10:30" ht="15.75">
      <c r="J177" s="65" t="s">
        <v>137</v>
      </c>
      <c r="K177" s="36">
        <f>(K161+ROUND(K169*SMTR6,5))</f>
        <v>11411.203300000001</v>
      </c>
      <c r="L177" s="17"/>
      <c r="M177" s="64"/>
      <c r="T177" s="17"/>
      <c r="Z177" t="s">
        <v>469</v>
      </c>
      <c r="AA177" s="197">
        <v>0.11</v>
      </c>
      <c r="AB177" s="196">
        <v>863</v>
      </c>
      <c r="AC177" s="57" t="s">
        <v>196</v>
      </c>
      <c r="AD177" s="8" t="s">
        <v>4</v>
      </c>
    </row>
    <row r="178" spans="10:30" ht="15.75">
      <c r="J178" s="14"/>
      <c r="T178" s="17"/>
      <c r="Z178" t="s">
        <v>470</v>
      </c>
      <c r="AA178" s="197">
        <v>0.13</v>
      </c>
      <c r="AB178" s="196">
        <v>863</v>
      </c>
      <c r="AC178" s="57" t="s">
        <v>150</v>
      </c>
      <c r="AD178" s="8" t="s">
        <v>4</v>
      </c>
    </row>
    <row r="179" spans="10:30" ht="15.75">
      <c r="J179" s="65" t="s">
        <v>138</v>
      </c>
      <c r="M179" s="64"/>
      <c r="T179" s="17"/>
      <c r="Z179" t="s">
        <v>467</v>
      </c>
      <c r="AA179" s="197">
        <v>0.11</v>
      </c>
      <c r="AB179" s="196">
        <v>513</v>
      </c>
      <c r="AC179" s="57" t="s">
        <v>196</v>
      </c>
      <c r="AD179" s="57"/>
    </row>
    <row r="180" spans="10:30" ht="15.75">
      <c r="J180" s="65" t="s">
        <v>139</v>
      </c>
      <c r="K180" s="97">
        <f>IF(OR(TG1*PAYFACT&lt;=LIE,(STA1-TXCREDIT)/PAYFACT&lt;=0),0,IF(STA1-TXCREDIT/PAYFACT&gt;0,ROUND((STA1-TXCREDIT)/PAYFACT,2)))</f>
        <v>760.73</v>
      </c>
      <c r="L180" s="17"/>
      <c r="M180" s="64"/>
      <c r="T180" s="17"/>
      <c r="Z180" t="s">
        <v>619</v>
      </c>
      <c r="AA180" s="197">
        <v>0.12</v>
      </c>
      <c r="AB180" s="196">
        <v>863</v>
      </c>
      <c r="AC180" s="8" t="s">
        <v>150</v>
      </c>
      <c r="AD180" s="57"/>
    </row>
    <row r="181" spans="10:30" ht="15.75">
      <c r="J181" s="65" t="s">
        <v>140</v>
      </c>
      <c r="K181" s="13">
        <f>IF(OR(TG2*PAYFACT&lt;=LIE,(K173-TXCREDIT)/PAYFACT&lt;=0),0,IF(K173-TXCREDIT/PAYFACT&gt;0,ROUND((K173-TXCREDIT)/PAYFACT,2)))</f>
        <v>0</v>
      </c>
      <c r="L181" s="17"/>
      <c r="M181" s="64"/>
      <c r="T181" s="17"/>
      <c r="Z181" t="s">
        <v>664</v>
      </c>
      <c r="AA181" s="197">
        <v>0.12</v>
      </c>
      <c r="AB181" s="196">
        <v>863</v>
      </c>
      <c r="AC181" s="8" t="s">
        <v>196</v>
      </c>
      <c r="AD181" s="57"/>
    </row>
    <row r="182" spans="10:30" ht="15.75">
      <c r="J182" s="65" t="s">
        <v>141</v>
      </c>
      <c r="K182" s="13">
        <f>IF(OR(TG3*PAYFACT&lt;=LIE,(K174-TXCREDIT)/PAYFACT&lt;=0),0,IF(K174-TXCREDIT/PAYFACT&gt;0,ROUND((K174-TXCREDIT)/PAYFACT,2)))</f>
        <v>760.73</v>
      </c>
      <c r="L182" s="17"/>
      <c r="M182" s="64"/>
      <c r="Z182" t="s">
        <v>665</v>
      </c>
      <c r="AA182" s="197">
        <v>0.08</v>
      </c>
      <c r="AB182" s="196">
        <v>238</v>
      </c>
      <c r="AC182" s="8" t="s">
        <v>150</v>
      </c>
      <c r="AD182" s="57"/>
    </row>
    <row r="183" spans="10:29" ht="15.75">
      <c r="J183" s="65" t="s">
        <v>142</v>
      </c>
      <c r="K183" s="13">
        <f>IF(OR(TG4*PAYFACT&lt;=LIE,(K175-TXCREDIT)/PAYFACT&lt;=0),0,IF(K175-TXCREDIT/PAYFACT&gt;0,ROUND((K175-TXCREDIT)/PAYFACT,2)))</f>
        <v>839.1</v>
      </c>
      <c r="L183" s="17"/>
      <c r="M183" s="64"/>
      <c r="Z183" t="s">
        <v>666</v>
      </c>
      <c r="AA183" s="197">
        <v>0.08</v>
      </c>
      <c r="AB183" s="196">
        <v>317</v>
      </c>
      <c r="AC183" s="8" t="s">
        <v>196</v>
      </c>
    </row>
    <row r="184" spans="10:29" ht="15.75">
      <c r="J184" s="65" t="s">
        <v>143</v>
      </c>
      <c r="K184" s="13">
        <f>IF(OR(TG4*PAYFACT&lt;=LIE,(K176-TXCREDIT)/PAYFACT&lt;=0),0,IF(K176-TXCREDIT/PAYFACT&gt;0,ROUND((K176-TXCREDIT)/PAYFACT,2)))</f>
        <v>839.1</v>
      </c>
      <c r="L184" s="17"/>
      <c r="M184" s="64"/>
      <c r="Z184" s="198">
        <v>66</v>
      </c>
      <c r="AA184" s="197">
        <v>0.08</v>
      </c>
      <c r="AB184" s="196">
        <v>863</v>
      </c>
      <c r="AC184" s="8" t="s">
        <v>196</v>
      </c>
    </row>
    <row r="185" spans="10:29" ht="15.75">
      <c r="J185" s="65" t="s">
        <v>144</v>
      </c>
      <c r="K185" s="13">
        <f>IF(OR(TG6*PAYFACT&lt;=LIE,(K177-TXCREDIT)/PAYFACT&lt;=0),0,IF(K177-TXCREDIT/PAYFACT&gt;0,ROUND((K177-TXCREDIT)/PAYFACT,2)))</f>
        <v>839.1</v>
      </c>
      <c r="L185" s="17"/>
      <c r="M185" s="64"/>
      <c r="Z185" t="s">
        <v>667</v>
      </c>
      <c r="AA185" s="197">
        <v>0.01</v>
      </c>
      <c r="AB185" s="196">
        <v>317</v>
      </c>
      <c r="AC185" s="8" t="s">
        <v>150</v>
      </c>
    </row>
    <row r="186" spans="26:29" ht="15.75">
      <c r="Z186" t="s">
        <v>668</v>
      </c>
      <c r="AA186" s="197">
        <v>0.11</v>
      </c>
      <c r="AB186" s="196">
        <v>317</v>
      </c>
      <c r="AC186" s="8" t="s">
        <v>196</v>
      </c>
    </row>
    <row r="187" spans="26:30" ht="15.75">
      <c r="Z187" t="s">
        <v>232</v>
      </c>
      <c r="AA187" s="197">
        <v>0.115</v>
      </c>
      <c r="AB187" s="196">
        <v>317</v>
      </c>
      <c r="AC187" s="8" t="s">
        <v>150</v>
      </c>
      <c r="AD187" s="115"/>
    </row>
    <row r="188" spans="26:30" ht="15.75">
      <c r="Z188" t="s">
        <v>233</v>
      </c>
      <c r="AA188" s="197">
        <v>0.11</v>
      </c>
      <c r="AB188" s="196">
        <v>317</v>
      </c>
      <c r="AC188" s="8" t="s">
        <v>196</v>
      </c>
      <c r="AD188" s="115"/>
    </row>
    <row r="189" spans="26:30" ht="15.75">
      <c r="Z189" t="s">
        <v>234</v>
      </c>
      <c r="AA189" s="197">
        <v>0.11</v>
      </c>
      <c r="AB189" s="196">
        <v>317</v>
      </c>
      <c r="AC189" s="8" t="s">
        <v>150</v>
      </c>
      <c r="AD189" s="115"/>
    </row>
    <row r="190" spans="26:30" ht="15.75">
      <c r="Z190" t="s">
        <v>235</v>
      </c>
      <c r="AA190" s="197">
        <v>0.07</v>
      </c>
      <c r="AB190" s="196">
        <v>317</v>
      </c>
      <c r="AC190" s="8" t="s">
        <v>196</v>
      </c>
      <c r="AD190" s="115"/>
    </row>
    <row r="191" spans="26:30" ht="15.75">
      <c r="Z191" t="s">
        <v>236</v>
      </c>
      <c r="AA191" s="197">
        <v>0.11</v>
      </c>
      <c r="AB191" s="196">
        <v>317</v>
      </c>
      <c r="AC191" s="8" t="s">
        <v>150</v>
      </c>
      <c r="AD191" s="115"/>
    </row>
    <row r="192" spans="26:30" ht="15.75">
      <c r="Z192" t="s">
        <v>237</v>
      </c>
      <c r="AA192" s="197">
        <v>0.11</v>
      </c>
      <c r="AB192" s="196">
        <v>317</v>
      </c>
      <c r="AC192" s="8" t="s">
        <v>196</v>
      </c>
      <c r="AD192" s="115"/>
    </row>
    <row r="193" spans="26:30" ht="15.75">
      <c r="Z193" t="s">
        <v>238</v>
      </c>
      <c r="AA193" s="197">
        <v>0.12</v>
      </c>
      <c r="AB193" s="196">
        <v>863</v>
      </c>
      <c r="AC193" s="8" t="s">
        <v>196</v>
      </c>
      <c r="AD193" s="115"/>
    </row>
    <row r="194" spans="26:30" ht="15.75">
      <c r="Z194" t="s">
        <v>512</v>
      </c>
      <c r="AA194" s="197">
        <v>0.12</v>
      </c>
      <c r="AB194" s="196">
        <v>863</v>
      </c>
      <c r="AC194" s="8" t="s">
        <v>150</v>
      </c>
      <c r="AD194" s="115"/>
    </row>
    <row r="195" spans="26:30" ht="15.75">
      <c r="Z195" t="s">
        <v>478</v>
      </c>
      <c r="AA195" s="197">
        <v>0.1</v>
      </c>
      <c r="AB195" s="196">
        <v>317</v>
      </c>
      <c r="AC195" s="57" t="s">
        <v>150</v>
      </c>
      <c r="AD195" s="57"/>
    </row>
    <row r="196" spans="26:30" ht="15.75">
      <c r="Z196" t="s">
        <v>479</v>
      </c>
      <c r="AA196" s="197">
        <v>0.1</v>
      </c>
      <c r="AB196" s="196">
        <v>317</v>
      </c>
      <c r="AC196" s="57" t="s">
        <v>196</v>
      </c>
      <c r="AD196" s="57"/>
    </row>
    <row r="197" spans="26:30" ht="15.75">
      <c r="Z197" t="s">
        <v>503</v>
      </c>
      <c r="AA197" s="197">
        <v>0.135</v>
      </c>
      <c r="AB197" s="196">
        <v>317</v>
      </c>
      <c r="AC197" s="57" t="s">
        <v>196</v>
      </c>
      <c r="AD197" s="57"/>
    </row>
    <row r="198" spans="26:30" ht="15.75">
      <c r="Z198" t="s">
        <v>499</v>
      </c>
      <c r="AA198" s="197">
        <v>0.135</v>
      </c>
      <c r="AB198" s="196">
        <v>317</v>
      </c>
      <c r="AC198" s="57" t="s">
        <v>150</v>
      </c>
      <c r="AD198" s="115"/>
    </row>
    <row r="199" spans="26:30" ht="15.75">
      <c r="Z199" t="s">
        <v>504</v>
      </c>
      <c r="AA199" s="197">
        <v>0.135</v>
      </c>
      <c r="AB199" s="196">
        <v>317</v>
      </c>
      <c r="AC199" s="57" t="s">
        <v>150</v>
      </c>
      <c r="AD199" s="115"/>
    </row>
    <row r="200" spans="26:30" ht="15.75">
      <c r="Z200" t="s">
        <v>594</v>
      </c>
      <c r="AA200" s="197">
        <v>0.115</v>
      </c>
      <c r="AB200" s="196">
        <v>317</v>
      </c>
      <c r="AC200" s="191" t="s">
        <v>150</v>
      </c>
      <c r="AD200" s="115"/>
    </row>
    <row r="201" spans="26:30" ht="15.75">
      <c r="Z201" t="s">
        <v>595</v>
      </c>
      <c r="AA201" s="197">
        <v>0.115</v>
      </c>
      <c r="AB201" s="196">
        <v>317</v>
      </c>
      <c r="AC201" s="191" t="s">
        <v>196</v>
      </c>
      <c r="AD201" s="57"/>
    </row>
    <row r="202" spans="26:30" ht="15.75">
      <c r="Z202" t="s">
        <v>596</v>
      </c>
      <c r="AA202" s="197">
        <v>0.115</v>
      </c>
      <c r="AB202" s="196">
        <v>317</v>
      </c>
      <c r="AC202" s="191" t="s">
        <v>150</v>
      </c>
      <c r="AD202" s="57"/>
    </row>
    <row r="203" spans="26:30" ht="15.75">
      <c r="Z203" t="s">
        <v>597</v>
      </c>
      <c r="AA203" s="197">
        <v>0.115</v>
      </c>
      <c r="AB203" s="196">
        <v>317</v>
      </c>
      <c r="AC203" s="191" t="s">
        <v>150</v>
      </c>
      <c r="AD203" s="115"/>
    </row>
    <row r="204" spans="26:30" ht="15.75">
      <c r="Z204" t="s">
        <v>598</v>
      </c>
      <c r="AA204" s="197">
        <v>0.115</v>
      </c>
      <c r="AB204" s="196">
        <v>317</v>
      </c>
      <c r="AC204" s="191" t="s">
        <v>150</v>
      </c>
      <c r="AD204" s="115"/>
    </row>
    <row r="205" spans="26:30" ht="15.75">
      <c r="Z205" t="s">
        <v>599</v>
      </c>
      <c r="AA205" s="197">
        <v>0.115</v>
      </c>
      <c r="AB205" s="196">
        <v>317</v>
      </c>
      <c r="AC205" s="191" t="s">
        <v>196</v>
      </c>
      <c r="AD205" s="115"/>
    </row>
    <row r="206" spans="26:30" ht="15.75">
      <c r="Z206" t="s">
        <v>600</v>
      </c>
      <c r="AA206" s="197">
        <v>0.115</v>
      </c>
      <c r="AB206" s="196">
        <v>317</v>
      </c>
      <c r="AC206" s="191" t="s">
        <v>150</v>
      </c>
      <c r="AD206" s="115"/>
    </row>
    <row r="207" spans="26:30" ht="15.75">
      <c r="Z207" t="s">
        <v>601</v>
      </c>
      <c r="AA207" s="197">
        <v>0.115</v>
      </c>
      <c r="AB207" s="196">
        <v>317</v>
      </c>
      <c r="AC207" s="191" t="s">
        <v>196</v>
      </c>
      <c r="AD207" s="115"/>
    </row>
    <row r="208" spans="26:30" ht="15.75">
      <c r="Z208" t="s">
        <v>602</v>
      </c>
      <c r="AA208" s="197">
        <v>0.115</v>
      </c>
      <c r="AB208" s="196">
        <v>317</v>
      </c>
      <c r="AC208" s="191" t="s">
        <v>150</v>
      </c>
      <c r="AD208" s="115"/>
    </row>
    <row r="209" spans="26:30" ht="15.75">
      <c r="Z209" t="s">
        <v>603</v>
      </c>
      <c r="AA209" s="197">
        <v>0.115</v>
      </c>
      <c r="AB209" s="196">
        <v>317</v>
      </c>
      <c r="AC209" s="191" t="s">
        <v>150</v>
      </c>
      <c r="AD209" s="115"/>
    </row>
    <row r="210" spans="26:30" ht="15.75">
      <c r="Z210" t="s">
        <v>604</v>
      </c>
      <c r="AA210" s="197">
        <v>0.115</v>
      </c>
      <c r="AB210" s="196">
        <v>317</v>
      </c>
      <c r="AC210" s="191" t="s">
        <v>150</v>
      </c>
      <c r="AD210" s="115"/>
    </row>
    <row r="211" spans="26:30" ht="15.75">
      <c r="Z211" t="s">
        <v>605</v>
      </c>
      <c r="AA211" s="197">
        <v>0.115</v>
      </c>
      <c r="AB211" s="196">
        <v>317</v>
      </c>
      <c r="AC211" s="191" t="s">
        <v>150</v>
      </c>
      <c r="AD211" s="115"/>
    </row>
    <row r="212" spans="26:30" ht="15.75">
      <c r="Z212" t="s">
        <v>669</v>
      </c>
      <c r="AA212" s="197">
        <v>0.06</v>
      </c>
      <c r="AB212" s="196">
        <v>317</v>
      </c>
      <c r="AC212" s="57" t="s">
        <v>150</v>
      </c>
      <c r="AD212" s="115"/>
    </row>
    <row r="213" spans="26:30" ht="15.75">
      <c r="Z213" t="s">
        <v>670</v>
      </c>
      <c r="AA213" s="197">
        <v>0.06</v>
      </c>
      <c r="AB213" s="196">
        <v>317</v>
      </c>
      <c r="AC213" s="8" t="s">
        <v>196</v>
      </c>
      <c r="AD213" s="115"/>
    </row>
    <row r="214" spans="26:30" ht="15.75">
      <c r="Z214" s="198">
        <v>84</v>
      </c>
      <c r="AA214" s="197">
        <v>0</v>
      </c>
      <c r="AB214" s="196">
        <v>238</v>
      </c>
      <c r="AC214" s="57" t="s">
        <v>150</v>
      </c>
      <c r="AD214" s="115"/>
    </row>
    <row r="215" spans="26:30" ht="15.75">
      <c r="Z215" t="s">
        <v>671</v>
      </c>
      <c r="AA215" s="197">
        <v>0</v>
      </c>
      <c r="AB215" s="196">
        <v>238</v>
      </c>
      <c r="AC215" s="57" t="s">
        <v>196</v>
      </c>
      <c r="AD215" s="115"/>
    </row>
    <row r="216" spans="26:30" ht="15.75">
      <c r="Z216" t="s">
        <v>672</v>
      </c>
      <c r="AA216" s="197">
        <v>0.08</v>
      </c>
      <c r="AB216" s="196">
        <v>238</v>
      </c>
      <c r="AC216" s="57" t="s">
        <v>196</v>
      </c>
      <c r="AD216" s="115"/>
    </row>
    <row r="217" spans="26:30" ht="15.75">
      <c r="Z217" t="s">
        <v>673</v>
      </c>
      <c r="AA217" s="197">
        <v>0</v>
      </c>
      <c r="AB217" s="196">
        <v>238</v>
      </c>
      <c r="AC217" s="57" t="s">
        <v>150</v>
      </c>
      <c r="AD217" s="115"/>
    </row>
    <row r="218" spans="26:30" ht="15.75">
      <c r="Z218" t="s">
        <v>674</v>
      </c>
      <c r="AA218" s="197">
        <v>0.08</v>
      </c>
      <c r="AB218" s="196">
        <v>238</v>
      </c>
      <c r="AC218" s="57" t="s">
        <v>150</v>
      </c>
      <c r="AD218" s="115"/>
    </row>
    <row r="219" spans="26:30" ht="15.75">
      <c r="Z219" t="s">
        <v>675</v>
      </c>
      <c r="AA219" s="197">
        <v>0</v>
      </c>
      <c r="AB219" s="196">
        <v>0</v>
      </c>
      <c r="AC219" s="8" t="s">
        <v>196</v>
      </c>
      <c r="AD219" s="115"/>
    </row>
    <row r="220" spans="26:30" ht="15.75">
      <c r="Z220" t="s">
        <v>676</v>
      </c>
      <c r="AA220" s="197">
        <v>0</v>
      </c>
      <c r="AB220" s="196">
        <v>0</v>
      </c>
      <c r="AC220" s="8" t="s">
        <v>196</v>
      </c>
      <c r="AD220" s="115"/>
    </row>
    <row r="221" spans="26:30" ht="15.75">
      <c r="Z221" t="s">
        <v>677</v>
      </c>
      <c r="AA221" s="197">
        <v>0.1</v>
      </c>
      <c r="AB221" s="196">
        <v>317</v>
      </c>
      <c r="AC221" s="8" t="s">
        <v>196</v>
      </c>
      <c r="AD221" s="115"/>
    </row>
    <row r="222" spans="26:30" ht="15.75">
      <c r="Z222" t="s">
        <v>678</v>
      </c>
      <c r="AA222" s="197">
        <v>0.05</v>
      </c>
      <c r="AB222" s="196">
        <v>513</v>
      </c>
      <c r="AC222" s="8" t="s">
        <v>197</v>
      </c>
      <c r="AD222" s="115"/>
    </row>
    <row r="223" spans="26:30" ht="15.75">
      <c r="Z223" t="s">
        <v>679</v>
      </c>
      <c r="AA223" s="197">
        <v>0.0375</v>
      </c>
      <c r="AB223" s="196">
        <v>0</v>
      </c>
      <c r="AC223" s="8" t="s">
        <v>197</v>
      </c>
      <c r="AD223" s="115"/>
    </row>
    <row r="224" spans="26:30" ht="15.75">
      <c r="Z224" t="s">
        <v>680</v>
      </c>
      <c r="AA224" s="197">
        <v>0.0375</v>
      </c>
      <c r="AB224" s="196">
        <v>0</v>
      </c>
      <c r="AC224" s="8" t="s">
        <v>197</v>
      </c>
      <c r="AD224" s="115"/>
    </row>
    <row r="225" spans="26:30" ht="15.75">
      <c r="Z225" t="s">
        <v>681</v>
      </c>
      <c r="AA225" s="197">
        <v>0.01</v>
      </c>
      <c r="AB225" s="196">
        <v>317</v>
      </c>
      <c r="AC225" s="8" t="s">
        <v>150</v>
      </c>
      <c r="AD225" s="115"/>
    </row>
    <row r="226" spans="26:30" ht="15.75">
      <c r="Z226" t="s">
        <v>682</v>
      </c>
      <c r="AA226" s="197">
        <v>0.015</v>
      </c>
      <c r="AB226" s="196">
        <v>0</v>
      </c>
      <c r="AC226" s="8" t="s">
        <v>150</v>
      </c>
      <c r="AD226" s="115"/>
    </row>
    <row r="227" spans="26:30" ht="15.75">
      <c r="Z227" t="s">
        <v>683</v>
      </c>
      <c r="AA227" s="197">
        <v>0</v>
      </c>
      <c r="AB227" s="196">
        <v>513</v>
      </c>
      <c r="AC227" s="8" t="s">
        <v>197</v>
      </c>
      <c r="AD227" s="115"/>
    </row>
    <row r="228" spans="26:30" ht="15.75">
      <c r="Z228" t="s">
        <v>239</v>
      </c>
      <c r="AA228" s="197">
        <v>0.09</v>
      </c>
      <c r="AB228" s="196">
        <v>513</v>
      </c>
      <c r="AC228" s="8" t="s">
        <v>197</v>
      </c>
      <c r="AD228" s="115"/>
    </row>
    <row r="229" spans="26:30" ht="15.75">
      <c r="Z229" t="s">
        <v>240</v>
      </c>
      <c r="AA229" s="197">
        <v>0.09</v>
      </c>
      <c r="AB229" s="196">
        <v>513</v>
      </c>
      <c r="AC229" s="8" t="s">
        <v>197</v>
      </c>
      <c r="AD229" s="115"/>
    </row>
    <row r="230" spans="26:30" ht="15.75">
      <c r="Z230" t="s">
        <v>241</v>
      </c>
      <c r="AA230" s="197">
        <v>0.09</v>
      </c>
      <c r="AB230" s="196">
        <v>513</v>
      </c>
      <c r="AC230" s="8" t="s">
        <v>197</v>
      </c>
      <c r="AD230" s="115"/>
    </row>
    <row r="231" spans="26:30" ht="15.75">
      <c r="Z231" t="s">
        <v>242</v>
      </c>
      <c r="AA231" s="197">
        <v>0.0375</v>
      </c>
      <c r="AB231" s="196">
        <v>0</v>
      </c>
      <c r="AC231" s="8" t="s">
        <v>197</v>
      </c>
      <c r="AD231" s="115"/>
    </row>
    <row r="232" spans="26:30" ht="15.75">
      <c r="Z232" t="s">
        <v>431</v>
      </c>
      <c r="AA232" s="197">
        <v>0.11</v>
      </c>
      <c r="AB232" s="196">
        <v>317</v>
      </c>
      <c r="AC232" s="8" t="s">
        <v>196</v>
      </c>
      <c r="AD232" s="115"/>
    </row>
    <row r="233" spans="26:30" ht="15.75">
      <c r="Z233" t="s">
        <v>432</v>
      </c>
      <c r="AA233" s="197">
        <v>0.1</v>
      </c>
      <c r="AB233" s="196">
        <v>317</v>
      </c>
      <c r="AC233" s="8" t="s">
        <v>150</v>
      </c>
      <c r="AD233" s="57"/>
    </row>
    <row r="234" spans="26:30" ht="15.75">
      <c r="Z234" t="s">
        <v>433</v>
      </c>
      <c r="AA234" s="197">
        <v>0.1</v>
      </c>
      <c r="AB234" s="196">
        <v>513</v>
      </c>
      <c r="AC234" s="8" t="s">
        <v>197</v>
      </c>
      <c r="AD234" s="57"/>
    </row>
    <row r="235" spans="26:30" ht="15.75">
      <c r="Z235" t="s">
        <v>434</v>
      </c>
      <c r="AA235" s="197">
        <v>0.11</v>
      </c>
      <c r="AB235" s="196">
        <v>317</v>
      </c>
      <c r="AC235" s="8" t="s">
        <v>196</v>
      </c>
      <c r="AD235" s="57"/>
    </row>
    <row r="236" spans="26:30" ht="15.75">
      <c r="Z236" t="s">
        <v>435</v>
      </c>
      <c r="AA236" s="197">
        <v>0.11</v>
      </c>
      <c r="AB236" s="196">
        <v>317</v>
      </c>
      <c r="AC236" s="8" t="s">
        <v>150</v>
      </c>
      <c r="AD236" s="57"/>
    </row>
    <row r="237" spans="26:30" ht="15.75">
      <c r="Z237" t="s">
        <v>572</v>
      </c>
      <c r="AA237" s="197">
        <v>0.05</v>
      </c>
      <c r="AB237" s="196">
        <v>513</v>
      </c>
      <c r="AC237" s="8" t="s">
        <v>197</v>
      </c>
      <c r="AD237" s="57"/>
    </row>
    <row r="238" spans="26:30" ht="15.75">
      <c r="Z238" t="s">
        <v>436</v>
      </c>
      <c r="AA238" s="197">
        <v>0.1</v>
      </c>
      <c r="AB238" s="196">
        <v>513</v>
      </c>
      <c r="AC238" s="8" t="s">
        <v>197</v>
      </c>
      <c r="AD238" s="57"/>
    </row>
    <row r="239" spans="26:30" ht="15.75">
      <c r="Z239" t="s">
        <v>437</v>
      </c>
      <c r="AA239" s="197">
        <v>0.1</v>
      </c>
      <c r="AB239" s="196">
        <v>513</v>
      </c>
      <c r="AC239" s="8" t="s">
        <v>197</v>
      </c>
      <c r="AD239" s="57"/>
    </row>
    <row r="240" spans="26:29" ht="15.75">
      <c r="Z240" t="s">
        <v>455</v>
      </c>
      <c r="AA240" s="197">
        <v>0.09</v>
      </c>
      <c r="AB240" s="196">
        <v>513</v>
      </c>
      <c r="AC240" s="8" t="s">
        <v>197</v>
      </c>
    </row>
    <row r="241" spans="26:29" ht="15.75">
      <c r="Z241" t="s">
        <v>464</v>
      </c>
      <c r="AA241" s="197">
        <v>0.09</v>
      </c>
      <c r="AB241" s="196">
        <v>513</v>
      </c>
      <c r="AC241" s="57" t="s">
        <v>197</v>
      </c>
    </row>
    <row r="242" spans="26:29" ht="15.75">
      <c r="Z242" t="s">
        <v>462</v>
      </c>
      <c r="AA242" s="197">
        <v>0.09</v>
      </c>
      <c r="AB242" s="196">
        <v>317</v>
      </c>
      <c r="AC242" s="57" t="s">
        <v>196</v>
      </c>
    </row>
    <row r="243" spans="26:29" ht="15.75">
      <c r="Z243" t="s">
        <v>463</v>
      </c>
      <c r="AA243" s="197">
        <v>0.1</v>
      </c>
      <c r="AB243" s="196">
        <v>317</v>
      </c>
      <c r="AC243" s="57" t="s">
        <v>150</v>
      </c>
    </row>
    <row r="244" spans="26:29" ht="15.75">
      <c r="Z244" t="s">
        <v>453</v>
      </c>
      <c r="AA244" s="197">
        <v>0.1</v>
      </c>
      <c r="AB244" s="196">
        <v>317</v>
      </c>
      <c r="AC244" s="8" t="s">
        <v>196</v>
      </c>
    </row>
    <row r="245" spans="26:29" ht="15.75">
      <c r="Z245" t="s">
        <v>454</v>
      </c>
      <c r="AA245" s="197">
        <v>0.1</v>
      </c>
      <c r="AB245" s="196">
        <v>317</v>
      </c>
      <c r="AC245" s="8" t="s">
        <v>150</v>
      </c>
    </row>
    <row r="246" spans="26:29" ht="15.75">
      <c r="Z246" t="s">
        <v>456</v>
      </c>
      <c r="AA246" s="197">
        <v>0.09</v>
      </c>
      <c r="AB246" s="196">
        <v>513</v>
      </c>
      <c r="AC246" s="8" t="s">
        <v>197</v>
      </c>
    </row>
    <row r="247" spans="26:29" ht="15.75">
      <c r="Z247" t="s">
        <v>476</v>
      </c>
      <c r="AA247" s="197">
        <v>0.09</v>
      </c>
      <c r="AB247" s="196">
        <v>513</v>
      </c>
      <c r="AC247" s="57" t="s">
        <v>197</v>
      </c>
    </row>
    <row r="248" spans="26:29" ht="15.75">
      <c r="Z248" t="s">
        <v>477</v>
      </c>
      <c r="AA248" s="197">
        <v>0.095</v>
      </c>
      <c r="AB248" s="196">
        <v>513</v>
      </c>
      <c r="AC248" s="57" t="s">
        <v>197</v>
      </c>
    </row>
    <row r="249" spans="26:29" ht="15.75">
      <c r="Z249" t="s">
        <v>398</v>
      </c>
      <c r="AA249" s="197">
        <v>0.1</v>
      </c>
      <c r="AB249" s="196">
        <v>513</v>
      </c>
      <c r="AC249" s="8" t="s">
        <v>197</v>
      </c>
    </row>
    <row r="250" spans="26:29" ht="15.75">
      <c r="Z250" t="s">
        <v>399</v>
      </c>
      <c r="AA250" s="197">
        <v>0.1</v>
      </c>
      <c r="AB250" s="196">
        <v>513</v>
      </c>
      <c r="AC250" s="8" t="s">
        <v>197</v>
      </c>
    </row>
    <row r="251" spans="26:29" ht="15.75">
      <c r="Z251" t="s">
        <v>490</v>
      </c>
      <c r="AA251" s="197">
        <v>0.1</v>
      </c>
      <c r="AB251" s="196">
        <v>513</v>
      </c>
      <c r="AC251" s="8" t="s">
        <v>197</v>
      </c>
    </row>
    <row r="252" spans="26:29" ht="15.75">
      <c r="Z252" t="s">
        <v>400</v>
      </c>
      <c r="AA252" s="197">
        <v>0.1</v>
      </c>
      <c r="AB252" s="196">
        <v>513</v>
      </c>
      <c r="AC252" s="8" t="s">
        <v>197</v>
      </c>
    </row>
    <row r="253" spans="26:29" ht="15.75">
      <c r="Z253" t="s">
        <v>401</v>
      </c>
      <c r="AA253" s="197">
        <v>0.1</v>
      </c>
      <c r="AB253" s="196">
        <v>513</v>
      </c>
      <c r="AC253" s="8" t="s">
        <v>197</v>
      </c>
    </row>
    <row r="254" spans="26:29" ht="15.75">
      <c r="Z254" t="s">
        <v>402</v>
      </c>
      <c r="AA254" s="197">
        <v>0.1</v>
      </c>
      <c r="AB254" s="196">
        <v>513</v>
      </c>
      <c r="AC254" s="8" t="s">
        <v>197</v>
      </c>
    </row>
    <row r="255" spans="26:29" ht="15.75">
      <c r="Z255" t="s">
        <v>403</v>
      </c>
      <c r="AA255" s="197">
        <v>0.1</v>
      </c>
      <c r="AB255" s="196">
        <v>513</v>
      </c>
      <c r="AC255" s="8" t="s">
        <v>197</v>
      </c>
    </row>
    <row r="256" spans="26:29" ht="15.75">
      <c r="Z256" t="s">
        <v>491</v>
      </c>
      <c r="AA256" s="197">
        <v>0.1</v>
      </c>
      <c r="AB256" s="196">
        <v>513</v>
      </c>
      <c r="AC256" s="8" t="s">
        <v>197</v>
      </c>
    </row>
    <row r="257" spans="26:29" ht="15.75">
      <c r="Z257" t="s">
        <v>573</v>
      </c>
      <c r="AA257" s="197">
        <v>0.05</v>
      </c>
      <c r="AB257" s="196">
        <v>513</v>
      </c>
      <c r="AC257" s="8" t="s">
        <v>197</v>
      </c>
    </row>
    <row r="258" spans="26:29" ht="15.75">
      <c r="Z258" t="s">
        <v>492</v>
      </c>
      <c r="AA258" s="197">
        <v>0.1</v>
      </c>
      <c r="AB258" s="196">
        <v>513</v>
      </c>
      <c r="AC258" s="8" t="s">
        <v>197</v>
      </c>
    </row>
    <row r="259" spans="26:29" ht="15.75">
      <c r="Z259" t="s">
        <v>502</v>
      </c>
      <c r="AA259" s="197">
        <v>0.125</v>
      </c>
      <c r="AB259" s="196">
        <v>513</v>
      </c>
      <c r="AC259" s="8" t="s">
        <v>197</v>
      </c>
    </row>
    <row r="260" spans="26:29" ht="15.75">
      <c r="Z260" t="s">
        <v>404</v>
      </c>
      <c r="AA260" s="197">
        <v>0.1</v>
      </c>
      <c r="AB260" s="196">
        <v>513</v>
      </c>
      <c r="AC260" s="8" t="s">
        <v>197</v>
      </c>
    </row>
    <row r="261" spans="26:29" ht="15.75">
      <c r="Z261" t="s">
        <v>405</v>
      </c>
      <c r="AA261" s="197">
        <v>0.1</v>
      </c>
      <c r="AB261" s="196">
        <v>513</v>
      </c>
      <c r="AC261" s="8" t="s">
        <v>197</v>
      </c>
    </row>
    <row r="262" spans="26:29" ht="15.75">
      <c r="Z262" t="s">
        <v>406</v>
      </c>
      <c r="AA262" s="197">
        <v>0.1</v>
      </c>
      <c r="AB262" s="196">
        <v>513</v>
      </c>
      <c r="AC262" s="8" t="s">
        <v>197</v>
      </c>
    </row>
    <row r="263" spans="26:29" ht="15.75">
      <c r="Z263" t="s">
        <v>439</v>
      </c>
      <c r="AA263" s="197">
        <v>0.08</v>
      </c>
      <c r="AB263" s="196">
        <v>513</v>
      </c>
      <c r="AC263" s="8" t="s">
        <v>197</v>
      </c>
    </row>
    <row r="264" spans="26:29" ht="15.75">
      <c r="Z264" t="s">
        <v>440</v>
      </c>
      <c r="AA264" s="197">
        <v>0.08</v>
      </c>
      <c r="AB264" s="196">
        <v>513</v>
      </c>
      <c r="AC264" s="8" t="s">
        <v>197</v>
      </c>
    </row>
    <row r="265" spans="26:29" ht="15.75">
      <c r="Z265" t="s">
        <v>441</v>
      </c>
      <c r="AA265" s="197">
        <v>0.09</v>
      </c>
      <c r="AB265" s="196">
        <v>513</v>
      </c>
      <c r="AC265" s="8" t="s">
        <v>197</v>
      </c>
    </row>
    <row r="266" spans="26:29" ht="15.75">
      <c r="Z266" t="s">
        <v>442</v>
      </c>
      <c r="AA266" s="197">
        <v>0.09</v>
      </c>
      <c r="AB266" s="196">
        <v>513</v>
      </c>
      <c r="AC266" s="8" t="s">
        <v>197</v>
      </c>
    </row>
    <row r="267" spans="26:29" ht="15.75">
      <c r="Z267" t="s">
        <v>471</v>
      </c>
      <c r="AA267" s="197">
        <v>0.08</v>
      </c>
      <c r="AB267" s="196">
        <v>513</v>
      </c>
      <c r="AC267" s="57" t="s">
        <v>197</v>
      </c>
    </row>
    <row r="268" spans="26:29" ht="15.75">
      <c r="Z268" t="s">
        <v>472</v>
      </c>
      <c r="AA268" s="197">
        <v>0.09</v>
      </c>
      <c r="AB268" s="196">
        <v>513</v>
      </c>
      <c r="AC268" s="57" t="s">
        <v>197</v>
      </c>
    </row>
    <row r="269" spans="26:29" ht="15.75">
      <c r="Z269" t="s">
        <v>494</v>
      </c>
      <c r="AA269" s="197">
        <v>0.125</v>
      </c>
      <c r="AB269" s="196">
        <v>513</v>
      </c>
      <c r="AC269" s="57" t="s">
        <v>197</v>
      </c>
    </row>
    <row r="270" spans="26:29" ht="15.75">
      <c r="Z270" t="s">
        <v>486</v>
      </c>
      <c r="AA270" s="197">
        <v>0.09</v>
      </c>
      <c r="AB270" s="196">
        <v>513</v>
      </c>
      <c r="AC270" s="57" t="s">
        <v>197</v>
      </c>
    </row>
    <row r="271" spans="26:29" ht="15.75">
      <c r="Z271" t="s">
        <v>487</v>
      </c>
      <c r="AA271" s="197">
        <v>0.09</v>
      </c>
      <c r="AB271" s="196">
        <v>513</v>
      </c>
      <c r="AC271" s="57" t="s">
        <v>197</v>
      </c>
    </row>
    <row r="272" spans="26:29" ht="15.75">
      <c r="Z272" t="s">
        <v>488</v>
      </c>
      <c r="AA272" s="197">
        <v>0.08</v>
      </c>
      <c r="AB272" s="196">
        <v>513</v>
      </c>
      <c r="AC272" s="57" t="s">
        <v>197</v>
      </c>
    </row>
    <row r="273" spans="26:29" ht="15.75">
      <c r="Z273" t="s">
        <v>489</v>
      </c>
      <c r="AA273" s="197">
        <v>0.095</v>
      </c>
      <c r="AB273" s="196">
        <v>513</v>
      </c>
      <c r="AC273" s="57" t="s">
        <v>197</v>
      </c>
    </row>
    <row r="274" spans="26:29" ht="15.75">
      <c r="Z274" t="s">
        <v>243</v>
      </c>
      <c r="AA274" s="197">
        <v>0.08</v>
      </c>
      <c r="AB274" s="196">
        <v>0</v>
      </c>
      <c r="AC274" s="8" t="s">
        <v>196</v>
      </c>
    </row>
    <row r="275" spans="26:29" ht="15.75">
      <c r="Z275" t="s">
        <v>244</v>
      </c>
      <c r="AA275" s="197">
        <v>0.01</v>
      </c>
      <c r="AB275" s="196">
        <v>0</v>
      </c>
      <c r="AC275" s="8" t="s">
        <v>196</v>
      </c>
    </row>
    <row r="276" spans="26:30" ht="15.75">
      <c r="Z276" t="s">
        <v>245</v>
      </c>
      <c r="AA276" s="197">
        <v>0.01</v>
      </c>
      <c r="AB276" s="196">
        <v>0</v>
      </c>
      <c r="AC276" s="8" t="s">
        <v>150</v>
      </c>
      <c r="AD276" s="115"/>
    </row>
    <row r="277" spans="26:30" ht="15.75">
      <c r="Z277" t="s">
        <v>574</v>
      </c>
      <c r="AA277" s="197">
        <v>0</v>
      </c>
      <c r="AB277" s="196">
        <v>0</v>
      </c>
      <c r="AC277" s="138" t="s">
        <v>196</v>
      </c>
      <c r="AD277" s="115"/>
    </row>
    <row r="278" spans="26:30" ht="15.75">
      <c r="Z278" t="s">
        <v>513</v>
      </c>
      <c r="AA278" s="197">
        <v>0.16</v>
      </c>
      <c r="AB278" s="196">
        <v>0</v>
      </c>
      <c r="AC278" s="138" t="s">
        <v>150</v>
      </c>
      <c r="AD278" s="115"/>
    </row>
    <row r="279" spans="26:30" ht="15.75">
      <c r="Z279" t="s">
        <v>514</v>
      </c>
      <c r="AA279" s="197">
        <v>0.16</v>
      </c>
      <c r="AB279" s="196">
        <v>0</v>
      </c>
      <c r="AC279" s="138" t="s">
        <v>196</v>
      </c>
      <c r="AD279" s="115"/>
    </row>
    <row r="280" spans="26:30" ht="15.75">
      <c r="Z280" t="s">
        <v>575</v>
      </c>
      <c r="AA280" s="197">
        <v>0.08</v>
      </c>
      <c r="AB280" s="196">
        <v>0</v>
      </c>
      <c r="AC280" s="138" t="s">
        <v>150</v>
      </c>
      <c r="AD280" s="115"/>
    </row>
    <row r="281" spans="26:30" ht="15.75">
      <c r="Z281" t="s">
        <v>576</v>
      </c>
      <c r="AA281" s="197">
        <v>0</v>
      </c>
      <c r="AB281" s="196">
        <v>0</v>
      </c>
      <c r="AC281" s="138" t="s">
        <v>196</v>
      </c>
      <c r="AD281" s="115"/>
    </row>
    <row r="282" spans="26:30" ht="15.75">
      <c r="Z282" t="s">
        <v>577</v>
      </c>
      <c r="AA282" s="197">
        <v>0</v>
      </c>
      <c r="AB282" s="196">
        <v>0</v>
      </c>
      <c r="AC282" s="8" t="s">
        <v>150</v>
      </c>
      <c r="AD282" s="115"/>
    </row>
    <row r="283" spans="26:30" ht="15.75">
      <c r="Z283" t="s">
        <v>578</v>
      </c>
      <c r="AA283" s="197">
        <v>0</v>
      </c>
      <c r="AB283" s="196">
        <v>0</v>
      </c>
      <c r="AC283" s="8" t="s">
        <v>196</v>
      </c>
      <c r="AD283" s="115"/>
    </row>
    <row r="284" spans="26:30" ht="15.75">
      <c r="Z284" t="s">
        <v>579</v>
      </c>
      <c r="AA284" s="197">
        <v>0</v>
      </c>
      <c r="AB284" s="196">
        <v>0</v>
      </c>
      <c r="AC284" s="8" t="s">
        <v>150</v>
      </c>
      <c r="AD284" s="115"/>
    </row>
    <row r="285" spans="26:29" ht="15.75">
      <c r="Z285" t="s">
        <v>580</v>
      </c>
      <c r="AA285" s="197">
        <v>0</v>
      </c>
      <c r="AB285" s="196">
        <v>0</v>
      </c>
      <c r="AC285" s="8" t="s">
        <v>196</v>
      </c>
    </row>
    <row r="286" spans="26:29" ht="15.75">
      <c r="Z286" t="s">
        <v>581</v>
      </c>
      <c r="AA286" s="197">
        <v>0</v>
      </c>
      <c r="AB286" s="196">
        <v>0</v>
      </c>
      <c r="AC286" s="8" t="s">
        <v>150</v>
      </c>
    </row>
    <row r="287" spans="26:29" ht="15.75">
      <c r="Z287" t="s">
        <v>246</v>
      </c>
      <c r="AA287" s="197">
        <v>0.08</v>
      </c>
      <c r="AB287" s="196">
        <v>0</v>
      </c>
      <c r="AC287" s="8" t="s">
        <v>150</v>
      </c>
    </row>
    <row r="288" spans="26:29" ht="15.75">
      <c r="Z288" t="s">
        <v>582</v>
      </c>
      <c r="AA288" s="197">
        <v>0.04</v>
      </c>
      <c r="AB288" s="196">
        <v>0</v>
      </c>
      <c r="AC288" s="8" t="s">
        <v>197</v>
      </c>
    </row>
    <row r="289" spans="26:29" ht="15.75">
      <c r="Z289" t="s">
        <v>583</v>
      </c>
      <c r="AA289" s="197">
        <v>0.08</v>
      </c>
      <c r="AB289" s="196">
        <v>0</v>
      </c>
      <c r="AC289" s="8" t="s">
        <v>197</v>
      </c>
    </row>
    <row r="290" spans="26:29" ht="15.75">
      <c r="Z290" t="s">
        <v>196</v>
      </c>
      <c r="AA290" s="197">
        <v>0</v>
      </c>
      <c r="AB290" s="196">
        <v>0</v>
      </c>
      <c r="AC290" s="8" t="s">
        <v>196</v>
      </c>
    </row>
    <row r="291" spans="26:29" ht="15.75">
      <c r="Z291" t="s">
        <v>584</v>
      </c>
      <c r="AA291" s="197">
        <v>0</v>
      </c>
      <c r="AB291" s="196">
        <v>0</v>
      </c>
      <c r="AC291" s="8" t="s">
        <v>150</v>
      </c>
    </row>
    <row r="292" spans="26:29" ht="15.75">
      <c r="Z292" t="s">
        <v>247</v>
      </c>
      <c r="AA292" s="197">
        <v>0</v>
      </c>
      <c r="AB292" s="196">
        <v>0</v>
      </c>
      <c r="AC292" s="8" t="s">
        <v>150</v>
      </c>
    </row>
    <row r="293" spans="26:29" ht="15.75">
      <c r="Z293" t="s">
        <v>156</v>
      </c>
      <c r="AA293" s="197">
        <v>0</v>
      </c>
      <c r="AB293" s="196">
        <v>0</v>
      </c>
      <c r="AC293" s="8" t="s">
        <v>197</v>
      </c>
    </row>
    <row r="294" spans="26:29" ht="15.75">
      <c r="Z294" t="s">
        <v>159</v>
      </c>
      <c r="AA294" s="197">
        <v>0.08</v>
      </c>
      <c r="AB294" s="196">
        <v>0</v>
      </c>
      <c r="AC294" s="8" t="s">
        <v>196</v>
      </c>
    </row>
    <row r="295" spans="26:29" ht="15.75">
      <c r="Z295" t="s">
        <v>248</v>
      </c>
      <c r="AA295" s="197">
        <v>0.1025</v>
      </c>
      <c r="AB295" s="196">
        <v>0</v>
      </c>
      <c r="AC295" s="8" t="s">
        <v>150</v>
      </c>
    </row>
    <row r="296" spans="26:29" ht="15.75">
      <c r="Z296" t="s">
        <v>524</v>
      </c>
      <c r="AA296" s="197">
        <v>0.10205</v>
      </c>
      <c r="AB296" s="196">
        <v>0</v>
      </c>
      <c r="AC296" s="8" t="s">
        <v>150</v>
      </c>
    </row>
    <row r="297" spans="26:29" ht="15.75">
      <c r="Z297" t="s">
        <v>249</v>
      </c>
      <c r="AA297" s="197">
        <v>0.075</v>
      </c>
      <c r="AB297" s="196">
        <v>0</v>
      </c>
      <c r="AC297" s="8" t="s">
        <v>196</v>
      </c>
    </row>
    <row r="298" spans="26:29" ht="15.75">
      <c r="Z298" t="s">
        <v>250</v>
      </c>
      <c r="AA298" s="197">
        <v>0.09</v>
      </c>
      <c r="AB298" s="196">
        <v>513</v>
      </c>
      <c r="AC298" s="8" t="s">
        <v>197</v>
      </c>
    </row>
    <row r="299" spans="26:29" ht="15.75">
      <c r="Z299" t="s">
        <v>251</v>
      </c>
      <c r="AA299" s="197">
        <v>0.09</v>
      </c>
      <c r="AB299" s="196">
        <v>513</v>
      </c>
      <c r="AC299" s="8" t="s">
        <v>197</v>
      </c>
    </row>
    <row r="300" spans="26:29" ht="15.75">
      <c r="Z300" t="s">
        <v>252</v>
      </c>
      <c r="AA300" s="197">
        <v>0.09</v>
      </c>
      <c r="AB300" s="196">
        <v>513</v>
      </c>
      <c r="AC300" s="8" t="s">
        <v>197</v>
      </c>
    </row>
    <row r="301" spans="26:29" ht="15.75">
      <c r="Z301" t="s">
        <v>253</v>
      </c>
      <c r="AA301" s="197">
        <v>0.09</v>
      </c>
      <c r="AB301" s="196">
        <v>513</v>
      </c>
      <c r="AC301" s="8" t="s">
        <v>197</v>
      </c>
    </row>
    <row r="302" spans="26:29" ht="15.75">
      <c r="Z302" t="s">
        <v>255</v>
      </c>
      <c r="AA302" s="197">
        <v>0.08</v>
      </c>
      <c r="AB302" s="196">
        <v>513</v>
      </c>
      <c r="AC302" s="8" t="s">
        <v>197</v>
      </c>
    </row>
    <row r="303" spans="26:29" ht="15.75">
      <c r="Z303" t="s">
        <v>256</v>
      </c>
      <c r="AA303" s="197">
        <v>0.08</v>
      </c>
      <c r="AB303" s="196">
        <v>513</v>
      </c>
      <c r="AC303" s="8" t="s">
        <v>197</v>
      </c>
    </row>
    <row r="304" spans="26:29" ht="15.75">
      <c r="Z304" t="s">
        <v>257</v>
      </c>
      <c r="AA304" s="197">
        <v>0.05</v>
      </c>
      <c r="AB304" s="196">
        <v>513</v>
      </c>
      <c r="AC304" s="8" t="s">
        <v>197</v>
      </c>
    </row>
    <row r="305" spans="26:29" ht="15.75">
      <c r="Z305" t="s">
        <v>254</v>
      </c>
      <c r="AA305" s="197">
        <v>0.075</v>
      </c>
      <c r="AB305" s="196">
        <v>0</v>
      </c>
      <c r="AC305" s="8" t="s">
        <v>150</v>
      </c>
    </row>
    <row r="306" spans="26:29" ht="15.75">
      <c r="Z306" t="s">
        <v>585</v>
      </c>
      <c r="AA306" s="197">
        <v>0.05</v>
      </c>
      <c r="AB306" s="196">
        <v>513</v>
      </c>
      <c r="AC306" s="8" t="s">
        <v>197</v>
      </c>
    </row>
    <row r="307" spans="26:29" ht="15.75">
      <c r="Z307" t="s">
        <v>258</v>
      </c>
      <c r="AA307" s="197">
        <v>0.095</v>
      </c>
      <c r="AB307" s="196">
        <v>513</v>
      </c>
      <c r="AC307" s="8" t="s">
        <v>197</v>
      </c>
    </row>
    <row r="308" spans="26:29" ht="15.75">
      <c r="Z308" t="s">
        <v>259</v>
      </c>
      <c r="AA308" s="197">
        <v>0.05</v>
      </c>
      <c r="AB308" s="196">
        <v>513</v>
      </c>
      <c r="AC308" s="8" t="s">
        <v>197</v>
      </c>
    </row>
    <row r="309" spans="26:29" ht="15.75">
      <c r="Z309" t="s">
        <v>260</v>
      </c>
      <c r="AA309" s="197">
        <v>0.09</v>
      </c>
      <c r="AB309" s="196">
        <v>513</v>
      </c>
      <c r="AC309" s="8" t="s">
        <v>197</v>
      </c>
    </row>
    <row r="310" spans="26:29" ht="15.75">
      <c r="Z310" t="s">
        <v>261</v>
      </c>
      <c r="AA310" s="197">
        <v>0.075</v>
      </c>
      <c r="AB310" s="196">
        <v>0</v>
      </c>
      <c r="AC310" s="8" t="s">
        <v>196</v>
      </c>
    </row>
    <row r="311" spans="26:29" ht="15.75">
      <c r="Z311" t="s">
        <v>262</v>
      </c>
      <c r="AA311" s="197">
        <v>0.075</v>
      </c>
      <c r="AB311" s="196">
        <v>0</v>
      </c>
      <c r="AC311" s="8" t="s">
        <v>150</v>
      </c>
    </row>
    <row r="312" spans="26:29" ht="15.75">
      <c r="Z312" t="s">
        <v>263</v>
      </c>
      <c r="AA312" s="197">
        <v>0.05</v>
      </c>
      <c r="AB312" s="196">
        <v>513</v>
      </c>
      <c r="AC312" s="8" t="s">
        <v>197</v>
      </c>
    </row>
    <row r="313" ht="12.75">
      <c r="Z313" s="9"/>
    </row>
  </sheetData>
  <sheetProtection sheet="1"/>
  <mergeCells count="3">
    <mergeCell ref="J1:K1"/>
    <mergeCell ref="M47:N47"/>
    <mergeCell ref="J47:K47"/>
  </mergeCells>
  <printOptions/>
  <pageMargins left="0.5" right="0.2" top="0.5" bottom="0.5" header="0.3" footer="0.3"/>
  <pageSetup horizontalDpi="600" verticalDpi="600" orientation="landscape" r:id="rId2"/>
  <headerFooter alignWithMargins="0">
    <oddHeader>&amp;C&amp;f</oddHeader>
    <oddFooter>&amp;CPage &amp;p</oddFooter>
  </headerFooter>
  <ignoredErrors>
    <ignoredError sqref="C29" 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HyperlinkBase>http://www.sco.ca.gov/ppsd/empinfo/calc/paycalc.shtml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IDL Supplementation</dc:title>
  <dc:subject>IDL/S Tax Year</dc:subject>
  <dc:creator>Lockhart, Jeff L.</dc:creator>
  <cp:keywords/>
  <dc:description/>
  <cp:lastModifiedBy>Contreras, Alice</cp:lastModifiedBy>
  <cp:lastPrinted>2020-01-07T18:45:17Z</cp:lastPrinted>
  <dcterms:created xsi:type="dcterms:W3CDTF">2001-09-13T14:13:59Z</dcterms:created>
  <dcterms:modified xsi:type="dcterms:W3CDTF">2020-07-07T21:43:29Z</dcterms:modified>
  <cp:category/>
  <cp:version/>
  <cp:contentType/>
  <cp:contentStatus/>
</cp:coreProperties>
</file>