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omments2.xml" ContentType="application/vnd.openxmlformats-officedocument.spreadsheetml.comments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omments3.xml" ContentType="application/vnd.openxmlformats-officedocument.spreadsheetml.comments+xml"/>
  <Override PartName="/xl/tables/table22.xml" ContentType="application/vnd.openxmlformats-officedocument.spreadsheetml.table+xml"/>
  <Override PartName="/xl/comments4.xml" ContentType="application/vnd.openxmlformats-officedocument.spreadsheetml.comments+xml"/>
  <Override PartName="/xl/tables/table23.xml" ContentType="application/vnd.openxmlformats-officedocument.spreadsheetml.table+xml"/>
  <Override PartName="/xl/comments5.xml" ContentType="application/vnd.openxmlformats-officedocument.spreadsheetml.comments+xml"/>
  <Override PartName="/xl/tables/table24.xml" ContentType="application/vnd.openxmlformats-officedocument.spreadsheetml.table+xml"/>
  <Override PartName="/xl/comments6.xml" ContentType="application/vnd.openxmlformats-officedocument.spreadsheetml.comments+xml"/>
  <Override PartName="/xl/tables/table25.xml" ContentType="application/vnd.openxmlformats-officedocument.spreadsheetml.table+xml"/>
  <Override PartName="/xl/comments7.xml" ContentType="application/vnd.openxmlformats-officedocument.spreadsheetml.comments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G:\Local Reimb\Reporting\Mandated Reports\AB 3000\AB3000-2024\Final\ADA\"/>
    </mc:Choice>
  </mc:AlternateContent>
  <bookViews>
    <workbookView xWindow="0" yWindow="0" windowWidth="28800" windowHeight="11700"/>
  </bookViews>
  <sheets>
    <sheet name="Cover Page" sheetId="17" r:id="rId1"/>
    <sheet name="Table of Contents" sheetId="16" r:id="rId2"/>
    <sheet name="Schedule A-Summary " sheetId="15" r:id="rId3"/>
    <sheet name="Schedule A1-Local Agencies" sheetId="14" r:id="rId4"/>
    <sheet name="Schedule A1-Schools " sheetId="13" r:id="rId5"/>
    <sheet name="Schedule B-Summary" sheetId="7" r:id="rId6"/>
    <sheet name="Schedule B1-Local Agencies" sheetId="8" r:id="rId7"/>
    <sheet name="Schedule B1-Schools" sheetId="9" r:id="rId8"/>
    <sheet name="Schedule B1-Colleges" sheetId="10" r:id="rId9"/>
    <sheet name="Schedule B2-Local Agencies" sheetId="11" r:id="rId10"/>
    <sheet name="Schedule C-IRC" sheetId="12" r:id="rId11"/>
  </sheets>
  <externalReferences>
    <externalReference r:id="rId12"/>
  </externalReferences>
  <definedNames>
    <definedName name="_xlnm._FilterDatabase" localSheetId="3" hidden="1">'Schedule A1-Local Agencies'!#REF!</definedName>
    <definedName name="_xlnm._FilterDatabase" localSheetId="8" hidden="1">'Schedule B1-Colleges'!$A$2:$L$73</definedName>
    <definedName name="_xlnm._FilterDatabase" localSheetId="6" hidden="1">'Schedule B1-Local Agencies'!#REF!</definedName>
    <definedName name="_xlnm._FilterDatabase" localSheetId="7" hidden="1">'Schedule B1-Schools'!$A$3:$K$861</definedName>
    <definedName name="_xlnm._FilterDatabase" localSheetId="9" hidden="1">'Schedule B2-Local Agencies'!$A$2:$K$187</definedName>
    <definedName name="_xlnm._FilterDatabase" localSheetId="10" hidden="1">'Schedule C-IRC'!$A$2:$L$2</definedName>
    <definedName name="a" localSheetId="3">'[1]Analysis (2)'!#REF!</definedName>
    <definedName name="a" localSheetId="4">'[1]Analysis (2)'!#REF!</definedName>
    <definedName name="a" localSheetId="2">'[1]Analysis (2)'!#REF!</definedName>
    <definedName name="a" localSheetId="8">'[1]Analysis (2)'!#REF!</definedName>
    <definedName name="a" localSheetId="6">'[1]Analysis (2)'!#REF!</definedName>
    <definedName name="a" localSheetId="7">'[1]Analysis (2)'!#REF!</definedName>
    <definedName name="a" localSheetId="9">'[1]Analysis (2)'!#REF!</definedName>
    <definedName name="a" localSheetId="5">'[1]Analysis (2)'!#REF!</definedName>
    <definedName name="a">'[1]Analysis (2)'!#REF!</definedName>
    <definedName name="A1_Local" localSheetId="3">'[1]Analysis (2)'!#REF!</definedName>
    <definedName name="A1_Local" localSheetId="4">'[1]Analysis (2)'!#REF!</definedName>
    <definedName name="A1_Local">'[1]Analysis (2)'!#REF!</definedName>
    <definedName name="OLE_LINK1" localSheetId="10">'Schedule C-IRC'!#REF!</definedName>
    <definedName name="OLE_LINK2" localSheetId="10">'Schedule C-IRC'!#REF!</definedName>
    <definedName name="_xlnm.Print_Area" localSheetId="0">'Cover Page'!$A$1:$A$27</definedName>
    <definedName name="_xlnm.Print_Area" localSheetId="3">'Schedule A1-Local Agencies'!$A$1:$I$104</definedName>
    <definedName name="_xlnm.Print_Area" localSheetId="4">'Schedule A1-Schools '!$A$1:$I$31</definedName>
    <definedName name="_xlnm.Print_Area" localSheetId="2">'Schedule A-Summary '!$A$1:$M$48</definedName>
    <definedName name="_xlnm.Print_Area" localSheetId="8">'Schedule B1-Colleges'!$A$1:$L$76</definedName>
    <definedName name="_xlnm.Print_Area" localSheetId="6">'Schedule B1-Local Agencies'!$A$1:$L$185</definedName>
    <definedName name="_xlnm.Print_Area" localSheetId="7">'Schedule B1-Schools'!$A$1:$L$864</definedName>
    <definedName name="_xlnm.Print_Area" localSheetId="9">'Schedule B2-Local Agencies'!$A$1:$K$190</definedName>
    <definedName name="_xlnm.Print_Area" localSheetId="5">'Schedule B-Summary'!$A$1:$O$41</definedName>
    <definedName name="_xlnm.Print_Area" localSheetId="10">'Schedule C-IRC'!$A$1:$L$3</definedName>
    <definedName name="_xlnm.Print_Area" localSheetId="1">'Table of Contents'!$A$1:$C$15</definedName>
    <definedName name="_xlnm.Print_Titles" localSheetId="3">'Schedule A1-Local Agencies'!$2:$2</definedName>
    <definedName name="_xlnm.Print_Titles" localSheetId="4">'Schedule A1-Schools '!$2:$2</definedName>
    <definedName name="_xlnm.Print_Titles" localSheetId="8">'Schedule B1-Colleges'!$2:$2</definedName>
    <definedName name="_xlnm.Print_Titles" localSheetId="6">'Schedule B1-Local Agencies'!$1:$2</definedName>
    <definedName name="_xlnm.Print_Titles" localSheetId="7">'Schedule B1-Schools'!$2:$2</definedName>
    <definedName name="_xlnm.Print_Titles" localSheetId="9">'Schedule B2-Local Agencies'!$2:$2</definedName>
    <definedName name="_xlnm.Print_Titles" localSheetId="5">'Schedule B-Summary'!$2:$2</definedName>
    <definedName name="_xlnm.Print_Titles" localSheetId="10">'Schedule C-IRC'!$2:$2</definedName>
    <definedName name="Z_46A5F4C4_D6EC_4577_9252_7F0135FFA4BE_.wvu.FilterData" localSheetId="10" hidden="1">'Schedule C-IRC'!$A$2:$L$2</definedName>
    <definedName name="Z_46A5F4C4_D6EC_4577_9252_7F0135FFA4BE_.wvu.PrintTitles" localSheetId="10" hidden="1">'Schedule C-IRC'!$2:$2</definedName>
    <definedName name="Z_85542589_1418_4924_A03E_DB2C0542A892_.wvu.FilterData" localSheetId="10" hidden="1">'Schedule C-IRC'!$A$2:$L$2</definedName>
    <definedName name="Z_85542589_1418_4924_A03E_DB2C0542A892_.wvu.PrintTitles" localSheetId="10" hidden="1">'Schedule C-IRC'!$2:$2</definedName>
    <definedName name="Z_92652916_34E3_4B04_B100_8F20056C4A1B_.wvu.FilterData" localSheetId="10" hidden="1">'Schedule C-IRC'!$A$2:$L$2</definedName>
    <definedName name="Z_92652916_34E3_4B04_B100_8F20056C4A1B_.wvu.PrintTitles" localSheetId="10" hidden="1">'Schedule C-IRC'!$2:$2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" i="7" l="1"/>
  <c r="L22" i="7"/>
  <c r="K22" i="7"/>
  <c r="I22" i="7"/>
  <c r="G22" i="7"/>
  <c r="E22" i="7"/>
  <c r="D22" i="7"/>
  <c r="K26" i="7"/>
  <c r="I26" i="7"/>
  <c r="E26" i="7"/>
  <c r="D26" i="7"/>
  <c r="K32" i="7"/>
  <c r="I32" i="7"/>
  <c r="G32" i="7"/>
  <c r="E32" i="7"/>
  <c r="D32" i="7"/>
  <c r="K17" i="7"/>
  <c r="I17" i="7"/>
  <c r="G17" i="7"/>
  <c r="E17" i="7"/>
  <c r="D17" i="7"/>
  <c r="K11" i="7"/>
  <c r="I11" i="7"/>
  <c r="E11" i="7"/>
  <c r="D11" i="7"/>
  <c r="K5" i="7"/>
  <c r="I5" i="7"/>
  <c r="E5" i="7"/>
  <c r="D5" i="7"/>
  <c r="H29" i="13"/>
  <c r="G29" i="13"/>
  <c r="G24" i="13"/>
  <c r="G96" i="14"/>
  <c r="H105" i="14"/>
  <c r="G105" i="14"/>
  <c r="H96" i="14"/>
  <c r="H91" i="14"/>
  <c r="G91" i="14"/>
  <c r="H85" i="14"/>
  <c r="G85" i="14"/>
  <c r="H80" i="14"/>
  <c r="G80" i="14"/>
  <c r="H65" i="14"/>
  <c r="G65" i="14"/>
  <c r="H51" i="14"/>
  <c r="G51" i="14"/>
  <c r="E183" i="8"/>
  <c r="F183" i="8"/>
  <c r="H183" i="8"/>
  <c r="I183" i="8"/>
  <c r="J183" i="8"/>
  <c r="K183" i="8"/>
  <c r="K862" i="9"/>
  <c r="J862" i="9"/>
  <c r="I862" i="9"/>
  <c r="H862" i="9"/>
  <c r="F862" i="9"/>
  <c r="E862" i="9"/>
  <c r="K74" i="10"/>
  <c r="J74" i="10"/>
  <c r="I74" i="10"/>
  <c r="H74" i="10"/>
  <c r="F74" i="10"/>
  <c r="E74" i="10"/>
  <c r="J188" i="11"/>
  <c r="I188" i="11"/>
  <c r="H188" i="11"/>
  <c r="G188" i="11"/>
  <c r="F188" i="11"/>
  <c r="E188" i="11"/>
  <c r="I4" i="12"/>
  <c r="L17" i="15"/>
  <c r="K17" i="15"/>
  <c r="J17" i="15"/>
  <c r="I17" i="15"/>
  <c r="G17" i="15"/>
  <c r="F17" i="15"/>
  <c r="L24" i="15"/>
  <c r="K24" i="15"/>
  <c r="J24" i="15"/>
  <c r="I24" i="15"/>
  <c r="G24" i="15"/>
  <c r="F24" i="15"/>
  <c r="L31" i="15"/>
  <c r="K31" i="15"/>
  <c r="J31" i="15"/>
  <c r="I31" i="15"/>
  <c r="G31" i="15"/>
  <c r="F31" i="15"/>
  <c r="L38" i="15"/>
  <c r="K38" i="15"/>
  <c r="J38" i="15"/>
  <c r="I38" i="15"/>
  <c r="G38" i="15"/>
  <c r="F38" i="15"/>
  <c r="L10" i="15"/>
  <c r="K10" i="15"/>
  <c r="J10" i="15"/>
  <c r="I10" i="15"/>
  <c r="G10" i="15"/>
  <c r="F10" i="15"/>
  <c r="F46" i="15"/>
  <c r="G46" i="15"/>
  <c r="I46" i="15"/>
  <c r="J46" i="15"/>
  <c r="K46" i="15"/>
  <c r="L46" i="15"/>
  <c r="L31" i="7" l="1"/>
  <c r="L30" i="7"/>
  <c r="N30" i="7" s="1"/>
  <c r="L29" i="7"/>
  <c r="L16" i="7"/>
  <c r="N16" i="7" s="1"/>
  <c r="L15" i="7"/>
  <c r="N15" i="7" s="1"/>
  <c r="L14" i="7"/>
  <c r="L25" i="7"/>
  <c r="L26" i="7" s="1"/>
  <c r="G25" i="7"/>
  <c r="G26" i="7" s="1"/>
  <c r="N29" i="7" l="1"/>
  <c r="N32" i="7" s="1"/>
  <c r="L32" i="7"/>
  <c r="N14" i="7"/>
  <c r="N17" i="7" s="1"/>
  <c r="L17" i="7"/>
  <c r="N31" i="7"/>
  <c r="N25" i="7"/>
  <c r="N26" i="7" s="1"/>
  <c r="J187" i="11" l="1"/>
  <c r="G187" i="11"/>
  <c r="K187" i="11" s="1"/>
  <c r="J186" i="11"/>
  <c r="G186" i="11"/>
  <c r="K186" i="11" s="1"/>
  <c r="J185" i="11"/>
  <c r="G185" i="11"/>
  <c r="K185" i="11" s="1"/>
  <c r="J184" i="11"/>
  <c r="G184" i="11"/>
  <c r="J183" i="11"/>
  <c r="G183" i="11"/>
  <c r="K183" i="11" s="1"/>
  <c r="J182" i="11"/>
  <c r="G182" i="11"/>
  <c r="J181" i="11"/>
  <c r="G181" i="11"/>
  <c r="K181" i="11" s="1"/>
  <c r="J180" i="11"/>
  <c r="G180" i="11"/>
  <c r="J179" i="11"/>
  <c r="G179" i="11"/>
  <c r="K179" i="11" s="1"/>
  <c r="J178" i="11"/>
  <c r="G178" i="11"/>
  <c r="J177" i="11"/>
  <c r="G177" i="11"/>
  <c r="J169" i="11"/>
  <c r="G169" i="11"/>
  <c r="J168" i="11"/>
  <c r="G168" i="11"/>
  <c r="K168" i="11" s="1"/>
  <c r="J167" i="11"/>
  <c r="G167" i="11"/>
  <c r="J166" i="11"/>
  <c r="G166" i="11"/>
  <c r="J165" i="11"/>
  <c r="G165" i="11"/>
  <c r="J164" i="11"/>
  <c r="G164" i="11"/>
  <c r="J163" i="11"/>
  <c r="G163" i="11"/>
  <c r="K163" i="11" s="1"/>
  <c r="J162" i="11"/>
  <c r="G162" i="11"/>
  <c r="J161" i="11"/>
  <c r="G161" i="11"/>
  <c r="J160" i="11"/>
  <c r="G160" i="11"/>
  <c r="J159" i="11"/>
  <c r="G159" i="11"/>
  <c r="J137" i="11"/>
  <c r="G137" i="11"/>
  <c r="K137" i="11" s="1"/>
  <c r="J136" i="11"/>
  <c r="G136" i="11"/>
  <c r="J135" i="11"/>
  <c r="G135" i="11"/>
  <c r="K135" i="11" s="1"/>
  <c r="J134" i="11"/>
  <c r="G134" i="11"/>
  <c r="K134" i="11" s="1"/>
  <c r="J133" i="11"/>
  <c r="G133" i="11"/>
  <c r="K133" i="11" s="1"/>
  <c r="J132" i="11"/>
  <c r="G132" i="11"/>
  <c r="J131" i="11"/>
  <c r="G131" i="11"/>
  <c r="K131" i="11" s="1"/>
  <c r="J130" i="11"/>
  <c r="G130" i="11"/>
  <c r="J129" i="11"/>
  <c r="G129" i="11"/>
  <c r="J128" i="11"/>
  <c r="G128" i="11"/>
  <c r="J127" i="11"/>
  <c r="G127" i="11"/>
  <c r="K127" i="11" s="1"/>
  <c r="J126" i="11"/>
  <c r="G126" i="11"/>
  <c r="K126" i="11" s="1"/>
  <c r="J125" i="11"/>
  <c r="G125" i="11"/>
  <c r="J124" i="11"/>
  <c r="G124" i="11"/>
  <c r="J123" i="11"/>
  <c r="G123" i="11"/>
  <c r="K123" i="11" s="1"/>
  <c r="J122" i="11"/>
  <c r="G122" i="11"/>
  <c r="J121" i="11"/>
  <c r="G121" i="11"/>
  <c r="K121" i="11" s="1"/>
  <c r="J98" i="11"/>
  <c r="G98" i="11"/>
  <c r="J97" i="11"/>
  <c r="G97" i="11"/>
  <c r="K97" i="11" s="1"/>
  <c r="J96" i="11"/>
  <c r="G96" i="11"/>
  <c r="J95" i="11"/>
  <c r="G95" i="11"/>
  <c r="K95" i="11" s="1"/>
  <c r="J94" i="11"/>
  <c r="G94" i="11"/>
  <c r="J93" i="11"/>
  <c r="G93" i="11"/>
  <c r="K93" i="11" s="1"/>
  <c r="J92" i="11"/>
  <c r="G92" i="11"/>
  <c r="J91" i="11"/>
  <c r="G91" i="11"/>
  <c r="K91" i="11" s="1"/>
  <c r="J90" i="11"/>
  <c r="G90" i="11"/>
  <c r="J89" i="11"/>
  <c r="G89" i="11"/>
  <c r="J88" i="11"/>
  <c r="G88" i="11"/>
  <c r="K88" i="11" s="1"/>
  <c r="J87" i="11"/>
  <c r="G87" i="11"/>
  <c r="K87" i="11" s="1"/>
  <c r="J86" i="11"/>
  <c r="G86" i="11"/>
  <c r="J85" i="11"/>
  <c r="G85" i="11"/>
  <c r="J84" i="11"/>
  <c r="G84" i="11"/>
  <c r="J83" i="11"/>
  <c r="G83" i="11"/>
  <c r="K83" i="11" s="1"/>
  <c r="J82" i="11"/>
  <c r="G82" i="11"/>
  <c r="J81" i="11"/>
  <c r="G81" i="11"/>
  <c r="K81" i="11" s="1"/>
  <c r="J69" i="11"/>
  <c r="G69" i="11"/>
  <c r="J68" i="11"/>
  <c r="G68" i="11"/>
  <c r="K68" i="11" s="1"/>
  <c r="J67" i="11"/>
  <c r="G67" i="11"/>
  <c r="J66" i="11"/>
  <c r="G66" i="11"/>
  <c r="K66" i="11" s="1"/>
  <c r="J65" i="11"/>
  <c r="G65" i="11"/>
  <c r="J64" i="11"/>
  <c r="G64" i="11"/>
  <c r="J63" i="11"/>
  <c r="G63" i="11"/>
  <c r="J62" i="11"/>
  <c r="G62" i="11"/>
  <c r="K62" i="11" s="1"/>
  <c r="J61" i="11"/>
  <c r="G61" i="11"/>
  <c r="K61" i="11" s="1"/>
  <c r="J60" i="11"/>
  <c r="G60" i="11"/>
  <c r="K60" i="11" s="1"/>
  <c r="J59" i="11"/>
  <c r="G59" i="11"/>
  <c r="J58" i="11"/>
  <c r="G58" i="11"/>
  <c r="K58" i="11" s="1"/>
  <c r="J57" i="11"/>
  <c r="G57" i="11"/>
  <c r="J56" i="11"/>
  <c r="G56" i="11"/>
  <c r="K56" i="11" s="1"/>
  <c r="J55" i="11"/>
  <c r="G55" i="11"/>
  <c r="J54" i="11"/>
  <c r="G54" i="11"/>
  <c r="K54" i="11" s="1"/>
  <c r="J53" i="11"/>
  <c r="G53" i="11"/>
  <c r="J52" i="11"/>
  <c r="G52" i="11"/>
  <c r="K52" i="11" s="1"/>
  <c r="J51" i="11"/>
  <c r="G51" i="11"/>
  <c r="J50" i="11"/>
  <c r="G50" i="11"/>
  <c r="K50" i="11" s="1"/>
  <c r="J49" i="11"/>
  <c r="G49" i="11"/>
  <c r="J48" i="11"/>
  <c r="G48" i="11"/>
  <c r="K48" i="11" s="1"/>
  <c r="J47" i="11"/>
  <c r="G47" i="11"/>
  <c r="J46" i="11"/>
  <c r="G46" i="11"/>
  <c r="J45" i="11"/>
  <c r="G45" i="11"/>
  <c r="K45" i="11" s="1"/>
  <c r="J44" i="11"/>
  <c r="G44" i="11"/>
  <c r="K44" i="11" s="1"/>
  <c r="J43" i="11"/>
  <c r="G43" i="11"/>
  <c r="J42" i="11"/>
  <c r="G42" i="11"/>
  <c r="J41" i="11"/>
  <c r="G41" i="11"/>
  <c r="J40" i="11"/>
  <c r="G40" i="11"/>
  <c r="K40" i="11" s="1"/>
  <c r="J39" i="11"/>
  <c r="G39" i="11"/>
  <c r="J38" i="11"/>
  <c r="G38" i="11"/>
  <c r="K38" i="11" s="1"/>
  <c r="J4" i="11"/>
  <c r="G4" i="11"/>
  <c r="K4" i="11" s="1"/>
  <c r="J3" i="11"/>
  <c r="G3" i="11"/>
  <c r="K3" i="11" s="1"/>
  <c r="K73" i="10"/>
  <c r="H73" i="10"/>
  <c r="K72" i="10"/>
  <c r="H72" i="10"/>
  <c r="K71" i="10"/>
  <c r="H71" i="10"/>
  <c r="K70" i="10"/>
  <c r="H70" i="10"/>
  <c r="K69" i="10"/>
  <c r="H69" i="10"/>
  <c r="K68" i="10"/>
  <c r="L68" i="10" s="1"/>
  <c r="H68" i="10"/>
  <c r="K67" i="10"/>
  <c r="H67" i="10"/>
  <c r="L67" i="10" s="1"/>
  <c r="K66" i="10"/>
  <c r="H66" i="10"/>
  <c r="K65" i="10"/>
  <c r="H65" i="10"/>
  <c r="K64" i="10"/>
  <c r="H64" i="10"/>
  <c r="K63" i="10"/>
  <c r="H63" i="10"/>
  <c r="K62" i="10"/>
  <c r="H62" i="10"/>
  <c r="K61" i="10"/>
  <c r="H61" i="10"/>
  <c r="K60" i="10"/>
  <c r="H60" i="10"/>
  <c r="K59" i="10"/>
  <c r="H59" i="10"/>
  <c r="K58" i="10"/>
  <c r="H58" i="10"/>
  <c r="K57" i="10"/>
  <c r="H57" i="10"/>
  <c r="K56" i="10"/>
  <c r="H56" i="10"/>
  <c r="K55" i="10"/>
  <c r="H55" i="10"/>
  <c r="K54" i="10"/>
  <c r="H54" i="10"/>
  <c r="K53" i="10"/>
  <c r="H53" i="10"/>
  <c r="K52" i="10"/>
  <c r="H52" i="10"/>
  <c r="K51" i="10"/>
  <c r="H51" i="10"/>
  <c r="K50" i="10"/>
  <c r="H50" i="10"/>
  <c r="K49" i="10"/>
  <c r="H49" i="10"/>
  <c r="K48" i="10"/>
  <c r="H48" i="10"/>
  <c r="K47" i="10"/>
  <c r="H47" i="10"/>
  <c r="K46" i="10"/>
  <c r="H46" i="10"/>
  <c r="K45" i="10"/>
  <c r="H45" i="10"/>
  <c r="K44" i="10"/>
  <c r="H44" i="10"/>
  <c r="K43" i="10"/>
  <c r="H43" i="10"/>
  <c r="K42" i="10"/>
  <c r="H42" i="10"/>
  <c r="L42" i="10" s="1"/>
  <c r="K41" i="10"/>
  <c r="H41" i="10"/>
  <c r="K40" i="10"/>
  <c r="H40" i="10"/>
  <c r="K39" i="10"/>
  <c r="H39" i="10"/>
  <c r="K38" i="10"/>
  <c r="H38" i="10"/>
  <c r="K37" i="10"/>
  <c r="H37" i="10"/>
  <c r="K36" i="10"/>
  <c r="H36" i="10"/>
  <c r="K35" i="10"/>
  <c r="H35" i="10"/>
  <c r="K34" i="10"/>
  <c r="H34" i="10"/>
  <c r="L34" i="10" s="1"/>
  <c r="K33" i="10"/>
  <c r="H33" i="10"/>
  <c r="K32" i="10"/>
  <c r="H32" i="10"/>
  <c r="K31" i="10"/>
  <c r="H31" i="10"/>
  <c r="K30" i="10"/>
  <c r="H30" i="10"/>
  <c r="K29" i="10"/>
  <c r="H29" i="10"/>
  <c r="K28" i="10"/>
  <c r="H28" i="10"/>
  <c r="K27" i="10"/>
  <c r="H27" i="10"/>
  <c r="L27" i="10" s="1"/>
  <c r="K26" i="10"/>
  <c r="H26" i="10"/>
  <c r="K25" i="10"/>
  <c r="H25" i="10"/>
  <c r="K24" i="10"/>
  <c r="H24" i="10"/>
  <c r="K23" i="10"/>
  <c r="H23" i="10"/>
  <c r="L23" i="10" s="1"/>
  <c r="K22" i="10"/>
  <c r="H22" i="10"/>
  <c r="K21" i="10"/>
  <c r="H21" i="10"/>
  <c r="K20" i="10"/>
  <c r="H20" i="10"/>
  <c r="K19" i="10"/>
  <c r="H19" i="10"/>
  <c r="K18" i="10"/>
  <c r="H18" i="10"/>
  <c r="L18" i="10" s="1"/>
  <c r="K17" i="10"/>
  <c r="H17" i="10"/>
  <c r="K16" i="10"/>
  <c r="H16" i="10"/>
  <c r="K15" i="10"/>
  <c r="H15" i="10"/>
  <c r="K14" i="10"/>
  <c r="H14" i="10"/>
  <c r="K13" i="10"/>
  <c r="H13" i="10"/>
  <c r="K12" i="10"/>
  <c r="H12" i="10"/>
  <c r="K11" i="10"/>
  <c r="H11" i="10"/>
  <c r="L11" i="10" s="1"/>
  <c r="K10" i="10"/>
  <c r="H10" i="10"/>
  <c r="L10" i="10" s="1"/>
  <c r="K9" i="10"/>
  <c r="H9" i="10"/>
  <c r="K8" i="10"/>
  <c r="H8" i="10"/>
  <c r="K7" i="10"/>
  <c r="H7" i="10"/>
  <c r="L7" i="10" s="1"/>
  <c r="K6" i="10"/>
  <c r="H6" i="10"/>
  <c r="K5" i="10"/>
  <c r="H5" i="10"/>
  <c r="K4" i="10"/>
  <c r="H4" i="10"/>
  <c r="K3" i="10"/>
  <c r="H3" i="10"/>
  <c r="K861" i="9"/>
  <c r="H861" i="9"/>
  <c r="K860" i="9"/>
  <c r="H860" i="9"/>
  <c r="K859" i="9"/>
  <c r="H859" i="9"/>
  <c r="L859" i="9" s="1"/>
  <c r="K858" i="9"/>
  <c r="H858" i="9"/>
  <c r="K857" i="9"/>
  <c r="H857" i="9"/>
  <c r="K856" i="9"/>
  <c r="H856" i="9"/>
  <c r="K855" i="9"/>
  <c r="H855" i="9"/>
  <c r="L855" i="9" s="1"/>
  <c r="K854" i="9"/>
  <c r="H854" i="9"/>
  <c r="K853" i="9"/>
  <c r="H853" i="9"/>
  <c r="K852" i="9"/>
  <c r="H852" i="9"/>
  <c r="K851" i="9"/>
  <c r="H851" i="9"/>
  <c r="L851" i="9" s="1"/>
  <c r="K850" i="9"/>
  <c r="H850" i="9"/>
  <c r="K849" i="9"/>
  <c r="H849" i="9"/>
  <c r="K848" i="9"/>
  <c r="H848" i="9"/>
  <c r="K847" i="9"/>
  <c r="H847" i="9"/>
  <c r="L847" i="9" s="1"/>
  <c r="K846" i="9"/>
  <c r="H846" i="9"/>
  <c r="K845" i="9"/>
  <c r="H845" i="9"/>
  <c r="K844" i="9"/>
  <c r="H844" i="9"/>
  <c r="K843" i="9"/>
  <c r="H843" i="9"/>
  <c r="K842" i="9"/>
  <c r="H842" i="9"/>
  <c r="K841" i="9"/>
  <c r="H841" i="9"/>
  <c r="K840" i="9"/>
  <c r="H840" i="9"/>
  <c r="K839" i="9"/>
  <c r="H839" i="9"/>
  <c r="K838" i="9"/>
  <c r="H838" i="9"/>
  <c r="K837" i="9"/>
  <c r="H837" i="9"/>
  <c r="K836" i="9"/>
  <c r="H836" i="9"/>
  <c r="K835" i="9"/>
  <c r="H835" i="9"/>
  <c r="K834" i="9"/>
  <c r="H834" i="9"/>
  <c r="K833" i="9"/>
  <c r="H833" i="9"/>
  <c r="K832" i="9"/>
  <c r="H832" i="9"/>
  <c r="K831" i="9"/>
  <c r="H831" i="9"/>
  <c r="K830" i="9"/>
  <c r="H830" i="9"/>
  <c r="K829" i="9"/>
  <c r="H829" i="9"/>
  <c r="K828" i="9"/>
  <c r="H828" i="9"/>
  <c r="K827" i="9"/>
  <c r="H827" i="9"/>
  <c r="K826" i="9"/>
  <c r="H826" i="9"/>
  <c r="K825" i="9"/>
  <c r="H825" i="9"/>
  <c r="K824" i="9"/>
  <c r="H824" i="9"/>
  <c r="K823" i="9"/>
  <c r="H823" i="9"/>
  <c r="K822" i="9"/>
  <c r="H822" i="9"/>
  <c r="K821" i="9"/>
  <c r="H821" i="9"/>
  <c r="K820" i="9"/>
  <c r="H820" i="9"/>
  <c r="K819" i="9"/>
  <c r="H819" i="9"/>
  <c r="K818" i="9"/>
  <c r="H818" i="9"/>
  <c r="K817" i="9"/>
  <c r="H817" i="9"/>
  <c r="K816" i="9"/>
  <c r="H816" i="9"/>
  <c r="K815" i="9"/>
  <c r="H815" i="9"/>
  <c r="K814" i="9"/>
  <c r="H814" i="9"/>
  <c r="K813" i="9"/>
  <c r="H813" i="9"/>
  <c r="K812" i="9"/>
  <c r="H812" i="9"/>
  <c r="K811" i="9"/>
  <c r="H811" i="9"/>
  <c r="K810" i="9"/>
  <c r="H810" i="9"/>
  <c r="K809" i="9"/>
  <c r="H809" i="9"/>
  <c r="K808" i="9"/>
  <c r="H808" i="9"/>
  <c r="K807" i="9"/>
  <c r="H807" i="9"/>
  <c r="K806" i="9"/>
  <c r="H806" i="9"/>
  <c r="K805" i="9"/>
  <c r="H805" i="9"/>
  <c r="K804" i="9"/>
  <c r="H804" i="9"/>
  <c r="K803" i="9"/>
  <c r="H803" i="9"/>
  <c r="K802" i="9"/>
  <c r="H802" i="9"/>
  <c r="K801" i="9"/>
  <c r="H801" i="9"/>
  <c r="K800" i="9"/>
  <c r="H800" i="9"/>
  <c r="K799" i="9"/>
  <c r="H799" i="9"/>
  <c r="K798" i="9"/>
  <c r="H798" i="9"/>
  <c r="K797" i="9"/>
  <c r="H797" i="9"/>
  <c r="K796" i="9"/>
  <c r="H796" i="9"/>
  <c r="K795" i="9"/>
  <c r="H795" i="9"/>
  <c r="L795" i="9" s="1"/>
  <c r="K794" i="9"/>
  <c r="H794" i="9"/>
  <c r="K793" i="9"/>
  <c r="H793" i="9"/>
  <c r="K792" i="9"/>
  <c r="H792" i="9"/>
  <c r="K791" i="9"/>
  <c r="H791" i="9"/>
  <c r="K790" i="9"/>
  <c r="H790" i="9"/>
  <c r="K789" i="9"/>
  <c r="H789" i="9"/>
  <c r="K788" i="9"/>
  <c r="H788" i="9"/>
  <c r="K787" i="9"/>
  <c r="H787" i="9"/>
  <c r="L787" i="9" s="1"/>
  <c r="K786" i="9"/>
  <c r="H786" i="9"/>
  <c r="K785" i="9"/>
  <c r="H785" i="9"/>
  <c r="K784" i="9"/>
  <c r="H784" i="9"/>
  <c r="K783" i="9"/>
  <c r="H783" i="9"/>
  <c r="K782" i="9"/>
  <c r="H782" i="9"/>
  <c r="K781" i="9"/>
  <c r="H781" i="9"/>
  <c r="K780" i="9"/>
  <c r="H780" i="9"/>
  <c r="K779" i="9"/>
  <c r="H779" i="9"/>
  <c r="K778" i="9"/>
  <c r="H778" i="9"/>
  <c r="K777" i="9"/>
  <c r="H777" i="9"/>
  <c r="K776" i="9"/>
  <c r="H776" i="9"/>
  <c r="K775" i="9"/>
  <c r="H775" i="9"/>
  <c r="K774" i="9"/>
  <c r="H774" i="9"/>
  <c r="K773" i="9"/>
  <c r="H773" i="9"/>
  <c r="K772" i="9"/>
  <c r="H772" i="9"/>
  <c r="K771" i="9"/>
  <c r="H771" i="9"/>
  <c r="L771" i="9" s="1"/>
  <c r="K770" i="9"/>
  <c r="H770" i="9"/>
  <c r="K769" i="9"/>
  <c r="H769" i="9"/>
  <c r="K768" i="9"/>
  <c r="H768" i="9"/>
  <c r="K767" i="9"/>
  <c r="H767" i="9"/>
  <c r="K766" i="9"/>
  <c r="H766" i="9"/>
  <c r="K765" i="9"/>
  <c r="H765" i="9"/>
  <c r="K764" i="9"/>
  <c r="H764" i="9"/>
  <c r="K763" i="9"/>
  <c r="H763" i="9"/>
  <c r="K762" i="9"/>
  <c r="H762" i="9"/>
  <c r="K761" i="9"/>
  <c r="H761" i="9"/>
  <c r="K760" i="9"/>
  <c r="H760" i="9"/>
  <c r="K759" i="9"/>
  <c r="H759" i="9"/>
  <c r="K758" i="9"/>
  <c r="H758" i="9"/>
  <c r="K757" i="9"/>
  <c r="H757" i="9"/>
  <c r="K756" i="9"/>
  <c r="H756" i="9"/>
  <c r="K755" i="9"/>
  <c r="H755" i="9"/>
  <c r="L755" i="9" s="1"/>
  <c r="K754" i="9"/>
  <c r="H754" i="9"/>
  <c r="K753" i="9"/>
  <c r="H753" i="9"/>
  <c r="K752" i="9"/>
  <c r="H752" i="9"/>
  <c r="K751" i="9"/>
  <c r="H751" i="9"/>
  <c r="K750" i="9"/>
  <c r="H750" i="9"/>
  <c r="K749" i="9"/>
  <c r="H749" i="9"/>
  <c r="K748" i="9"/>
  <c r="H748" i="9"/>
  <c r="K747" i="9"/>
  <c r="H747" i="9"/>
  <c r="L747" i="9" s="1"/>
  <c r="K746" i="9"/>
  <c r="H746" i="9"/>
  <c r="K745" i="9"/>
  <c r="H745" i="9"/>
  <c r="K744" i="9"/>
  <c r="H744" i="9"/>
  <c r="K743" i="9"/>
  <c r="H743" i="9"/>
  <c r="L743" i="9" s="1"/>
  <c r="K742" i="9"/>
  <c r="H742" i="9"/>
  <c r="K741" i="9"/>
  <c r="H741" i="9"/>
  <c r="K740" i="9"/>
  <c r="H740" i="9"/>
  <c r="K739" i="9"/>
  <c r="H739" i="9"/>
  <c r="L739" i="9" s="1"/>
  <c r="K738" i="9"/>
  <c r="H738" i="9"/>
  <c r="K737" i="9"/>
  <c r="H737" i="9"/>
  <c r="K736" i="9"/>
  <c r="H736" i="9"/>
  <c r="K735" i="9"/>
  <c r="H735" i="9"/>
  <c r="K734" i="9"/>
  <c r="H734" i="9"/>
  <c r="K733" i="9"/>
  <c r="H733" i="9"/>
  <c r="K732" i="9"/>
  <c r="H732" i="9"/>
  <c r="K731" i="9"/>
  <c r="H731" i="9"/>
  <c r="L731" i="9" s="1"/>
  <c r="K730" i="9"/>
  <c r="H730" i="9"/>
  <c r="K729" i="9"/>
  <c r="H729" i="9"/>
  <c r="K728" i="9"/>
  <c r="H728" i="9"/>
  <c r="K727" i="9"/>
  <c r="H727" i="9"/>
  <c r="K726" i="9"/>
  <c r="H726" i="9"/>
  <c r="K725" i="9"/>
  <c r="H725" i="9"/>
  <c r="K724" i="9"/>
  <c r="H724" i="9"/>
  <c r="K723" i="9"/>
  <c r="H723" i="9"/>
  <c r="K722" i="9"/>
  <c r="H722" i="9"/>
  <c r="K721" i="9"/>
  <c r="H721" i="9"/>
  <c r="K720" i="9"/>
  <c r="H720" i="9"/>
  <c r="K719" i="9"/>
  <c r="H719" i="9"/>
  <c r="K718" i="9"/>
  <c r="H718" i="9"/>
  <c r="K717" i="9"/>
  <c r="H717" i="9"/>
  <c r="K716" i="9"/>
  <c r="H716" i="9"/>
  <c r="K715" i="9"/>
  <c r="H715" i="9"/>
  <c r="K714" i="9"/>
  <c r="H714" i="9"/>
  <c r="K713" i="9"/>
  <c r="H713" i="9"/>
  <c r="K712" i="9"/>
  <c r="H712" i="9"/>
  <c r="K711" i="9"/>
  <c r="H711" i="9"/>
  <c r="K710" i="9"/>
  <c r="H710" i="9"/>
  <c r="K709" i="9"/>
  <c r="H709" i="9"/>
  <c r="K708" i="9"/>
  <c r="H708" i="9"/>
  <c r="K707" i="9"/>
  <c r="H707" i="9"/>
  <c r="K706" i="9"/>
  <c r="H706" i="9"/>
  <c r="K705" i="9"/>
  <c r="H705" i="9"/>
  <c r="K704" i="9"/>
  <c r="H704" i="9"/>
  <c r="K703" i="9"/>
  <c r="H703" i="9"/>
  <c r="K702" i="9"/>
  <c r="H702" i="9"/>
  <c r="K701" i="9"/>
  <c r="H701" i="9"/>
  <c r="K700" i="9"/>
  <c r="H700" i="9"/>
  <c r="K699" i="9"/>
  <c r="H699" i="9"/>
  <c r="L699" i="9" s="1"/>
  <c r="K698" i="9"/>
  <c r="H698" i="9"/>
  <c r="K697" i="9"/>
  <c r="H697" i="9"/>
  <c r="K696" i="9"/>
  <c r="H696" i="9"/>
  <c r="K695" i="9"/>
  <c r="H695" i="9"/>
  <c r="L695" i="9" s="1"/>
  <c r="K694" i="9"/>
  <c r="H694" i="9"/>
  <c r="K693" i="9"/>
  <c r="H693" i="9"/>
  <c r="K692" i="9"/>
  <c r="H692" i="9"/>
  <c r="K691" i="9"/>
  <c r="H691" i="9"/>
  <c r="L691" i="9" s="1"/>
  <c r="K690" i="9"/>
  <c r="H690" i="9"/>
  <c r="K689" i="9"/>
  <c r="H689" i="9"/>
  <c r="K688" i="9"/>
  <c r="H688" i="9"/>
  <c r="K687" i="9"/>
  <c r="H687" i="9"/>
  <c r="L687" i="9" s="1"/>
  <c r="K686" i="9"/>
  <c r="H686" i="9"/>
  <c r="K685" i="9"/>
  <c r="H685" i="9"/>
  <c r="K684" i="9"/>
  <c r="H684" i="9"/>
  <c r="K683" i="9"/>
  <c r="H683" i="9"/>
  <c r="L683" i="9" s="1"/>
  <c r="K636" i="9"/>
  <c r="H636" i="9"/>
  <c r="K635" i="9"/>
  <c r="H635" i="9"/>
  <c r="K634" i="9"/>
  <c r="H634" i="9"/>
  <c r="K633" i="9"/>
  <c r="H633" i="9"/>
  <c r="L633" i="9" s="1"/>
  <c r="K632" i="9"/>
  <c r="H632" i="9"/>
  <c r="K631" i="9"/>
  <c r="H631" i="9"/>
  <c r="K630" i="9"/>
  <c r="H630" i="9"/>
  <c r="K629" i="9"/>
  <c r="H629" i="9"/>
  <c r="L629" i="9" s="1"/>
  <c r="K628" i="9"/>
  <c r="H628" i="9"/>
  <c r="K627" i="9"/>
  <c r="H627" i="9"/>
  <c r="K626" i="9"/>
  <c r="H626" i="9"/>
  <c r="K625" i="9"/>
  <c r="H625" i="9"/>
  <c r="K624" i="9"/>
  <c r="H624" i="9"/>
  <c r="K623" i="9"/>
  <c r="H623" i="9"/>
  <c r="K622" i="9"/>
  <c r="H622" i="9"/>
  <c r="K621" i="9"/>
  <c r="H621" i="9"/>
  <c r="L621" i="9" s="1"/>
  <c r="K620" i="9"/>
  <c r="H620" i="9"/>
  <c r="K619" i="9"/>
  <c r="H619" i="9"/>
  <c r="K618" i="9"/>
  <c r="H618" i="9"/>
  <c r="K617" i="9"/>
  <c r="H617" i="9"/>
  <c r="K616" i="9"/>
  <c r="H616" i="9"/>
  <c r="K615" i="9"/>
  <c r="H615" i="9"/>
  <c r="K614" i="9"/>
  <c r="H614" i="9"/>
  <c r="K613" i="9"/>
  <c r="H613" i="9"/>
  <c r="L613" i="9" s="1"/>
  <c r="K612" i="9"/>
  <c r="H612" i="9"/>
  <c r="K611" i="9"/>
  <c r="H611" i="9"/>
  <c r="K610" i="9"/>
  <c r="H610" i="9"/>
  <c r="K609" i="9"/>
  <c r="H609" i="9"/>
  <c r="L609" i="9" s="1"/>
  <c r="K608" i="9"/>
  <c r="H608" i="9"/>
  <c r="K607" i="9"/>
  <c r="H607" i="9"/>
  <c r="K606" i="9"/>
  <c r="H606" i="9"/>
  <c r="K605" i="9"/>
  <c r="H605" i="9"/>
  <c r="L605" i="9" s="1"/>
  <c r="K604" i="9"/>
  <c r="H604" i="9"/>
  <c r="K603" i="9"/>
  <c r="H603" i="9"/>
  <c r="K602" i="9"/>
  <c r="H602" i="9"/>
  <c r="K601" i="9"/>
  <c r="H601" i="9"/>
  <c r="L601" i="9" s="1"/>
  <c r="K600" i="9"/>
  <c r="H600" i="9"/>
  <c r="K599" i="9"/>
  <c r="H599" i="9"/>
  <c r="K598" i="9"/>
  <c r="H598" i="9"/>
  <c r="K597" i="9"/>
  <c r="H597" i="9"/>
  <c r="L597" i="9" s="1"/>
  <c r="K596" i="9"/>
  <c r="H596" i="9"/>
  <c r="L596" i="9" s="1"/>
  <c r="K595" i="9"/>
  <c r="H595" i="9"/>
  <c r="K594" i="9"/>
  <c r="H594" i="9"/>
  <c r="K593" i="9"/>
  <c r="H593" i="9"/>
  <c r="K592" i="9"/>
  <c r="H592" i="9"/>
  <c r="L592" i="9" s="1"/>
  <c r="K591" i="9"/>
  <c r="H591" i="9"/>
  <c r="K590" i="9"/>
  <c r="H590" i="9"/>
  <c r="K589" i="9"/>
  <c r="H589" i="9"/>
  <c r="K588" i="9"/>
  <c r="H588" i="9"/>
  <c r="K587" i="9"/>
  <c r="H587" i="9"/>
  <c r="K586" i="9"/>
  <c r="H586" i="9"/>
  <c r="K585" i="9"/>
  <c r="H585" i="9"/>
  <c r="K584" i="9"/>
  <c r="H584" i="9"/>
  <c r="K583" i="9"/>
  <c r="H583" i="9"/>
  <c r="K582" i="9"/>
  <c r="H582" i="9"/>
  <c r="K581" i="9"/>
  <c r="H581" i="9"/>
  <c r="K580" i="9"/>
  <c r="H580" i="9"/>
  <c r="L580" i="9" s="1"/>
  <c r="K579" i="9"/>
  <c r="H579" i="9"/>
  <c r="K578" i="9"/>
  <c r="H578" i="9"/>
  <c r="K577" i="9"/>
  <c r="H577" i="9"/>
  <c r="K576" i="9"/>
  <c r="H576" i="9"/>
  <c r="L576" i="9" s="1"/>
  <c r="K575" i="9"/>
  <c r="H575" i="9"/>
  <c r="K574" i="9"/>
  <c r="H574" i="9"/>
  <c r="K573" i="9"/>
  <c r="H573" i="9"/>
  <c r="K572" i="9"/>
  <c r="H572" i="9"/>
  <c r="L572" i="9" s="1"/>
  <c r="K571" i="9"/>
  <c r="H571" i="9"/>
  <c r="K570" i="9"/>
  <c r="H570" i="9"/>
  <c r="K569" i="9"/>
  <c r="H569" i="9"/>
  <c r="K568" i="9"/>
  <c r="H568" i="9"/>
  <c r="K567" i="9"/>
  <c r="H567" i="9"/>
  <c r="K566" i="9"/>
  <c r="H566" i="9"/>
  <c r="K565" i="9"/>
  <c r="H565" i="9"/>
  <c r="K564" i="9"/>
  <c r="H564" i="9"/>
  <c r="K563" i="9"/>
  <c r="H563" i="9"/>
  <c r="K562" i="9"/>
  <c r="H562" i="9"/>
  <c r="K561" i="9"/>
  <c r="H561" i="9"/>
  <c r="K560" i="9"/>
  <c r="H560" i="9"/>
  <c r="L560" i="9" s="1"/>
  <c r="K559" i="9"/>
  <c r="H559" i="9"/>
  <c r="K558" i="9"/>
  <c r="H558" i="9"/>
  <c r="K557" i="9"/>
  <c r="H557" i="9"/>
  <c r="L557" i="9" s="1"/>
  <c r="K556" i="9"/>
  <c r="H556" i="9"/>
  <c r="K555" i="9"/>
  <c r="H555" i="9"/>
  <c r="K554" i="9"/>
  <c r="H554" i="9"/>
  <c r="K553" i="9"/>
  <c r="H553" i="9"/>
  <c r="K552" i="9"/>
  <c r="H552" i="9"/>
  <c r="L552" i="9" s="1"/>
  <c r="K551" i="9"/>
  <c r="H551" i="9"/>
  <c r="K550" i="9"/>
  <c r="H550" i="9"/>
  <c r="K549" i="9"/>
  <c r="H549" i="9"/>
  <c r="L549" i="9" s="1"/>
  <c r="K548" i="9"/>
  <c r="H548" i="9"/>
  <c r="L548" i="9" s="1"/>
  <c r="K547" i="9"/>
  <c r="H547" i="9"/>
  <c r="K546" i="9"/>
  <c r="H546" i="9"/>
  <c r="K545" i="9"/>
  <c r="H545" i="9"/>
  <c r="K544" i="9"/>
  <c r="H544" i="9"/>
  <c r="K543" i="9"/>
  <c r="H543" i="9"/>
  <c r="K542" i="9"/>
  <c r="H542" i="9"/>
  <c r="K541" i="9"/>
  <c r="H541" i="9"/>
  <c r="K540" i="9"/>
  <c r="H540" i="9"/>
  <c r="L540" i="9" s="1"/>
  <c r="K539" i="9"/>
  <c r="H539" i="9"/>
  <c r="K538" i="9"/>
  <c r="H538" i="9"/>
  <c r="K537" i="9"/>
  <c r="H537" i="9"/>
  <c r="L537" i="9" s="1"/>
  <c r="K536" i="9"/>
  <c r="H536" i="9"/>
  <c r="K535" i="9"/>
  <c r="H535" i="9"/>
  <c r="K534" i="9"/>
  <c r="H534" i="9"/>
  <c r="K533" i="9"/>
  <c r="H533" i="9"/>
  <c r="L533" i="9" s="1"/>
  <c r="K532" i="9"/>
  <c r="H532" i="9"/>
  <c r="L532" i="9" s="1"/>
  <c r="K531" i="9"/>
  <c r="H531" i="9"/>
  <c r="K530" i="9"/>
  <c r="H530" i="9"/>
  <c r="K529" i="9"/>
  <c r="H529" i="9"/>
  <c r="L529" i="9" s="1"/>
  <c r="K528" i="9"/>
  <c r="H528" i="9"/>
  <c r="K527" i="9"/>
  <c r="H527" i="9"/>
  <c r="K526" i="9"/>
  <c r="H526" i="9"/>
  <c r="K525" i="9"/>
  <c r="H525" i="9"/>
  <c r="L525" i="9" s="1"/>
  <c r="K524" i="9"/>
  <c r="H524" i="9"/>
  <c r="L524" i="9" s="1"/>
  <c r="K523" i="9"/>
  <c r="H523" i="9"/>
  <c r="K522" i="9"/>
  <c r="H522" i="9"/>
  <c r="K521" i="9"/>
  <c r="H521" i="9"/>
  <c r="K520" i="9"/>
  <c r="H520" i="9"/>
  <c r="L520" i="9" s="1"/>
  <c r="K519" i="9"/>
  <c r="H519" i="9"/>
  <c r="K518" i="9"/>
  <c r="H518" i="9"/>
  <c r="K517" i="9"/>
  <c r="H517" i="9"/>
  <c r="L517" i="9" s="1"/>
  <c r="K516" i="9"/>
  <c r="H516" i="9"/>
  <c r="K515" i="9"/>
  <c r="H515" i="9"/>
  <c r="K514" i="9"/>
  <c r="H514" i="9"/>
  <c r="K513" i="9"/>
  <c r="H513" i="9"/>
  <c r="L513" i="9" s="1"/>
  <c r="K512" i="9"/>
  <c r="H512" i="9"/>
  <c r="K511" i="9"/>
  <c r="H511" i="9"/>
  <c r="K510" i="9"/>
  <c r="H510" i="9"/>
  <c r="K509" i="9"/>
  <c r="H509" i="9"/>
  <c r="L509" i="9" s="1"/>
  <c r="K508" i="9"/>
  <c r="H508" i="9"/>
  <c r="K507" i="9"/>
  <c r="H507" i="9"/>
  <c r="K506" i="9"/>
  <c r="H506" i="9"/>
  <c r="K505" i="9"/>
  <c r="H505" i="9"/>
  <c r="L505" i="9" s="1"/>
  <c r="K504" i="9"/>
  <c r="H504" i="9"/>
  <c r="K503" i="9"/>
  <c r="H503" i="9"/>
  <c r="K502" i="9"/>
  <c r="H502" i="9"/>
  <c r="K501" i="9"/>
  <c r="H501" i="9"/>
  <c r="L501" i="9" s="1"/>
  <c r="K500" i="9"/>
  <c r="H500" i="9"/>
  <c r="K499" i="9"/>
  <c r="H499" i="9"/>
  <c r="K498" i="9"/>
  <c r="H498" i="9"/>
  <c r="K497" i="9"/>
  <c r="H497" i="9"/>
  <c r="L497" i="9" s="1"/>
  <c r="K496" i="9"/>
  <c r="H496" i="9"/>
  <c r="K495" i="9"/>
  <c r="H495" i="9"/>
  <c r="K494" i="9"/>
  <c r="H494" i="9"/>
  <c r="K493" i="9"/>
  <c r="H493" i="9"/>
  <c r="L493" i="9" s="1"/>
  <c r="K492" i="9"/>
  <c r="H492" i="9"/>
  <c r="K491" i="9"/>
  <c r="H491" i="9"/>
  <c r="K490" i="9"/>
  <c r="H490" i="9"/>
  <c r="K489" i="9"/>
  <c r="H489" i="9"/>
  <c r="K488" i="9"/>
  <c r="H488" i="9"/>
  <c r="L488" i="9" s="1"/>
  <c r="K487" i="9"/>
  <c r="H487" i="9"/>
  <c r="K486" i="9"/>
  <c r="H486" i="9"/>
  <c r="K485" i="9"/>
  <c r="H485" i="9"/>
  <c r="L485" i="9" s="1"/>
  <c r="K484" i="9"/>
  <c r="H484" i="9"/>
  <c r="L484" i="9" s="1"/>
  <c r="K483" i="9"/>
  <c r="H483" i="9"/>
  <c r="K482" i="9"/>
  <c r="H482" i="9"/>
  <c r="K481" i="9"/>
  <c r="H481" i="9"/>
  <c r="K480" i="9"/>
  <c r="H480" i="9"/>
  <c r="L480" i="9" s="1"/>
  <c r="K479" i="9"/>
  <c r="H479" i="9"/>
  <c r="K478" i="9"/>
  <c r="H478" i="9"/>
  <c r="K477" i="9"/>
  <c r="H477" i="9"/>
  <c r="K476" i="9"/>
  <c r="H476" i="9"/>
  <c r="L476" i="9" s="1"/>
  <c r="K475" i="9"/>
  <c r="H475" i="9"/>
  <c r="K474" i="9"/>
  <c r="H474" i="9"/>
  <c r="K473" i="9"/>
  <c r="H473" i="9"/>
  <c r="K472" i="9"/>
  <c r="H472" i="9"/>
  <c r="L472" i="9" s="1"/>
  <c r="K471" i="9"/>
  <c r="H471" i="9"/>
  <c r="K470" i="9"/>
  <c r="H470" i="9"/>
  <c r="K469" i="9"/>
  <c r="H469" i="9"/>
  <c r="K468" i="9"/>
  <c r="H468" i="9"/>
  <c r="L468" i="9" s="1"/>
  <c r="K467" i="9"/>
  <c r="H467" i="9"/>
  <c r="K466" i="9"/>
  <c r="H466" i="9"/>
  <c r="K465" i="9"/>
  <c r="H465" i="9"/>
  <c r="K464" i="9"/>
  <c r="H464" i="9"/>
  <c r="K463" i="9"/>
  <c r="H463" i="9"/>
  <c r="K462" i="9"/>
  <c r="H462" i="9"/>
  <c r="K461" i="9"/>
  <c r="H461" i="9"/>
  <c r="K460" i="9"/>
  <c r="H460" i="9"/>
  <c r="K459" i="9"/>
  <c r="H459" i="9"/>
  <c r="K458" i="9"/>
  <c r="H458" i="9"/>
  <c r="K457" i="9"/>
  <c r="H457" i="9"/>
  <c r="K456" i="9"/>
  <c r="H456" i="9"/>
  <c r="K455" i="9"/>
  <c r="H455" i="9"/>
  <c r="K454" i="9"/>
  <c r="H454" i="9"/>
  <c r="K453" i="9"/>
  <c r="H453" i="9"/>
  <c r="K452" i="9"/>
  <c r="H452" i="9"/>
  <c r="K451" i="9"/>
  <c r="H451" i="9"/>
  <c r="K450" i="9"/>
  <c r="H450" i="9"/>
  <c r="K449" i="9"/>
  <c r="H449" i="9"/>
  <c r="K448" i="9"/>
  <c r="H448" i="9"/>
  <c r="L448" i="9" s="1"/>
  <c r="K447" i="9"/>
  <c r="H447" i="9"/>
  <c r="K182" i="8"/>
  <c r="H182" i="8"/>
  <c r="K181" i="8"/>
  <c r="H181" i="8"/>
  <c r="L181" i="8" s="1"/>
  <c r="K180" i="8"/>
  <c r="H180" i="8"/>
  <c r="L180" i="8" s="1"/>
  <c r="K179" i="8"/>
  <c r="H179" i="8"/>
  <c r="K178" i="8"/>
  <c r="H178" i="8"/>
  <c r="K177" i="8"/>
  <c r="H177" i="8"/>
  <c r="L177" i="8" s="1"/>
  <c r="K176" i="8"/>
  <c r="H176" i="8"/>
  <c r="L176" i="8" s="1"/>
  <c r="K175" i="8"/>
  <c r="H175" i="8"/>
  <c r="K174" i="8"/>
  <c r="H174" i="8"/>
  <c r="K173" i="8"/>
  <c r="H173" i="8"/>
  <c r="L173" i="8" s="1"/>
  <c r="K172" i="8"/>
  <c r="H172" i="8"/>
  <c r="L172" i="8" s="1"/>
  <c r="K171" i="8"/>
  <c r="H171" i="8"/>
  <c r="K170" i="8"/>
  <c r="H170" i="8"/>
  <c r="K169" i="8"/>
  <c r="H169" i="8"/>
  <c r="L169" i="8" s="1"/>
  <c r="K168" i="8"/>
  <c r="H168" i="8"/>
  <c r="K167" i="8"/>
  <c r="H167" i="8"/>
  <c r="K166" i="8"/>
  <c r="H166" i="8"/>
  <c r="K165" i="8"/>
  <c r="H165" i="8"/>
  <c r="K164" i="8"/>
  <c r="H164" i="8"/>
  <c r="K163" i="8"/>
  <c r="H163" i="8"/>
  <c r="K162" i="8"/>
  <c r="H162" i="8"/>
  <c r="K161" i="8"/>
  <c r="H161" i="8"/>
  <c r="L161" i="8" s="1"/>
  <c r="K160" i="8"/>
  <c r="H160" i="8"/>
  <c r="K57" i="8"/>
  <c r="H57" i="8"/>
  <c r="K56" i="8"/>
  <c r="H56" i="8"/>
  <c r="K55" i="8"/>
  <c r="H55" i="8"/>
  <c r="L55" i="8" s="1"/>
  <c r="K54" i="8"/>
  <c r="H54" i="8"/>
  <c r="L54" i="8" s="1"/>
  <c r="K53" i="8"/>
  <c r="H53" i="8"/>
  <c r="K52" i="8"/>
  <c r="H52" i="8"/>
  <c r="K51" i="8"/>
  <c r="H51" i="8"/>
  <c r="L51" i="8" s="1"/>
  <c r="K50" i="8"/>
  <c r="H50" i="8"/>
  <c r="L50" i="8" s="1"/>
  <c r="K47" i="8"/>
  <c r="H47" i="8"/>
  <c r="K46" i="8"/>
  <c r="H46" i="8"/>
  <c r="K45" i="8"/>
  <c r="H45" i="8"/>
  <c r="L45" i="8" s="1"/>
  <c r="K44" i="8"/>
  <c r="H44" i="8"/>
  <c r="K43" i="8"/>
  <c r="H43" i="8"/>
  <c r="K42" i="8"/>
  <c r="H42" i="8"/>
  <c r="K41" i="8"/>
  <c r="H41" i="8"/>
  <c r="L41" i="8" s="1"/>
  <c r="K40" i="8"/>
  <c r="H40" i="8"/>
  <c r="L42" i="8" l="1"/>
  <c r="L56" i="8"/>
  <c r="L174" i="8"/>
  <c r="L182" i="8"/>
  <c r="L450" i="9"/>
  <c r="L454" i="9"/>
  <c r="L462" i="9"/>
  <c r="L466" i="9"/>
  <c r="L470" i="9"/>
  <c r="L474" i="9"/>
  <c r="L486" i="9"/>
  <c r="L490" i="9"/>
  <c r="L494" i="9"/>
  <c r="L498" i="9"/>
  <c r="L502" i="9"/>
  <c r="L506" i="9"/>
  <c r="L514" i="9"/>
  <c r="L522" i="9"/>
  <c r="L526" i="9"/>
  <c r="L530" i="9"/>
  <c r="L538" i="9"/>
  <c r="L542" i="9"/>
  <c r="L546" i="9"/>
  <c r="L554" i="9"/>
  <c r="L562" i="9"/>
  <c r="L566" i="9"/>
  <c r="L570" i="9"/>
  <c r="L574" i="9"/>
  <c r="L578" i="9"/>
  <c r="L582" i="9"/>
  <c r="L586" i="9"/>
  <c r="L590" i="9"/>
  <c r="L594" i="9"/>
  <c r="L602" i="9"/>
  <c r="L606" i="9"/>
  <c r="L610" i="9"/>
  <c r="L614" i="9"/>
  <c r="L618" i="9"/>
  <c r="L622" i="9"/>
  <c r="L626" i="9"/>
  <c r="L634" i="9"/>
  <c r="L684" i="9"/>
  <c r="L704" i="9"/>
  <c r="L712" i="9"/>
  <c r="L716" i="9"/>
  <c r="L724" i="9"/>
  <c r="L728" i="9"/>
  <c r="L732" i="9"/>
  <c r="L756" i="9"/>
  <c r="L760" i="9"/>
  <c r="L768" i="9"/>
  <c r="L776" i="9"/>
  <c r="L796" i="9"/>
  <c r="L800" i="9"/>
  <c r="L804" i="9"/>
  <c r="L808" i="9"/>
  <c r="L812" i="9"/>
  <c r="L816" i="9"/>
  <c r="L824" i="9"/>
  <c r="L828" i="9"/>
  <c r="L832" i="9"/>
  <c r="L836" i="9"/>
  <c r="L840" i="9"/>
  <c r="L844" i="9"/>
  <c r="L848" i="9"/>
  <c r="L856" i="9"/>
  <c r="L860" i="9"/>
  <c r="L535" i="9"/>
  <c r="L599" i="9"/>
  <c r="L615" i="9"/>
  <c r="L765" i="9"/>
  <c r="L456" i="9"/>
  <c r="L541" i="9"/>
  <c r="L553" i="9"/>
  <c r="L593" i="9"/>
  <c r="L751" i="9"/>
  <c r="L759" i="9"/>
  <c r="L791" i="9"/>
  <c r="L843" i="9"/>
  <c r="L41" i="10"/>
  <c r="L45" i="10"/>
  <c r="L49" i="10"/>
  <c r="L53" i="10"/>
  <c r="L57" i="10"/>
  <c r="K124" i="11"/>
  <c r="K161" i="11"/>
  <c r="K169" i="11"/>
  <c r="K125" i="11"/>
  <c r="K43" i="11"/>
  <c r="K51" i="11"/>
  <c r="K59" i="11"/>
  <c r="K86" i="11"/>
  <c r="K94" i="11"/>
  <c r="K162" i="11"/>
  <c r="K166" i="11"/>
  <c r="K177" i="11"/>
  <c r="K92" i="11"/>
  <c r="K129" i="11"/>
  <c r="K39" i="11"/>
  <c r="K188" i="11" s="1"/>
  <c r="K55" i="11"/>
  <c r="K167" i="11"/>
  <c r="K63" i="11"/>
  <c r="K82" i="11"/>
  <c r="K49" i="11"/>
  <c r="K64" i="11"/>
  <c r="K128" i="11"/>
  <c r="K136" i="11"/>
  <c r="K184" i="11"/>
  <c r="L620" i="9"/>
  <c r="L624" i="9"/>
  <c r="L632" i="9"/>
  <c r="L636" i="9"/>
  <c r="L686" i="9"/>
  <c r="L690" i="9"/>
  <c r="L694" i="9"/>
  <c r="L770" i="9"/>
  <c r="L774" i="9"/>
  <c r="L778" i="9"/>
  <c r="L782" i="9"/>
  <c r="L786" i="9"/>
  <c r="L790" i="9"/>
  <c r="L810" i="9"/>
  <c r="L818" i="9"/>
  <c r="L830" i="9"/>
  <c r="L846" i="9"/>
  <c r="L850" i="9"/>
  <c r="L752" i="9"/>
  <c r="L4" i="10"/>
  <c r="L12" i="10"/>
  <c r="L16" i="10"/>
  <c r="L24" i="10"/>
  <c r="L28" i="10"/>
  <c r="L60" i="10"/>
  <c r="L64" i="10"/>
  <c r="L827" i="9"/>
  <c r="L736" i="9"/>
  <c r="L550" i="9"/>
  <c r="L792" i="9"/>
  <c r="L723" i="9"/>
  <c r="L451" i="9"/>
  <c r="L455" i="9"/>
  <c r="L463" i="9"/>
  <c r="L475" i="9"/>
  <c r="L479" i="9"/>
  <c r="L483" i="9"/>
  <c r="L491" i="9"/>
  <c r="L495" i="9"/>
  <c r="L507" i="9"/>
  <c r="L511" i="9"/>
  <c r="L539" i="9"/>
  <c r="L543" i="9"/>
  <c r="L547" i="9"/>
  <c r="L551" i="9"/>
  <c r="L555" i="9"/>
  <c r="L559" i="9"/>
  <c r="L567" i="9"/>
  <c r="L579" i="9"/>
  <c r="L583" i="9"/>
  <c r="L587" i="9"/>
  <c r="L591" i="9"/>
  <c r="L603" i="9"/>
  <c r="L619" i="9"/>
  <c r="L693" i="9"/>
  <c r="L697" i="9"/>
  <c r="L701" i="9"/>
  <c r="L705" i="9"/>
  <c r="L709" i="9"/>
  <c r="L713" i="9"/>
  <c r="L717" i="9"/>
  <c r="L725" i="9"/>
  <c r="L745" i="9"/>
  <c r="L769" i="9"/>
  <c r="L773" i="9"/>
  <c r="L781" i="9"/>
  <c r="L789" i="9"/>
  <c r="L797" i="9"/>
  <c r="L805" i="9"/>
  <c r="L809" i="9"/>
  <c r="L817" i="9"/>
  <c r="L829" i="9"/>
  <c r="L837" i="9"/>
  <c r="L841" i="9"/>
  <c r="L845" i="9"/>
  <c r="L849" i="9"/>
  <c r="L861" i="9"/>
  <c r="L43" i="8"/>
  <c r="L47" i="8"/>
  <c r="L57" i="8"/>
  <c r="L171" i="8"/>
  <c r="L175" i="8"/>
  <c r="L179" i="8"/>
  <c r="K182" i="11"/>
  <c r="K46" i="11"/>
  <c r="K53" i="11"/>
  <c r="K89" i="11"/>
  <c r="K96" i="11"/>
  <c r="K164" i="11"/>
  <c r="K178" i="11"/>
  <c r="K47" i="11"/>
  <c r="K90" i="11"/>
  <c r="K165" i="11"/>
  <c r="K65" i="11"/>
  <c r="K69" i="11"/>
  <c r="K130" i="11"/>
  <c r="K98" i="11"/>
  <c r="K180" i="11"/>
  <c r="K57" i="11"/>
  <c r="K41" i="11"/>
  <c r="K84" i="11"/>
  <c r="K159" i="11"/>
  <c r="K122" i="11"/>
  <c r="K42" i="11"/>
  <c r="K67" i="11"/>
  <c r="K85" i="11"/>
  <c r="K132" i="11"/>
  <c r="K160" i="11"/>
  <c r="L166" i="8"/>
  <c r="L160" i="8"/>
  <c r="L164" i="8"/>
  <c r="L168" i="8"/>
  <c r="L44" i="8"/>
  <c r="L163" i="8"/>
  <c r="L170" i="8"/>
  <c r="L167" i="8"/>
  <c r="L178" i="8"/>
  <c r="L46" i="8"/>
  <c r="L52" i="8"/>
  <c r="L165" i="8"/>
  <c r="L40" i="8"/>
  <c r="L183" i="8" s="1"/>
  <c r="L53" i="8"/>
  <c r="L162" i="8"/>
  <c r="L453" i="9"/>
  <c r="L457" i="9"/>
  <c r="L461" i="9"/>
  <c r="L465" i="9"/>
  <c r="L469" i="9"/>
  <c r="L473" i="9"/>
  <c r="L477" i="9"/>
  <c r="L481" i="9"/>
  <c r="L500" i="9"/>
  <c r="L504" i="9"/>
  <c r="L512" i="9"/>
  <c r="L523" i="9"/>
  <c r="L527" i="9"/>
  <c r="L531" i="9"/>
  <c r="L558" i="9"/>
  <c r="L573" i="9"/>
  <c r="L577" i="9"/>
  <c r="L581" i="9"/>
  <c r="L585" i="9"/>
  <c r="L589" i="9"/>
  <c r="L627" i="9"/>
  <c r="L631" i="9"/>
  <c r="L685" i="9"/>
  <c r="L700" i="9"/>
  <c r="L715" i="9"/>
  <c r="L719" i="9"/>
  <c r="L738" i="9"/>
  <c r="L746" i="9"/>
  <c r="L754" i="9"/>
  <c r="L761" i="9"/>
  <c r="L788" i="9"/>
  <c r="L811" i="9"/>
  <c r="L815" i="9"/>
  <c r="L819" i="9"/>
  <c r="L823" i="9"/>
  <c r="L835" i="9"/>
  <c r="L839" i="9"/>
  <c r="L482" i="9"/>
  <c r="L720" i="9"/>
  <c r="L447" i="9"/>
  <c r="L740" i="9"/>
  <c r="L744" i="9"/>
  <c r="L748" i="9"/>
  <c r="L763" i="9"/>
  <c r="L487" i="9"/>
  <c r="L518" i="9"/>
  <c r="L545" i="9"/>
  <c r="L595" i="9"/>
  <c r="L733" i="9"/>
  <c r="L779" i="9"/>
  <c r="L798" i="9"/>
  <c r="L813" i="9"/>
  <c r="L452" i="9"/>
  <c r="L534" i="9"/>
  <c r="L607" i="9"/>
  <c r="L688" i="9"/>
  <c r="L714" i="9"/>
  <c r="L749" i="9"/>
  <c r="L753" i="9"/>
  <c r="L764" i="9"/>
  <c r="L822" i="9"/>
  <c r="L834" i="9"/>
  <c r="L565" i="9"/>
  <c r="L569" i="9"/>
  <c r="L623" i="9"/>
  <c r="L692" i="9"/>
  <c r="L696" i="9"/>
  <c r="L703" i="9"/>
  <c r="L707" i="9"/>
  <c r="L726" i="9"/>
  <c r="L757" i="9"/>
  <c r="L780" i="9"/>
  <c r="L784" i="9"/>
  <c r="L803" i="9"/>
  <c r="L807" i="9"/>
  <c r="L564" i="9"/>
  <c r="L571" i="9"/>
  <c r="L612" i="9"/>
  <c r="L702" i="9"/>
  <c r="L730" i="9"/>
  <c r="L737" i="9"/>
  <c r="L802" i="9"/>
  <c r="L458" i="9"/>
  <c r="L508" i="9"/>
  <c r="L515" i="9"/>
  <c r="L536" i="9"/>
  <c r="L561" i="9"/>
  <c r="L568" i="9"/>
  <c r="L575" i="9"/>
  <c r="L616" i="9"/>
  <c r="L689" i="9"/>
  <c r="L706" i="9"/>
  <c r="L727" i="9"/>
  <c r="L734" i="9"/>
  <c r="L741" i="9"/>
  <c r="L758" i="9"/>
  <c r="L775" i="9"/>
  <c r="L785" i="9"/>
  <c r="L799" i="9"/>
  <c r="L806" i="9"/>
  <c r="L820" i="9"/>
  <c r="L831" i="9"/>
  <c r="L838" i="9"/>
  <c r="L852" i="9"/>
  <c r="L630" i="9"/>
  <c r="L762" i="9"/>
  <c r="L772" i="9"/>
  <c r="L842" i="9"/>
  <c r="L459" i="9"/>
  <c r="L516" i="9"/>
  <c r="L519" i="9"/>
  <c r="L544" i="9"/>
  <c r="L600" i="9"/>
  <c r="L617" i="9"/>
  <c r="L710" i="9"/>
  <c r="L735" i="9"/>
  <c r="L742" i="9"/>
  <c r="L814" i="9"/>
  <c r="L853" i="9"/>
  <c r="L721" i="9"/>
  <c r="L766" i="9"/>
  <c r="L783" i="9"/>
  <c r="L793" i="9"/>
  <c r="L821" i="9"/>
  <c r="L825" i="9"/>
  <c r="L857" i="9"/>
  <c r="L460" i="9"/>
  <c r="L467" i="9"/>
  <c r="L492" i="9"/>
  <c r="L499" i="9"/>
  <c r="L584" i="9"/>
  <c r="L604" i="9"/>
  <c r="L611" i="9"/>
  <c r="L628" i="9"/>
  <c r="L711" i="9"/>
  <c r="L718" i="9"/>
  <c r="L854" i="9"/>
  <c r="L449" i="9"/>
  <c r="L464" i="9"/>
  <c r="L471" i="9"/>
  <c r="L478" i="9"/>
  <c r="L489" i="9"/>
  <c r="L496" i="9"/>
  <c r="L503" i="9"/>
  <c r="L510" i="9"/>
  <c r="L521" i="9"/>
  <c r="L528" i="9"/>
  <c r="L556" i="9"/>
  <c r="L563" i="9"/>
  <c r="L588" i="9"/>
  <c r="L598" i="9"/>
  <c r="L608" i="9"/>
  <c r="L625" i="9"/>
  <c r="L635" i="9"/>
  <c r="L698" i="9"/>
  <c r="L708" i="9"/>
  <c r="L722" i="9"/>
  <c r="L729" i="9"/>
  <c r="L750" i="9"/>
  <c r="L767" i="9"/>
  <c r="L777" i="9"/>
  <c r="L794" i="9"/>
  <c r="L801" i="9"/>
  <c r="L826" i="9"/>
  <c r="L833" i="9"/>
  <c r="L858" i="9"/>
  <c r="L29" i="10"/>
  <c r="L73" i="10"/>
  <c r="L54" i="10"/>
  <c r="L31" i="10"/>
  <c r="L35" i="10"/>
  <c r="L51" i="10"/>
  <c r="L32" i="10"/>
  <c r="L36" i="10"/>
  <c r="L44" i="10"/>
  <c r="L48" i="10"/>
  <c r="L52" i="10"/>
  <c r="L56" i="10"/>
  <c r="L3" i="10"/>
  <c r="L14" i="10"/>
  <c r="L22" i="10"/>
  <c r="L50" i="10"/>
  <c r="L66" i="10"/>
  <c r="L19" i="10"/>
  <c r="L39" i="10"/>
  <c r="L43" i="10"/>
  <c r="L55" i="10"/>
  <c r="L59" i="10"/>
  <c r="L63" i="10"/>
  <c r="L71" i="10"/>
  <c r="L20" i="10"/>
  <c r="L5" i="10"/>
  <c r="L9" i="10"/>
  <c r="L17" i="10"/>
  <c r="L25" i="10"/>
  <c r="L30" i="10"/>
  <c r="L37" i="10"/>
  <c r="L62" i="10"/>
  <c r="L69" i="10"/>
  <c r="L6" i="10"/>
  <c r="L13" i="10"/>
  <c r="L38" i="10"/>
  <c r="L70" i="10"/>
  <c r="L21" i="10"/>
  <c r="L46" i="10"/>
  <c r="L8" i="10"/>
  <c r="L15" i="10"/>
  <c r="L26" i="10"/>
  <c r="L33" i="10"/>
  <c r="L40" i="10"/>
  <c r="L47" i="10"/>
  <c r="L58" i="10"/>
  <c r="L61" i="10"/>
  <c r="L65" i="10"/>
  <c r="L72" i="10"/>
  <c r="L74" i="10" l="1"/>
  <c r="L862" i="9" l="1"/>
  <c r="I29" i="13" l="1"/>
  <c r="I105" i="14" l="1"/>
  <c r="M46" i="15" l="1"/>
  <c r="M3" i="15" l="1"/>
  <c r="M4" i="15"/>
  <c r="M5" i="15"/>
  <c r="M6" i="15"/>
  <c r="M7" i="15"/>
  <c r="M8" i="15"/>
  <c r="M9" i="15"/>
  <c r="M13" i="15"/>
  <c r="M14" i="15"/>
  <c r="M15" i="15"/>
  <c r="M16" i="15"/>
  <c r="M20" i="15"/>
  <c r="M21" i="15"/>
  <c r="M22" i="15"/>
  <c r="M23" i="15"/>
  <c r="M27" i="15"/>
  <c r="M28" i="15"/>
  <c r="M29" i="15"/>
  <c r="M30" i="15"/>
  <c r="M34" i="15"/>
  <c r="M35" i="15"/>
  <c r="M36" i="15"/>
  <c r="M37" i="15"/>
  <c r="I51" i="14"/>
  <c r="I65" i="14"/>
  <c r="I80" i="14"/>
  <c r="I83" i="14"/>
  <c r="I84" i="14"/>
  <c r="I91" i="14"/>
  <c r="I94" i="14"/>
  <c r="I95" i="14"/>
  <c r="H23" i="13"/>
  <c r="H24" i="13" s="1"/>
  <c r="I24" i="13"/>
  <c r="M17" i="15" l="1"/>
  <c r="M24" i="15"/>
  <c r="M10" i="15"/>
  <c r="M31" i="15"/>
  <c r="M38" i="15"/>
  <c r="I85" i="14"/>
  <c r="I96" i="14" l="1"/>
  <c r="G10" i="7" l="1"/>
  <c r="L10" i="7"/>
  <c r="N10" i="7" l="1"/>
  <c r="G9" i="7" l="1"/>
  <c r="G11" i="7" s="1"/>
  <c r="L9" i="7" l="1"/>
  <c r="N9" i="7" l="1"/>
  <c r="N11" i="7" s="1"/>
  <c r="L11" i="7"/>
  <c r="G21" i="7"/>
  <c r="L21" i="7"/>
  <c r="N21" i="7" l="1"/>
  <c r="G4" i="7" l="1"/>
  <c r="G5" i="7" s="1"/>
  <c r="L4" i="7"/>
  <c r="L5" i="7" s="1"/>
  <c r="N4" i="7" l="1"/>
  <c r="N5" i="7" s="1"/>
</calcChain>
</file>

<file path=xl/comments1.xml><?xml version="1.0" encoding="utf-8"?>
<comments xmlns="http://schemas.openxmlformats.org/spreadsheetml/2006/main">
  <authors>
    <author>Pangilinan, Kirsten</author>
  </authors>
  <commentList>
    <comment ref="G2" authorId="0" shapeId="0">
      <text>
        <r>
          <rPr>
            <sz val="12"/>
            <color indexed="81"/>
            <rFont val="Arial"/>
            <family val="2"/>
          </rPr>
          <t>Footnote 1.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Pangilinan, Kirsten</author>
  </authors>
  <commentList>
    <comment ref="A29" authorId="0" shapeId="0">
      <text>
        <r>
          <rPr>
            <sz val="12"/>
            <color indexed="81"/>
            <rFont val="Arial"/>
            <family val="2"/>
          </rPr>
          <t>Footnote 2.</t>
        </r>
      </text>
    </comment>
  </commentList>
</comments>
</file>

<file path=xl/comments3.xml><?xml version="1.0" encoding="utf-8"?>
<comments xmlns="http://schemas.openxmlformats.org/spreadsheetml/2006/main">
  <authors>
    <author>Waty, Linda</author>
    <author>Pangilinan, Kirsten</author>
  </authors>
  <commentList>
    <comment ref="G2" authorId="0" shapeId="0">
      <text>
        <r>
          <rPr>
            <sz val="12"/>
            <color indexed="81"/>
            <rFont val="Arial"/>
            <family val="2"/>
          </rPr>
          <t>Footnote 3.</t>
        </r>
      </text>
    </comment>
    <comment ref="I2" authorId="0" shapeId="0">
      <text>
        <r>
          <rPr>
            <sz val="12"/>
            <color indexed="81"/>
            <rFont val="Arial"/>
            <family val="2"/>
          </rPr>
          <t>Footnote 4.</t>
        </r>
      </text>
    </comment>
    <comment ref="L2" authorId="1" shapeId="0">
      <text>
        <r>
          <rPr>
            <sz val="12"/>
            <color indexed="81"/>
            <rFont val="Arial"/>
            <family val="2"/>
          </rPr>
          <t>Footnote 5.</t>
        </r>
      </text>
    </comment>
    <comment ref="N2" authorId="1" shapeId="0">
      <text>
        <r>
          <rPr>
            <sz val="12"/>
            <color indexed="81"/>
            <rFont val="Arial"/>
            <family val="2"/>
          </rPr>
          <t>Footnote 6.</t>
        </r>
      </text>
    </comment>
    <comment ref="F4" authorId="1" shapeId="0">
      <text>
        <r>
          <rPr>
            <sz val="12"/>
            <color indexed="81"/>
            <rFont val="Arial"/>
            <family val="2"/>
          </rPr>
          <t>Footnote 1.</t>
        </r>
      </text>
    </comment>
    <comment ref="F9" authorId="1" shapeId="0">
      <text>
        <r>
          <rPr>
            <sz val="12"/>
            <color indexed="81"/>
            <rFont val="Arial"/>
            <family val="2"/>
          </rPr>
          <t>Footnote 2.</t>
        </r>
      </text>
    </comment>
    <comment ref="A17" authorId="0" shapeId="0">
      <text>
        <r>
          <rPr>
            <sz val="12"/>
            <color indexed="81"/>
            <rFont val="Arial"/>
            <family val="2"/>
          </rPr>
          <t>Footnote 7.</t>
        </r>
      </text>
    </comment>
    <comment ref="A26" authorId="1" shapeId="0">
      <text>
        <r>
          <rPr>
            <sz val="12"/>
            <color indexed="81"/>
            <rFont val="Arial"/>
            <family val="2"/>
          </rPr>
          <t>Footnote 7 &amp; 8.</t>
        </r>
      </text>
    </comment>
  </commentList>
</comments>
</file>

<file path=xl/comments4.xml><?xml version="1.0" encoding="utf-8"?>
<comments xmlns="http://schemas.openxmlformats.org/spreadsheetml/2006/main">
  <authors>
    <author>Pangilinan, Kirsten</author>
  </authors>
  <commentList>
    <comment ref="F2" authorId="0" shapeId="0">
      <text>
        <r>
          <rPr>
            <sz val="12"/>
            <color indexed="81"/>
            <rFont val="Arial"/>
            <family val="2"/>
          </rPr>
          <t>Footnote 1.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Pangilinan, Kirsten</author>
  </authors>
  <commentList>
    <comment ref="F2" authorId="0" shapeId="0">
      <text>
        <r>
          <rPr>
            <sz val="12"/>
            <color indexed="81"/>
            <rFont val="Arial"/>
            <family val="2"/>
          </rPr>
          <t>Footnote 2.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Pangilinan, Kirsten</author>
  </authors>
  <commentList>
    <comment ref="F2" authorId="0" shapeId="0">
      <text>
        <r>
          <rPr>
            <sz val="12"/>
            <color indexed="81"/>
            <rFont val="Arial"/>
            <family val="2"/>
          </rPr>
          <t>Footnote 2.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Pangilinan, Kirsten</author>
  </authors>
  <commentList>
    <comment ref="A188" authorId="0" shapeId="0">
      <text>
        <r>
          <rPr>
            <sz val="12"/>
            <color indexed="81"/>
            <rFont val="Arial"/>
            <family val="2"/>
          </rPr>
          <t>Footnote 8.</t>
        </r>
      </text>
    </comment>
  </commentList>
</comments>
</file>

<file path=xl/sharedStrings.xml><?xml version="1.0" encoding="utf-8"?>
<sst xmlns="http://schemas.openxmlformats.org/spreadsheetml/2006/main" count="6393" uniqueCount="596">
  <si>
    <t>Legal
Reference
(Ch./Year)</t>
  </si>
  <si>
    <t>Local Agencies</t>
  </si>
  <si>
    <t>2018-19</t>
  </si>
  <si>
    <t>2017-18</t>
  </si>
  <si>
    <t>Total Local Agencies</t>
  </si>
  <si>
    <t>School Districts</t>
  </si>
  <si>
    <t>Community College Districts</t>
  </si>
  <si>
    <t>Total School Districts and Community College Districts</t>
  </si>
  <si>
    <t>Grand Total Local Agencies, School Districts, and Community College Districts</t>
  </si>
  <si>
    <t>Fiscal
Year</t>
  </si>
  <si>
    <t>Program
Name</t>
  </si>
  <si>
    <t>Ch. 1022/99</t>
  </si>
  <si>
    <t>Ch. 246/95</t>
  </si>
  <si>
    <t>Ch. 698/98</t>
  </si>
  <si>
    <t>Ch. 314/12</t>
  </si>
  <si>
    <t>Ch. 700/05</t>
  </si>
  <si>
    <t>Ch. 102/81</t>
  </si>
  <si>
    <t>Ch. 630/78</t>
  </si>
  <si>
    <t>Ch. 762/95</t>
  </si>
  <si>
    <t>Ch. 721/15</t>
  </si>
  <si>
    <t>Ch. 921/87</t>
  </si>
  <si>
    <t>Ch. 1460/89</t>
  </si>
  <si>
    <t>2019-20</t>
  </si>
  <si>
    <t>Ch. 469/15</t>
  </si>
  <si>
    <t>2016-17</t>
  </si>
  <si>
    <t>Peace Officer Training: Mental Health/Crisis Intervention</t>
  </si>
  <si>
    <t>Crime Victims' Domestic Violence Incident Reports</t>
  </si>
  <si>
    <t>Domestic Violence Arrest Policies and Standards</t>
  </si>
  <si>
    <t>Domestic Violence Arrests and Victim Assistance</t>
  </si>
  <si>
    <t>Local Agency Employee Organizations: Impasse Procedures II</t>
  </si>
  <si>
    <t>Local Agency Ethics</t>
  </si>
  <si>
    <t>Medi-Cal Beneficiary Probate</t>
  </si>
  <si>
    <t>Peace Officers Personnel Records: Unfounded Complaints and Discovery</t>
  </si>
  <si>
    <t>Sexually Violent Predators</t>
  </si>
  <si>
    <t>U Visa 918 Form, Victims of Crime: Nonimmigrant Status</t>
  </si>
  <si>
    <t>Countywide Tax Rates</t>
  </si>
  <si>
    <t>2003-04</t>
  </si>
  <si>
    <t>2009-10</t>
  </si>
  <si>
    <t>2014-15</t>
  </si>
  <si>
    <t>2015-16</t>
  </si>
  <si>
    <t>Administrative License Suspension</t>
  </si>
  <si>
    <t>Program
Category</t>
  </si>
  <si>
    <t>Schedules</t>
  </si>
  <si>
    <t>Program
Costs</t>
  </si>
  <si>
    <t>Less: Recovered
Amount</t>
  </si>
  <si>
    <t>General Government</t>
  </si>
  <si>
    <t>Education</t>
  </si>
  <si>
    <t>2014-15 and Prior</t>
  </si>
  <si>
    <t>Program Number</t>
  </si>
  <si>
    <t>Net
Balance</t>
  </si>
  <si>
    <t>Less: Recovered Amount</t>
  </si>
  <si>
    <t>Peace Officers Procedural Bill of Rights</t>
  </si>
  <si>
    <t>Ch. 465/76</t>
  </si>
  <si>
    <t>2013-14</t>
  </si>
  <si>
    <t>2012-13</t>
  </si>
  <si>
    <t>2011-12</t>
  </si>
  <si>
    <t>Open Meetings Act/Brown Act Reform</t>
  </si>
  <si>
    <t>Ch. 641/86</t>
  </si>
  <si>
    <t>2010-11</t>
  </si>
  <si>
    <t>Absentee Ballots</t>
  </si>
  <si>
    <t>Ch. 77/78</t>
  </si>
  <si>
    <t>Absentee Ballots: Tabulation by Precinct</t>
  </si>
  <si>
    <t>Ch. 697/99</t>
  </si>
  <si>
    <t>California Public Records Act</t>
  </si>
  <si>
    <t>Ch. 463/92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</si>
  <si>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</si>
  <si>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</si>
  <si>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</si>
  <si>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</si>
  <si>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</si>
  <si>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</si>
  <si>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</si>
  <si>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</si>
  <si>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</si>
  <si>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</si>
  <si>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</si>
  <si>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</si>
  <si>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</si>
  <si>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</si>
  <si>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Developmentally Disabled: Attorneys' Services</t>
  </si>
  <si>
    <t>Ch. 694/75</t>
  </si>
  <si>
    <t>Local Agency Formation Commissions (LAFCO)</t>
  </si>
  <si>
    <t>Ch. 761/00</t>
  </si>
  <si>
    <t>Mentally Disordered Offenders' Extended Commitment Proceedings</t>
  </si>
  <si>
    <t>Ch. 1418/85</t>
  </si>
  <si>
    <t>Mentally Disordered Sex Offenders: Extended Commitment Proceedings</t>
  </si>
  <si>
    <t>Ch. 1036/78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</si>
  <si>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</si>
  <si>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</si>
  <si>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</si>
  <si>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</si>
  <si>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</si>
  <si>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</si>
  <si>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</si>
  <si>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</si>
  <si>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</si>
  <si>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</si>
  <si>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</si>
  <si>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</si>
  <si>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</si>
  <si>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</si>
  <si>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</si>
  <si>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</si>
  <si>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Stolen Vehicle Notification</t>
  </si>
  <si>
    <t>Ch. 337/90</t>
  </si>
  <si>
    <t>2008-09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</si>
  <si>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</si>
  <si>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</si>
  <si>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</si>
  <si>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</si>
  <si>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</si>
  <si>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</si>
  <si>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</si>
  <si>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</si>
  <si>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</si>
  <si>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</si>
  <si>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2007-08</t>
  </si>
  <si>
    <t>Firefighters' Cancer Presumption</t>
  </si>
  <si>
    <t>Ch. 1568/82</t>
  </si>
  <si>
    <t>Peace Officers Cancer Presumption</t>
  </si>
  <si>
    <t>Ch. 1171/89</t>
  </si>
  <si>
    <t>2006-07</t>
  </si>
  <si>
    <t>2005-06</t>
  </si>
  <si>
    <t>2004-05</t>
  </si>
  <si>
    <t>2002-03</t>
  </si>
  <si>
    <t>2001-02</t>
  </si>
  <si>
    <t>Investment Reports</t>
  </si>
  <si>
    <t>Ch. 783/95</t>
  </si>
  <si>
    <t>2000-01</t>
  </si>
  <si>
    <t>1999-00</t>
  </si>
  <si>
    <t>SIDS Training for Firefighters</t>
  </si>
  <si>
    <t>Ch. 1111/89</t>
  </si>
  <si>
    <t>1998-99</t>
  </si>
  <si>
    <t>Open Meetings Act</t>
  </si>
  <si>
    <t>Regional Housing Need Determination</t>
  </si>
  <si>
    <t>Ch. 1143/80</t>
  </si>
  <si>
    <t>1997-98</t>
  </si>
  <si>
    <t>1996-97</t>
  </si>
  <si>
    <t>1995-96</t>
  </si>
  <si>
    <t>1994-95</t>
  </si>
  <si>
    <t>1992-93</t>
  </si>
  <si>
    <t>Personal Alarm Devices</t>
  </si>
  <si>
    <t>Title 8</t>
  </si>
  <si>
    <t>1991-92</t>
  </si>
  <si>
    <t>Structural and Wildland Firefighter Safety Clothing and Equipment</t>
  </si>
  <si>
    <t xml:space="preserve">Title 8 </t>
  </si>
  <si>
    <t>1990-91</t>
  </si>
  <si>
    <t>Less: Net Payments and Offsets</t>
  </si>
  <si>
    <t>California Fire Incident Reporting System (CFIRS)</t>
  </si>
  <si>
    <t>Ch. 345/87</t>
  </si>
  <si>
    <t>Crime Statistics Reports for the Department of Justice</t>
  </si>
  <si>
    <t>Ch. 1172/89</t>
  </si>
  <si>
    <t>Crime Victims' Domestic Violence Incident Reports II</t>
  </si>
  <si>
    <t>Ch. 483/01</t>
  </si>
  <si>
    <t>Domestic Violence Background Checks</t>
  </si>
  <si>
    <t>Ch. 713/01</t>
  </si>
  <si>
    <t xml:space="preserve">Firearm Hearings for Discharged Inpatients </t>
  </si>
  <si>
    <t>Ch. 578/99</t>
  </si>
  <si>
    <t>Identity Theft</t>
  </si>
  <si>
    <t>Ch. 956/00</t>
  </si>
  <si>
    <t>Interagency Child Abuse and Neglect Investigation Reports</t>
  </si>
  <si>
    <t>Ch. 958/77</t>
  </si>
  <si>
    <t>Local Elections: Consolidation</t>
  </si>
  <si>
    <t>Ch. 1013/81</t>
  </si>
  <si>
    <t>Local Government Employee Relations</t>
  </si>
  <si>
    <t>Ch. 901/00</t>
  </si>
  <si>
    <t>Mentally Disordered Offenders: Treatment as a Condition of Parole</t>
  </si>
  <si>
    <t>Ch. 1419/85</t>
  </si>
  <si>
    <t>Modified Primary Election</t>
  </si>
  <si>
    <t>Ch. 898/00</t>
  </si>
  <si>
    <t>Peace Officers Procedural Bill of Rights II</t>
  </si>
  <si>
    <t>Permanent Absent Voters II</t>
  </si>
  <si>
    <t>Ch. 922/01</t>
  </si>
  <si>
    <t>Vote by Mail Ballots: Prepaid Postage</t>
  </si>
  <si>
    <t>Ch. 120/18</t>
  </si>
  <si>
    <t>Voter Identification Procedures</t>
  </si>
  <si>
    <t>Ch. 260/00</t>
  </si>
  <si>
    <t>2020-21</t>
  </si>
  <si>
    <t>Sexually Violent Predators For the Period of 7/1/2011 Through 6/30/2018</t>
  </si>
  <si>
    <t>Custody of Minors – Child Abduction and Recovery</t>
  </si>
  <si>
    <t>Health Benefits for Survivors of Peace Officers and Firefighters</t>
  </si>
  <si>
    <t>Ch. 1399/76</t>
  </si>
  <si>
    <t>Ch. 1120/96</t>
  </si>
  <si>
    <t>Title 2</t>
  </si>
  <si>
    <t>2021-22</t>
  </si>
  <si>
    <t>AIDS Instruction and AIDS Prevention Instruction</t>
  </si>
  <si>
    <t>Ch. 818/91</t>
  </si>
  <si>
    <t>California Assessment of Student Performance and Progress (CAASPP)</t>
  </si>
  <si>
    <t>Ch. 489/13</t>
  </si>
  <si>
    <t>Caregiver Affidavits to Establish Residence for School Attendance</t>
  </si>
  <si>
    <t>Ch. 98/94</t>
  </si>
  <si>
    <t>Collective Bargaining and Collective Bargaining Agreement Disclosure</t>
  </si>
  <si>
    <t>Ch. 961/75</t>
  </si>
  <si>
    <t>Comprehensive School Safety Plans I and II</t>
  </si>
  <si>
    <t>Ch. 736/97</t>
  </si>
  <si>
    <t>Consolidated Suspensions, Expulsions, and Expulsion Appeals</t>
  </si>
  <si>
    <t>Ch. 1253/75</t>
  </si>
  <si>
    <t>Consolidation of Annual Parent Notification/Schoolsite Discipline Rules/Alternative Schools</t>
  </si>
  <si>
    <t>Ch. 448/75</t>
  </si>
  <si>
    <t>Consolidation of Law Enforcement Agency Notifications (LEAN) and Missing Children Reports (MCR)</t>
  </si>
  <si>
    <t>Ch. 249/86</t>
  </si>
  <si>
    <t>Consolidation of Notification to Teachers: Pupils Subject to Suspension or Expulsion and Pupil Discipline Records, Notification to Teachers: Pupils Subject to Suspension or Expulsion II</t>
  </si>
  <si>
    <t>Ch. 1306/89</t>
  </si>
  <si>
    <t>County Office of Education Fiscal Accountability Reporting</t>
  </si>
  <si>
    <t>Ch. 917/87</t>
  </si>
  <si>
    <t>Criminal Background Checks I</t>
  </si>
  <si>
    <t>Ch. 588/97</t>
  </si>
  <si>
    <t>Financial and Compliance Audits</t>
  </si>
  <si>
    <t>Ch. 36/77</t>
  </si>
  <si>
    <t>Graduation Requirements (On or after 1/1/2005)</t>
  </si>
  <si>
    <t>Ch. 498/83</t>
  </si>
  <si>
    <t>Habitual Truants</t>
  </si>
  <si>
    <t>Ch. 1184/75</t>
  </si>
  <si>
    <t>Immunization Records</t>
  </si>
  <si>
    <t>Ch. 1176/77</t>
  </si>
  <si>
    <t>Immunization Records – Mumps, Rubella, and Hepatitis B</t>
  </si>
  <si>
    <t>Ch. 325/78</t>
  </si>
  <si>
    <t>Immunization Records – Pertussis</t>
  </si>
  <si>
    <t>Ch. 434/10</t>
  </si>
  <si>
    <t>Intradistrict Attendance</t>
  </si>
  <si>
    <t>Ch. 161/93</t>
  </si>
  <si>
    <t>Notification of Truancy</t>
  </si>
  <si>
    <t>Parental Involvement Programs</t>
  </si>
  <si>
    <t>Ch. 1400/90</t>
  </si>
  <si>
    <t>Public School Restrooms: Feminine Hygiene Products</t>
  </si>
  <si>
    <t>Ch. 687/17</t>
  </si>
  <si>
    <t>School Accountability Report Cards</t>
  </si>
  <si>
    <t>Ch. 1463/89</t>
  </si>
  <si>
    <t>School District Fiscal Accountability Reporting and Employee Benefits Disclosure</t>
  </si>
  <si>
    <t>Ch. 100/81</t>
  </si>
  <si>
    <t>The Stull Act</t>
  </si>
  <si>
    <t>Training for School Employee Mandated Reporters</t>
  </si>
  <si>
    <t>Ch. 797/14</t>
  </si>
  <si>
    <t>Williams Case Implementation I, II, and III</t>
  </si>
  <si>
    <t>Ch. 900/04</t>
  </si>
  <si>
    <t>Cal Grant: Opt-Out Notice and Grade Point Average Submission</t>
  </si>
  <si>
    <t>Ch. 679/14</t>
  </si>
  <si>
    <t>Criminal Background Checks II</t>
  </si>
  <si>
    <t>Ch. 594/98</t>
  </si>
  <si>
    <t>Juvenile Court Notices II</t>
  </si>
  <si>
    <t>Ch. 1423/84</t>
  </si>
  <si>
    <t>Physical Performance Tests</t>
  </si>
  <si>
    <t>Ch. 975/95</t>
  </si>
  <si>
    <t>Pupil Promotion and Retention</t>
  </si>
  <si>
    <t>Uniform Complaint Procedures (K-12)</t>
  </si>
  <si>
    <t>Ch. 1117/82</t>
  </si>
  <si>
    <t>Charter Schools I, II, and III</t>
  </si>
  <si>
    <t>Ch. 781/92</t>
  </si>
  <si>
    <t>Pupil Health Screenings (For Fiscal Year 2004-2005 and Subsequent Years)</t>
  </si>
  <si>
    <t>Ch. 1208/76</t>
  </si>
  <si>
    <t>Academic Performance Index</t>
  </si>
  <si>
    <t>Ch. 3/99</t>
  </si>
  <si>
    <t>Child Abuse and Neglect Reporting</t>
  </si>
  <si>
    <t>Ch. 640/87</t>
  </si>
  <si>
    <t>Expulsion of Pupils: Transcript Cost for Appeals</t>
  </si>
  <si>
    <t>High School Exit Examination</t>
  </si>
  <si>
    <t>Ch. 1/99</t>
  </si>
  <si>
    <t>Interdistrict Attendance Permits</t>
  </si>
  <si>
    <t>Ch. 172/86</t>
  </si>
  <si>
    <t>Pupil Safety Notices</t>
  </si>
  <si>
    <t>School District Reorganization</t>
  </si>
  <si>
    <t>Ch. 1192/80</t>
  </si>
  <si>
    <t>Student Records</t>
  </si>
  <si>
    <t>Ch. 593/89</t>
  </si>
  <si>
    <t>California Public Records Act (CPRA)</t>
  </si>
  <si>
    <t>California State Teachers' Retirement System (CalSTRS) Service Credit</t>
  </si>
  <si>
    <t>Ch. 603/94</t>
  </si>
  <si>
    <t>Charter Schools IV</t>
  </si>
  <si>
    <t>Ch. 1058/02</t>
  </si>
  <si>
    <t>Race to the Top</t>
  </si>
  <si>
    <t>Title 5</t>
  </si>
  <si>
    <t>Behavioral Intervention Plans (On or after 7/1/2012)</t>
  </si>
  <si>
    <t xml:space="preserve">Title 5 </t>
  </si>
  <si>
    <t>Immunization Records – Hepatitis B</t>
  </si>
  <si>
    <t>Mandate Reimbursement Process I and II</t>
  </si>
  <si>
    <t>Public Contracts (K-14)</t>
  </si>
  <si>
    <t>Ch. 1073/85</t>
  </si>
  <si>
    <t>Behavioral Intervention Plans (7/1/1993 to 6/30/2012)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</si>
  <si>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</si>
  <si>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</si>
  <si>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</si>
  <si>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</si>
  <si>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</si>
  <si>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Agency Fee Arrangements</t>
  </si>
  <si>
    <t>Ch. 893/00</t>
  </si>
  <si>
    <t>Developer Fees</t>
  </si>
  <si>
    <t>Ch. 955/77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</si>
  <si>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</si>
  <si>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</si>
  <si>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</si>
  <si>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</si>
  <si>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</si>
  <si>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</si>
  <si>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</si>
  <si>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</si>
  <si>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</si>
  <si>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</si>
  <si>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</si>
  <si>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</si>
  <si>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</si>
  <si>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</si>
  <si>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</si>
  <si>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</si>
  <si>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</si>
  <si>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</si>
  <si>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Differential Pay and Reemployment</t>
  </si>
  <si>
    <t>Ch. 30/98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</si>
  <si>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</si>
  <si>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</si>
  <si>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</si>
  <si>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</si>
  <si>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</si>
  <si>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</si>
  <si>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</si>
  <si>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</si>
  <si>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</si>
  <si>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</si>
  <si>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</si>
  <si>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Graduation Requirements (7/1/2004 to 12/31/2004)</t>
  </si>
  <si>
    <t>Pupil Exclusions</t>
  </si>
  <si>
    <t>Ch. 668/78</t>
  </si>
  <si>
    <t>Pupil Health Screenings (7/1/2003 and Prior)</t>
  </si>
  <si>
    <t>School District Fiscal Accountability Reporting</t>
  </si>
  <si>
    <t>Graduation Requirements (7/1/1995 to 6/30/2004)</t>
  </si>
  <si>
    <t>Standardized Testing and Reporting</t>
  </si>
  <si>
    <t>AIDS Prevention Instruction</t>
  </si>
  <si>
    <t>Charter Schools</t>
  </si>
  <si>
    <t>Emergency Procedures: Earthquakes and Disasters</t>
  </si>
  <si>
    <t>Open Meetings Act II</t>
  </si>
  <si>
    <t>School District of Choice: Transfers and Appeals</t>
  </si>
  <si>
    <t>Ch. 160/93</t>
  </si>
  <si>
    <t>Schoolsite Discipline Rules</t>
  </si>
  <si>
    <t>Ch. 87/86</t>
  </si>
  <si>
    <t>Pupil Expulsions II, Pupil Suspensions II, and Educational Services Plan (7/1/1999 to 6/30/2001)</t>
  </si>
  <si>
    <t>Ch. 332/99</t>
  </si>
  <si>
    <t>School Bus Safety I and II</t>
  </si>
  <si>
    <t>Ch. 624/92</t>
  </si>
  <si>
    <t>School Bus Safety</t>
  </si>
  <si>
    <t>Interdistrict Transfer Requests: Parent's Employment</t>
  </si>
  <si>
    <t>Credential Monitoring</t>
  </si>
  <si>
    <t>Ch. 1376/87</t>
  </si>
  <si>
    <t>School Testing – Physical Fitness</t>
  </si>
  <si>
    <t>Ch. 1675/84</t>
  </si>
  <si>
    <t>1993-94</t>
  </si>
  <si>
    <t>Civic Center Act</t>
  </si>
  <si>
    <t>Ch. 49/84</t>
  </si>
  <si>
    <t>1989-90</t>
  </si>
  <si>
    <t>1988-89</t>
  </si>
  <si>
    <t>1987-88</t>
  </si>
  <si>
    <t>1986-87</t>
  </si>
  <si>
    <t>1985-86</t>
  </si>
  <si>
    <t>Total School Districts</t>
  </si>
  <si>
    <t>Enrollment Fee Collection and Waivers</t>
  </si>
  <si>
    <t>Minimum Conditions for State Aid</t>
  </si>
  <si>
    <t>Ch. 973/88</t>
  </si>
  <si>
    <t>Open Meetings/Brown Act Reform</t>
  </si>
  <si>
    <t>Community College Construction</t>
  </si>
  <si>
    <t>Ch. 910/80</t>
  </si>
  <si>
    <t>Health Fee Elimination (On or after 7/1/1994)</t>
  </si>
  <si>
    <t>Ch. 1/84</t>
  </si>
  <si>
    <t>Tuition Fee Waivers</t>
  </si>
  <si>
    <t>Integrated Waste Management</t>
  </si>
  <si>
    <t>Ch. 1116/92</t>
  </si>
  <si>
    <t>Cal Grants</t>
  </si>
  <si>
    <t>Ch. 403/00</t>
  </si>
  <si>
    <t>Medi-Cal Eligibility of Juvenile Offenders</t>
  </si>
  <si>
    <t>Ch. 657/06</t>
  </si>
  <si>
    <t>Tuberculosis Control</t>
  </si>
  <si>
    <t>Ch. 676/93</t>
  </si>
  <si>
    <t>Racial and Identity Profiling</t>
  </si>
  <si>
    <t>Ch. 466/15</t>
  </si>
  <si>
    <t>2022-23</t>
  </si>
  <si>
    <t>California Regional Water Quality Control Board, San Diego Region Order No. R9-2010-0016</t>
  </si>
  <si>
    <t>2022-23 and Prior</t>
  </si>
  <si>
    <t>School District</t>
  </si>
  <si>
    <t>Fresno Unified School District</t>
  </si>
  <si>
    <t>Yes</t>
  </si>
  <si>
    <t>10/2/2023; 10/4/2023; 11/3/2023 (Late)</t>
  </si>
  <si>
    <t>22-1410-I-01</t>
  </si>
  <si>
    <t>Tentative Hearing Date</t>
  </si>
  <si>
    <t>Type</t>
  </si>
  <si>
    <t>Name</t>
  </si>
  <si>
    <t>Amount
of Claim</t>
  </si>
  <si>
    <t>Claimant</t>
  </si>
  <si>
    <t>Record Closed</t>
  </si>
  <si>
    <t>Date Comments Filed</t>
  </si>
  <si>
    <t>Filing
Date</t>
  </si>
  <si>
    <t>File
Number</t>
  </si>
  <si>
    <t>Revised
(R)</t>
  </si>
  <si>
    <t>0001-6100-2024-295-98</t>
  </si>
  <si>
    <t>Total
Payments</t>
  </si>
  <si>
    <t>Interest
Payments and Offsets</t>
  </si>
  <si>
    <t>Program
Payments and
Offsets</t>
  </si>
  <si>
    <t>Program
Number</t>
  </si>
  <si>
    <t>Ch. 1200/89</t>
  </si>
  <si>
    <t>Pesticide Use Reports</t>
  </si>
  <si>
    <t>2022-21</t>
  </si>
  <si>
    <t>2023-22</t>
  </si>
  <si>
    <t>0106-8885-2024-295-98</t>
  </si>
  <si>
    <t>0044-8885-2022-295-98</t>
  </si>
  <si>
    <t>0044-8885-2024-295-98</t>
  </si>
  <si>
    <t>0001-8885-2022-295-98 Total</t>
  </si>
  <si>
    <t>Municipal Storm Water and Urban Runoff Discharges</t>
  </si>
  <si>
    <t>2003-02</t>
  </si>
  <si>
    <t>0001-8885-2022-295-98</t>
  </si>
  <si>
    <t>0001-8885-2023-295-98 Total</t>
  </si>
  <si>
    <t>Ch. 588/19</t>
  </si>
  <si>
    <t>Sexual Assault Evidence Kits: Testing</t>
  </si>
  <si>
    <t>Ch. 781/16</t>
  </si>
  <si>
    <t>County of Los Angeles Citizens Redistricting Commission</t>
  </si>
  <si>
    <t>Ch. 697/92</t>
  </si>
  <si>
    <t>Allocation of Property Tax Revenues</t>
  </si>
  <si>
    <t>0001-8885-2023-295-98</t>
  </si>
  <si>
    <t>0001-8885-2024-295-98 Total</t>
  </si>
  <si>
    <t>Ch. 1249/92</t>
  </si>
  <si>
    <t>Threats Against Peace Officers</t>
  </si>
  <si>
    <t>Ch. 999/91</t>
  </si>
  <si>
    <t>Rape Victims Counseling Center Notice</t>
  </si>
  <si>
    <t>Ch. 335/20</t>
  </si>
  <si>
    <t>Juveniles: Custodial Interrogation</t>
  </si>
  <si>
    <t>Ch. 336/06</t>
  </si>
  <si>
    <t>State Authorized Risk Assessment Tool for Sex Offenders</t>
  </si>
  <si>
    <t>Ch. 183/92</t>
  </si>
  <si>
    <t>Domestic Violence Treatment Services – Authorization and Case Management</t>
  </si>
  <si>
    <t>0001-8885-2024-295-98</t>
  </si>
  <si>
    <t>Program Payments and Offsets</t>
  </si>
  <si>
    <t>0001-6870-2021-295-98</t>
  </si>
  <si>
    <t>Ch. 43/22</t>
  </si>
  <si>
    <t>0001-6870-2022-295-98</t>
  </si>
  <si>
    <t>Ch. 12/23</t>
  </si>
  <si>
    <t>0001-6870-2023-295-98</t>
  </si>
  <si>
    <t>Ch. 22/24</t>
  </si>
  <si>
    <t>0001-6870-2024-295-98</t>
  </si>
  <si>
    <t>0001-6100-2021-295-98</t>
  </si>
  <si>
    <t>0001-6100-2022-295-98</t>
  </si>
  <si>
    <t>0001-6100-2023-295-98</t>
  </si>
  <si>
    <t>0106-8885-2021-295-98</t>
  </si>
  <si>
    <t>0106-8885-2022-295-98</t>
  </si>
  <si>
    <t>0106-8885-2023-295-98</t>
  </si>
  <si>
    <t xml:space="preserve">2022-23 </t>
  </si>
  <si>
    <t>0044-8885-2021-295-98</t>
  </si>
  <si>
    <t>2020-21 and prior</t>
  </si>
  <si>
    <t>0044-8885-2023-295-98</t>
  </si>
  <si>
    <t>2022-23 and prior</t>
  </si>
  <si>
    <t>Ch. 6,7,40/20</t>
  </si>
  <si>
    <t>0001-8885-2020-295-98</t>
  </si>
  <si>
    <t>0001-8885-2021-29523-98</t>
  </si>
  <si>
    <t>0001-8885-2021-295-98</t>
  </si>
  <si>
    <t>0001-8885-2023-296-98</t>
  </si>
  <si>
    <t>2021-22 and prior</t>
  </si>
  <si>
    <t>Appropriation Balances
as of 8/31/2024</t>
  </si>
  <si>
    <t>Less: Appropriations for Reversion</t>
  </si>
  <si>
    <t>Less: Mandated Program Payments, Offsets,
and Interest
(see Schedule A1)</t>
  </si>
  <si>
    <t>Add: Receipts
and Recovered Amounts</t>
  </si>
  <si>
    <t>Budget
Adjustments</t>
  </si>
  <si>
    <t>Original
Appropriation
Amount</t>
  </si>
  <si>
    <t>Reversion Date</t>
  </si>
  <si>
    <t>Fiscal Year of
Claims Paid</t>
  </si>
  <si>
    <t>Appropriation
Number</t>
  </si>
  <si>
    <t>California Regional Water Quality Control Board, Santa Ana Region Order No. R8-2009-0030</t>
  </si>
  <si>
    <t>California Regional Water Quality Control Board, San Diego Region Order No. R9-2009-0002</t>
  </si>
  <si>
    <t>Fiscal
Year(s)</t>
  </si>
  <si>
    <t>2015-16, 2016-17</t>
  </si>
  <si>
    <t>Total Outstanding Incorrect Reduction Claims Filed with Commission on State Mandates</t>
  </si>
  <si>
    <r>
      <t>Accounts Payable
Balance</t>
    </r>
    <r>
      <rPr>
        <b/>
        <vertAlign val="superscript"/>
        <sz val="12"/>
        <color theme="1"/>
        <rFont val="Arial"/>
        <family val="2"/>
      </rPr>
      <t>3</t>
    </r>
  </si>
  <si>
    <r>
      <t>Established
Accounts
Receivable</t>
    </r>
    <r>
      <rPr>
        <b/>
        <vertAlign val="superscript"/>
        <sz val="12"/>
        <rFont val="Arial"/>
        <family val="2"/>
      </rPr>
      <t>4</t>
    </r>
  </si>
  <si>
    <r>
      <t>Accounts
Receivable
Balance</t>
    </r>
    <r>
      <rPr>
        <b/>
        <vertAlign val="superscript"/>
        <sz val="12"/>
        <rFont val="Arial"/>
        <family val="2"/>
      </rPr>
      <t>5</t>
    </r>
  </si>
  <si>
    <r>
      <t>Net
Balance</t>
    </r>
    <r>
      <rPr>
        <b/>
        <vertAlign val="superscript"/>
        <sz val="12"/>
        <rFont val="Arial"/>
        <family val="2"/>
      </rPr>
      <t>6</t>
    </r>
  </si>
  <si>
    <t>Program Category
 and Fund</t>
  </si>
  <si>
    <t>Local Agencies-General Fund</t>
  </si>
  <si>
    <t>Motor Vehicle Account-Non-General Fund</t>
  </si>
  <si>
    <t>Total Motor Vehicle Account-Non-General Fund</t>
  </si>
  <si>
    <t>Pesticide Regulation-Non-General Fund</t>
  </si>
  <si>
    <t>Total Pesticide Regulation-Non-General Fund</t>
  </si>
  <si>
    <t>School Districts-General Fund</t>
  </si>
  <si>
    <t>Total School Districts-General Fund</t>
  </si>
  <si>
    <t>Community College Districts-General Fund</t>
  </si>
  <si>
    <t>Total Community College Districts-General Fund</t>
  </si>
  <si>
    <r>
      <t xml:space="preserve">
</t>
    </r>
    <r>
      <rPr>
        <sz val="12"/>
        <color theme="1"/>
        <rFont val="Arial"/>
        <family val="2"/>
      </rPr>
      <t xml:space="preserve">
</t>
    </r>
    <r>
      <rPr>
        <vertAlign val="superscript"/>
        <sz val="10"/>
        <color theme="1"/>
        <rFont val="Verdana"/>
        <family val="2"/>
      </rPr>
      <t/>
    </r>
  </si>
  <si>
    <t>Grand Total</t>
  </si>
  <si>
    <t>N/A</t>
  </si>
  <si>
    <t>Please continue to next table.</t>
  </si>
  <si>
    <t>State Controller's Office
Schedule A: Summary of State-Mandated Program Appropriations, Receipts, and Payments 
As of August 31, 2024</t>
  </si>
  <si>
    <r>
      <t>Appropriation Balances</t>
    </r>
    <r>
      <rPr>
        <b/>
        <vertAlign val="superscript"/>
        <sz val="12"/>
        <rFont val="Arial"/>
        <family val="2"/>
      </rPr>
      <t>1</t>
    </r>
  </si>
  <si>
    <t>Program Category
and Type of Payment</t>
  </si>
  <si>
    <t>Appropriation 
Number</t>
  </si>
  <si>
    <t>Local Agencies-Annual Claim</t>
  </si>
  <si>
    <t>Local Agencies-Motor Vehicle</t>
  </si>
  <si>
    <t>Local Agencies-Pesticide</t>
  </si>
  <si>
    <t>0044-8885-2024-295-98 Total</t>
  </si>
  <si>
    <t>0044-8885-2022-295-98 Total</t>
  </si>
  <si>
    <t>0106-8885-2024-295-98 Total</t>
  </si>
  <si>
    <t>School District-Annual Claim</t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</si>
  <si>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All community college districts participate in the block grant program. Therefore, no payments are made to community college districts.</t>
    </r>
  </si>
  <si>
    <t>State Controller's Office
Schedule B1: Detail of Funded State-Mandated Programs by Fiscal Year
As of August 31, 2024</t>
  </si>
  <si>
    <t>Account Payable
 Balance</t>
  </si>
  <si>
    <t>Established
Account Receivable</t>
  </si>
  <si>
    <t>Account Receivable
Balance</t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</si>
  <si>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Local agencies do not receive funding offsets.</t>
    </r>
  </si>
  <si>
    <t>State Controller's Office
Schedule A1: Detail of State-Mandated Program Payments by Fiscal Year
As of August 31, 2024</t>
  </si>
  <si>
    <t>Schedule C: Outstanding Incorrect Reduction Claims
Filed with the Commission on State Mandates
As of August 31, 2024</t>
  </si>
  <si>
    <t>Number</t>
  </si>
  <si>
    <t>State Controller's Office
Schedule B2: Detail of Unfunded State-Mandated Programs
As of August 31, 2024</t>
  </si>
  <si>
    <t>State Controller's Office
Schedule B: Summary of Funded and Unfunded State-Mandated Programs
As of August 31, 2024</t>
  </si>
  <si>
    <t>Total Funded Local Agencies</t>
  </si>
  <si>
    <r>
      <t>Less: Net Payments and Offsets</t>
    </r>
    <r>
      <rPr>
        <b/>
        <vertAlign val="superscript"/>
        <sz val="12"/>
        <rFont val="Arial"/>
        <family val="2"/>
      </rPr>
      <t xml:space="preserve"> 2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</si>
  <si>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</t>
    </r>
  </si>
  <si>
    <t>Total Funded School Discticts</t>
  </si>
  <si>
    <t>Total Funded Community College Districts</t>
  </si>
  <si>
    <r>
      <t xml:space="preserve">Less: Net Payments and Offsets </t>
    </r>
    <r>
      <rPr>
        <b/>
        <vertAlign val="superscript"/>
        <sz val="12"/>
        <rFont val="Arial"/>
        <family val="2"/>
      </rPr>
      <t>2</t>
    </r>
  </si>
  <si>
    <r>
      <t>Less: Net Payments and Offsets</t>
    </r>
    <r>
      <rPr>
        <b/>
        <vertAlign val="superscript"/>
        <sz val="12"/>
        <rFont val="Arial"/>
        <family val="2"/>
      </rPr>
      <t xml:space="preserve"> 1</t>
    </r>
  </si>
  <si>
    <t>Fiscal Year</t>
  </si>
  <si>
    <r>
      <rPr>
        <vertAlign val="superscript"/>
        <sz val="12"/>
        <color theme="1"/>
        <rFont val="Arial"/>
        <family val="2"/>
      </rPr>
      <t>8</t>
    </r>
    <r>
      <rPr>
        <sz val="12"/>
        <color theme="1"/>
        <rFont val="Arial"/>
        <family val="2"/>
      </rPr>
      <t xml:space="preserve"> There are no unfunded school district and community college district state-mandated programs.</t>
    </r>
  </si>
  <si>
    <t>B1-Funded</t>
  </si>
  <si>
    <r>
      <t>Total Schedule B1: Funded Mandates</t>
    </r>
    <r>
      <rPr>
        <b/>
        <vertAlign val="superscript"/>
        <sz val="12"/>
        <rFont val="Arial"/>
        <family val="2"/>
      </rPr>
      <t>7</t>
    </r>
  </si>
  <si>
    <t>B2-Unfunded</t>
  </si>
  <si>
    <t>School Disctricts</t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</si>
  <si>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 </t>
    </r>
  </si>
  <si>
    <r>
      <rPr>
        <vertAlign val="superscript"/>
        <sz val="12"/>
        <color theme="1"/>
        <rFont val="Arial"/>
        <family val="2"/>
      </rPr>
      <t xml:space="preserve">3 </t>
    </r>
    <r>
      <rPr>
        <sz val="12"/>
        <color theme="1"/>
        <rFont val="Arial"/>
        <family val="2"/>
      </rPr>
      <t>Amount due to local agencies, school districts, and community college districts.</t>
    </r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</si>
  <si>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Total accounts receivable established due to desk review and field audit claim adjustments.</t>
    </r>
  </si>
  <si>
    <r>
      <rPr>
        <vertAlign val="superscript"/>
        <sz val="12"/>
        <color theme="1"/>
        <rFont val="Arial"/>
        <family val="2"/>
      </rPr>
      <t xml:space="preserve">8 </t>
    </r>
    <r>
      <rPr>
        <sz val="12"/>
        <color theme="1"/>
        <rFont val="Arial"/>
        <family val="2"/>
      </rPr>
      <t>There are no unfunded school district and community college district state-mandated programs.</t>
    </r>
  </si>
  <si>
    <r>
      <rPr>
        <vertAlign val="superscript"/>
        <sz val="12"/>
        <color theme="1"/>
        <rFont val="Arial"/>
        <family val="2"/>
      </rPr>
      <t>7</t>
    </r>
    <r>
      <rPr>
        <sz val="12"/>
        <color theme="1"/>
        <rFont val="Arial"/>
        <family val="2"/>
      </rPr>
      <t xml:space="preserve"> State-mandated programs appropriated for payments in the Budget Act (funded) and programs without appropriations (unfunded). </t>
    </r>
  </si>
  <si>
    <r>
      <rPr>
        <vertAlign val="superscript"/>
        <sz val="12"/>
        <color theme="1"/>
        <rFont val="Arial"/>
        <family val="2"/>
      </rPr>
      <t>6</t>
    </r>
    <r>
      <rPr>
        <sz val="12"/>
        <color theme="1"/>
        <rFont val="Arial"/>
        <family val="2"/>
      </rPr>
      <t xml:space="preserve"> Net amount of deficiencies and surpluses (A/P Balance less A/R Balance equals Net Balance).</t>
    </r>
  </si>
  <si>
    <r>
      <rPr>
        <vertAlign val="superscript"/>
        <sz val="12"/>
        <color theme="1"/>
        <rFont val="Arial"/>
        <family val="2"/>
      </rPr>
      <t>5</t>
    </r>
    <r>
      <rPr>
        <sz val="12"/>
        <color theme="1"/>
        <rFont val="Arial"/>
        <family val="2"/>
      </rPr>
      <t xml:space="preserve"> Amount due from local agencies, school districts (includes ineligible charter schools), and community college districts.</t>
    </r>
  </si>
  <si>
    <r>
      <t>Grand Total Local Agencies and School Districts</t>
    </r>
    <r>
      <rPr>
        <b/>
        <vertAlign val="superscript"/>
        <sz val="12"/>
        <rFont val="Arial"/>
        <family val="2"/>
      </rPr>
      <t>2</t>
    </r>
  </si>
  <si>
    <r>
      <t>Total Schedule B2: Unfunded Mandates</t>
    </r>
    <r>
      <rPr>
        <b/>
        <vertAlign val="superscript"/>
        <sz val="12"/>
        <rFont val="Arial"/>
        <family val="2"/>
      </rPr>
      <t>7, 8</t>
    </r>
  </si>
  <si>
    <r>
      <t>Total Unfunded Mandates</t>
    </r>
    <r>
      <rPr>
        <b/>
        <vertAlign val="superscript"/>
        <sz val="12"/>
        <rFont val="Arial"/>
        <family val="2"/>
      </rPr>
      <t>8</t>
    </r>
  </si>
  <si>
    <t xml:space="preserve"> State of California</t>
  </si>
  <si>
    <t>State-Mandated Program Cost Report</t>
  </si>
  <si>
    <t>of Payments and Appropriations</t>
  </si>
  <si>
    <t>(AB 3000)</t>
  </si>
  <si>
    <t>(Government Code section 17562(b)(1))</t>
  </si>
  <si>
    <t>Image on Office of the Controller, State of California Seal</t>
  </si>
  <si>
    <t>MALIA M. COHEN</t>
  </si>
  <si>
    <t>California State Controller’s Office</t>
  </si>
  <si>
    <t>As of August 31, 2024</t>
  </si>
  <si>
    <t>CONTENTS</t>
  </si>
  <si>
    <t>STATE-MANDATED PROGRAM COST REPORT</t>
  </si>
  <si>
    <t>OF PAYMENTS AND APPROPRIATIONS (AB 3000)</t>
  </si>
  <si>
    <t>FOR LOCAL AGENCIES, SCHOOL DISTRICTS, AND COMMUNITY COLLEGE DISTRICTS</t>
  </si>
  <si>
    <t>SCHEDULE A:</t>
  </si>
  <si>
    <t>SUMMARY OF STATE-MANDATED PROGRAM APPROPRIATIONS, RECEIPTS, AND PAYMENTS</t>
  </si>
  <si>
    <t>Page 1</t>
  </si>
  <si>
    <r>
      <t>SCHEDULE A1:</t>
    </r>
    <r>
      <rPr>
        <sz val="14"/>
        <color theme="1"/>
        <rFont val="Arial"/>
        <family val="2"/>
      </rPr>
      <t xml:space="preserve"> </t>
    </r>
  </si>
  <si>
    <t>DETAIL OF STATE-MANDATED PROGRAM PAYMENTS BY FISCAL YEAR</t>
  </si>
  <si>
    <t>SCHEDULE B:</t>
  </si>
  <si>
    <t>SUMMARY OF FUNDED AND UNFUNDED STATE-MANDATED PROGRAMS</t>
  </si>
  <si>
    <t>SCHEDULE B1:</t>
  </si>
  <si>
    <t>DETAIL OF FUNDED STATE-MANDATED PROGRAMS BY FISCAL YEAR</t>
  </si>
  <si>
    <t>Page 7</t>
  </si>
  <si>
    <t>SCHEDULE B2:</t>
  </si>
  <si>
    <t>DETAIL OF UNFUNDED STATE-MANDATED PROGRAMS</t>
  </si>
  <si>
    <t>Filed with Commission on State Mandates</t>
  </si>
  <si>
    <t>SCHEDULE C:</t>
  </si>
  <si>
    <t>OUTSTANDING INCORRECT REDUCTION CLAIMS</t>
  </si>
  <si>
    <t>Page 43</t>
  </si>
  <si>
    <t>For the Budget Acts of 2020-21, 2021-22, 2022-23, 2023-24, and 2024-25</t>
  </si>
  <si>
    <t>For 2022-23 and Prior Fiscal Years</t>
  </si>
  <si>
    <r>
      <t>Appropriation Balances</t>
    </r>
    <r>
      <rPr>
        <b/>
        <vertAlign val="superscript"/>
        <sz val="12"/>
        <color theme="1"/>
        <rFont val="Arial"/>
        <family val="2"/>
      </rPr>
      <t>1</t>
    </r>
  </si>
  <si>
    <r>
      <t>Net
Balance</t>
    </r>
    <r>
      <rPr>
        <b/>
        <vertAlign val="superscript"/>
        <sz val="12"/>
        <color theme="1"/>
        <rFont val="Arial"/>
        <family val="2"/>
      </rPr>
      <t>6</t>
    </r>
  </si>
  <si>
    <r>
      <t>Accounts
Receivable
Balance</t>
    </r>
    <r>
      <rPr>
        <b/>
        <vertAlign val="superscript"/>
        <sz val="12"/>
        <color theme="1"/>
        <rFont val="Arial"/>
        <family val="2"/>
      </rPr>
      <t>5</t>
    </r>
  </si>
  <si>
    <r>
      <t>Established
Accounts
Receivable</t>
    </r>
    <r>
      <rPr>
        <b/>
        <vertAlign val="superscript"/>
        <sz val="12"/>
        <color theme="1"/>
        <rFont val="Arial"/>
        <family val="2"/>
      </rPr>
      <t>4</t>
    </r>
  </si>
  <si>
    <t>Page 3</t>
  </si>
  <si>
    <t>As of 8/31/2023, except for the Budget Act of 2024 appropriations as of 7/1/2024.</t>
  </si>
  <si>
    <t>Comment1</t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</si>
  <si>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comments referenced in cell H2)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</si>
  <si>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As of 8/31/2023, except for the Budget Act of 2024 appropriations as of 7/1/2024.</t>
    </r>
  </si>
  <si>
    <t>All community college districts participate in the block grant program. Therefore, no payments are made to community college districts.</t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</si>
  <si>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comments referenced in cell B29)</t>
    </r>
    <r>
      <rPr>
        <sz val="12"/>
        <color theme="1"/>
        <rFont val="Arial"/>
        <family val="2"/>
      </rPr>
      <t xml:space="preserve">
</t>
    </r>
    <r>
      <rPr>
        <vertAlign val="superscript"/>
        <sz val="12"/>
        <color theme="1"/>
        <rFont val="Arial"/>
        <family val="2"/>
      </rPr>
      <t/>
    </r>
  </si>
  <si>
    <t>Local agencies do not receive funding offsets.</t>
  </si>
  <si>
    <t>N /A</t>
  </si>
  <si>
    <t>This amount includes offsets applied from prior years.</t>
  </si>
  <si>
    <r>
      <t>Footnote:</t>
    </r>
    <r>
      <rPr>
        <sz val="11"/>
        <color theme="0"/>
        <rFont val="Calibri"/>
        <family val="2"/>
        <scheme val="minor"/>
      </rPr>
      <t xml:space="preserve"> (For those using screen readers this footnote is identical to comments referenced in cell G2)</t>
    </r>
  </si>
  <si>
    <r>
      <t xml:space="preserve">Footnote: </t>
    </r>
    <r>
      <rPr>
        <sz val="11"/>
        <color theme="0"/>
        <rFont val="Calibri"/>
        <family val="2"/>
        <scheme val="minor"/>
      </rPr>
      <t>(For those using screen readers this footnote is identical to comments referenced in cell G2)</t>
    </r>
  </si>
  <si>
    <t>There are no unfunded school district and community college district state-mandated programs.</t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</si>
  <si>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comments referenced in cell B188)</t>
    </r>
  </si>
  <si>
    <t xml:space="preserve">State-mandated programs appropriated for payments in the Budget Act (funded) and programs without appropriations (unfunded). </t>
  </si>
  <si>
    <t>State-mandated programs appropriated for payments in the Budget Act (funded) and programs without appropriations (unfunded). There are no unfunded school district and community college district state-mandated programs.</t>
  </si>
  <si>
    <t>Comment2</t>
  </si>
  <si>
    <t xml:space="preserve">This amount includes offsets applied from prior years. </t>
  </si>
  <si>
    <t>Comment</t>
  </si>
  <si>
    <t>Net amount of deficiencies and surpluses (A/P Balance less A/R Balance equals Net Balance).</t>
  </si>
  <si>
    <t>Comment6</t>
  </si>
  <si>
    <t>Comment4</t>
  </si>
  <si>
    <t>Comment3</t>
  </si>
  <si>
    <t>Total accounts receivable established due to desk review and field audit claim adjustments.</t>
  </si>
  <si>
    <r>
      <t>Footnotes:</t>
    </r>
    <r>
      <rPr>
        <sz val="12"/>
        <color theme="0"/>
        <rFont val="Arial"/>
        <family val="2"/>
      </rPr>
      <t xml:space="preserve"> (For those using screen readers these footnotes are identical to comments referenced in cells F3, F8, H2, J2, M2, O2, B17, and B26.)</t>
    </r>
    <r>
      <rPr>
        <sz val="12"/>
        <rFont val="Arial"/>
        <family val="2"/>
      </rPr>
      <t xml:space="preserve">
</t>
    </r>
  </si>
  <si>
    <t>Total accounts receivable established due to desk review and field audit claim adjustments.2</t>
  </si>
  <si>
    <t>Comment5</t>
  </si>
  <si>
    <t>Amount due from local agencies, school districts (includes ineligible charter schools), and community college districts.</t>
  </si>
  <si>
    <t xml:space="preserve"> N/A </t>
  </si>
  <si>
    <t xml:space="preserve">  N/A  </t>
  </si>
  <si>
    <t>Total Local Agencies-General Fund</t>
  </si>
  <si>
    <t>Ch. 21,43,
69,84,240/21</t>
  </si>
  <si>
    <t>Page 6</t>
  </si>
  <si>
    <t>Page 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</si>
</sst>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/d/yy;@"/>
    <numFmt numFmtId="166" formatCode="&quot;$&quot;#,##0"/>
    <numFmt numFmtId="167" formatCode="_(* #,##0_);_(* \(#,##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vertAlign val="superscript"/>
      <sz val="10"/>
      <color theme="1"/>
      <name val="Verdana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vertAlign val="superscript"/>
      <sz val="12"/>
      <name val="Arial"/>
      <family val="2"/>
    </font>
    <font>
      <b/>
      <sz val="14"/>
      <color theme="1"/>
      <name val="Arial"/>
      <family val="2"/>
    </font>
    <font>
      <sz val="12"/>
      <color theme="0"/>
      <name val="Arial"/>
      <family val="2"/>
    </font>
    <font>
      <sz val="12"/>
      <color indexed="8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"/>
      <family val="2"/>
    </font>
    <font>
      <vertAlign val="superscript"/>
      <sz val="12"/>
      <color theme="0"/>
      <name val="Arial"/>
      <family val="2"/>
    </font>
    <font>
      <vertAlign val="superscript"/>
      <sz val="12"/>
      <name val="Arial"/>
      <family val="2"/>
    </font>
    <font>
      <sz val="24"/>
      <name val="Arial"/>
      <family val="2"/>
    </font>
    <font>
      <b/>
      <sz val="36"/>
      <name val="Arial"/>
      <family val="2"/>
    </font>
    <font>
      <b/>
      <sz val="32"/>
      <name val="Arial"/>
      <family val="2"/>
    </font>
    <font>
      <b/>
      <sz val="16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auto="1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thin">
        <color auto="1"/>
      </right>
      <top style="hair">
        <color theme="0" tint="-0.499984740745262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380">
    <xf numFmtId="0" fontId="0" fillId="0" borderId="0" xfId="0"/>
    <xf numFmtId="0" fontId="5" fillId="0" borderId="0" xfId="0" applyFont="1" applyBorder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/>
    </xf>
    <xf numFmtId="164" fontId="2" fillId="0" borderId="0" xfId="1" applyNumberFormat="1" applyFont="1" applyAlignment="1">
      <alignment horizontal="right"/>
    </xf>
    <xf numFmtId="164" fontId="2" fillId="0" borderId="0" xfId="1" applyNumberFormat="1" applyFont="1" applyAlignment="1"/>
    <xf numFmtId="0" fontId="5" fillId="0" borderId="0" xfId="0" applyFont="1" applyFill="1"/>
    <xf numFmtId="0" fontId="5" fillId="0" borderId="0" xfId="0" applyFont="1" applyBorder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1" applyNumberFormat="1" applyFont="1" applyAlignment="1">
      <alignment horizontal="right"/>
    </xf>
    <xf numFmtId="164" fontId="3" fillId="0" borderId="0" xfId="1" applyNumberFormat="1" applyFont="1" applyAlignment="1"/>
    <xf numFmtId="0" fontId="5" fillId="0" borderId="0" xfId="0" applyFont="1" applyBorder="1" applyAlignment="1">
      <alignment horizontal="left"/>
    </xf>
    <xf numFmtId="0" fontId="7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wrapText="1"/>
    </xf>
    <xf numFmtId="42" fontId="5" fillId="0" borderId="0" xfId="0" applyNumberFormat="1" applyFont="1" applyFill="1" applyBorder="1"/>
    <xf numFmtId="0" fontId="5" fillId="0" borderId="0" xfId="0" applyFont="1" applyFill="1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left" wrapText="1"/>
    </xf>
    <xf numFmtId="0" fontId="5" fillId="0" borderId="0" xfId="0" applyFont="1" applyBorder="1"/>
    <xf numFmtId="165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Border="1"/>
    <xf numFmtId="165" fontId="5" fillId="0" borderId="0" xfId="0" applyNumberFormat="1" applyFont="1" applyBorder="1" applyAlignment="1">
      <alignment horizontal="right" vertical="top"/>
    </xf>
    <xf numFmtId="1" fontId="5" fillId="0" borderId="0" xfId="0" applyNumberFormat="1" applyFont="1" applyBorder="1"/>
    <xf numFmtId="0" fontId="5" fillId="0" borderId="0" xfId="0" applyFont="1" applyFill="1" applyBorder="1"/>
    <xf numFmtId="0" fontId="8" fillId="0" borderId="0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left" wrapText="1"/>
    </xf>
    <xf numFmtId="49" fontId="5" fillId="0" borderId="2" xfId="0" applyNumberFormat="1" applyFont="1" applyFill="1" applyBorder="1" applyAlignment="1">
      <alignment horizontal="center" wrapText="1"/>
    </xf>
    <xf numFmtId="14" fontId="5" fillId="0" borderId="2" xfId="0" applyNumberFormat="1" applyFont="1" applyFill="1" applyBorder="1" applyAlignment="1">
      <alignment horizontal="center" wrapText="1"/>
    </xf>
    <xf numFmtId="0" fontId="2" fillId="0" borderId="0" xfId="0" applyFont="1" applyFill="1" applyAlignment="1"/>
    <xf numFmtId="0" fontId="3" fillId="0" borderId="0" xfId="0" applyFont="1" applyAlignment="1"/>
    <xf numFmtId="0" fontId="3" fillId="0" borderId="0" xfId="0" applyFont="1" applyFill="1" applyAlignment="1"/>
    <xf numFmtId="0" fontId="7" fillId="0" borderId="0" xfId="0" applyFont="1" applyAlignment="1"/>
    <xf numFmtId="0" fontId="7" fillId="0" borderId="0" xfId="0" applyFont="1"/>
    <xf numFmtId="0" fontId="7" fillId="0" borderId="0" xfId="0" applyFont="1" applyAlignment="1">
      <alignment horizontal="center"/>
    </xf>
    <xf numFmtId="42" fontId="7" fillId="0" borderId="0" xfId="1" applyNumberFormat="1" applyFont="1"/>
    <xf numFmtId="42" fontId="7" fillId="0" borderId="0" xfId="1" applyNumberFormat="1" applyFont="1" applyFill="1"/>
    <xf numFmtId="0" fontId="7" fillId="0" borderId="0" xfId="0" applyFont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42" fontId="7" fillId="0" borderId="0" xfId="0" applyNumberFormat="1" applyFont="1" applyFill="1"/>
    <xf numFmtId="164" fontId="7" fillId="0" borderId="0" xfId="1" applyNumberFormat="1" applyFont="1" applyFill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/>
    <xf numFmtId="0" fontId="3" fillId="0" borderId="0" xfId="0" applyFont="1"/>
    <xf numFmtId="0" fontId="3" fillId="0" borderId="0" xfId="0" applyFont="1" applyFill="1"/>
    <xf numFmtId="14" fontId="5" fillId="0" borderId="10" xfId="0" quotePrefix="1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0" fontId="5" fillId="0" borderId="12" xfId="0" applyFont="1" applyFill="1" applyBorder="1" applyAlignment="1">
      <alignment horizontal="left" vertical="center" wrapText="1"/>
    </xf>
    <xf numFmtId="14" fontId="5" fillId="0" borderId="13" xfId="0" quotePrefix="1" applyNumberFormat="1" applyFont="1" applyFill="1" applyBorder="1" applyAlignment="1">
      <alignment horizontal="center"/>
    </xf>
    <xf numFmtId="42" fontId="5" fillId="0" borderId="10" xfId="0" applyNumberFormat="1" applyFont="1" applyFill="1" applyBorder="1" applyAlignment="1">
      <alignment horizontal="left"/>
    </xf>
    <xf numFmtId="14" fontId="5" fillId="0" borderId="10" xfId="0" applyNumberFormat="1" applyFont="1" applyFill="1" applyBorder="1" applyAlignment="1">
      <alignment horizontal="center"/>
    </xf>
    <xf numFmtId="14" fontId="5" fillId="0" borderId="10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/>
    </xf>
    <xf numFmtId="42" fontId="5" fillId="0" borderId="10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left"/>
    </xf>
    <xf numFmtId="0" fontId="8" fillId="0" borderId="10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5" fillId="0" borderId="0" xfId="0" applyFont="1" applyFill="1" applyBorder="1" applyAlignment="1"/>
    <xf numFmtId="0" fontId="5" fillId="0" borderId="1" xfId="0" applyFont="1" applyBorder="1" applyAlignment="1">
      <alignment horizontal="center" wrapText="1"/>
    </xf>
    <xf numFmtId="44" fontId="2" fillId="0" borderId="0" xfId="1" applyNumberFormat="1" applyFont="1" applyFill="1" applyAlignment="1"/>
    <xf numFmtId="0" fontId="2" fillId="0" borderId="8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/>
    </xf>
    <xf numFmtId="0" fontId="5" fillId="0" borderId="6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2" fillId="0" borderId="6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horizontal="center" wrapText="1"/>
    </xf>
    <xf numFmtId="0" fontId="5" fillId="0" borderId="0" xfId="0" applyFont="1" applyFill="1" applyAlignment="1"/>
    <xf numFmtId="166" fontId="5" fillId="0" borderId="10" xfId="1" applyNumberFormat="1" applyFont="1" applyFill="1" applyBorder="1" applyAlignment="1">
      <alignment horizontal="right"/>
    </xf>
    <xf numFmtId="166" fontId="5" fillId="0" borderId="10" xfId="0" applyNumberFormat="1" applyFont="1" applyFill="1" applyBorder="1" applyAlignment="1">
      <alignment horizontal="right"/>
    </xf>
    <xf numFmtId="5" fontId="5" fillId="0" borderId="0" xfId="1" applyNumberFormat="1" applyFont="1" applyBorder="1"/>
    <xf numFmtId="5" fontId="5" fillId="0" borderId="0" xfId="1" applyNumberFormat="1" applyFont="1" applyFill="1"/>
    <xf numFmtId="5" fontId="2" fillId="0" borderId="1" xfId="0" applyNumberFormat="1" applyFont="1" applyFill="1" applyBorder="1"/>
    <xf numFmtId="5" fontId="5" fillId="0" borderId="0" xfId="1" applyNumberFormat="1" applyFont="1" applyFill="1" applyBorder="1"/>
    <xf numFmtId="5" fontId="9" fillId="0" borderId="0" xfId="0" applyNumberFormat="1" applyFont="1" applyFill="1" applyBorder="1" applyAlignment="1"/>
    <xf numFmtId="166" fontId="5" fillId="0" borderId="0" xfId="0" applyNumberFormat="1" applyFont="1" applyFill="1" applyBorder="1" applyAlignment="1">
      <alignment horizontal="right"/>
    </xf>
    <xf numFmtId="166" fontId="2" fillId="0" borderId="0" xfId="0" applyNumberFormat="1" applyFont="1" applyFill="1" applyBorder="1" applyAlignment="1">
      <alignment horizontal="right"/>
    </xf>
    <xf numFmtId="0" fontId="2" fillId="0" borderId="15" xfId="0" applyFont="1" applyFill="1" applyBorder="1" applyAlignment="1">
      <alignment horizontal="center" wrapText="1"/>
    </xf>
    <xf numFmtId="0" fontId="8" fillId="0" borderId="0" xfId="0" applyFont="1" applyFill="1" applyBorder="1"/>
    <xf numFmtId="0" fontId="5" fillId="0" borderId="1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/>
    </xf>
    <xf numFmtId="14" fontId="5" fillId="0" borderId="17" xfId="0" quotePrefix="1" applyNumberFormat="1" applyFont="1" applyFill="1" applyBorder="1" applyAlignment="1">
      <alignment horizontal="center"/>
    </xf>
    <xf numFmtId="166" fontId="5" fillId="0" borderId="17" xfId="1" applyNumberFormat="1" applyFont="1" applyFill="1" applyBorder="1" applyAlignment="1">
      <alignment horizontal="right"/>
    </xf>
    <xf numFmtId="166" fontId="5" fillId="0" borderId="17" xfId="0" applyNumberFormat="1" applyFont="1" applyFill="1" applyBorder="1" applyAlignment="1">
      <alignment horizontal="right"/>
    </xf>
    <xf numFmtId="166" fontId="2" fillId="0" borderId="9" xfId="0" applyNumberFormat="1" applyFont="1" applyFill="1" applyBorder="1" applyAlignment="1">
      <alignment horizontal="right"/>
    </xf>
    <xf numFmtId="42" fontId="5" fillId="0" borderId="17" xfId="0" applyNumberFormat="1" applyFont="1" applyFill="1" applyBorder="1" applyAlignment="1">
      <alignment horizontal="left"/>
    </xf>
    <xf numFmtId="14" fontId="5" fillId="0" borderId="17" xfId="0" applyNumberFormat="1" applyFont="1" applyFill="1" applyBorder="1" applyAlignment="1">
      <alignment horizontal="center"/>
    </xf>
    <xf numFmtId="0" fontId="5" fillId="0" borderId="16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164" fontId="16" fillId="0" borderId="10" xfId="1" applyNumberFormat="1" applyFont="1" applyFill="1" applyBorder="1" applyAlignment="1">
      <alignment horizontal="center"/>
    </xf>
    <xf numFmtId="164" fontId="16" fillId="0" borderId="17" xfId="1" applyNumberFormat="1" applyFont="1" applyFill="1" applyBorder="1" applyAlignment="1">
      <alignment horizontal="center"/>
    </xf>
    <xf numFmtId="166" fontId="5" fillId="0" borderId="10" xfId="0" applyNumberFormat="1" applyFont="1" applyFill="1" applyBorder="1" applyAlignment="1" applyProtection="1">
      <alignment horizontal="right"/>
      <protection locked="0"/>
    </xf>
    <xf numFmtId="166" fontId="5" fillId="0" borderId="0" xfId="0" applyNumberFormat="1" applyFont="1" applyFill="1" applyBorder="1" applyAlignment="1" applyProtection="1">
      <alignment horizontal="right"/>
      <protection locked="0"/>
    </xf>
    <xf numFmtId="0" fontId="2" fillId="0" borderId="8" xfId="0" applyFont="1" applyBorder="1"/>
    <xf numFmtId="0" fontId="11" fillId="0" borderId="0" xfId="0" applyFont="1" applyFill="1"/>
    <xf numFmtId="166" fontId="5" fillId="0" borderId="13" xfId="1" applyNumberFormat="1" applyFont="1" applyFill="1" applyBorder="1" applyAlignment="1">
      <alignment horizontal="right"/>
    </xf>
    <xf numFmtId="166" fontId="5" fillId="0" borderId="19" xfId="1" applyNumberFormat="1" applyFont="1" applyFill="1" applyBorder="1" applyAlignment="1">
      <alignment horizontal="right"/>
    </xf>
    <xf numFmtId="0" fontId="9" fillId="0" borderId="5" xfId="0" applyFont="1" applyFill="1" applyBorder="1" applyAlignment="1" applyProtection="1">
      <alignment horizontal="center" wrapText="1"/>
      <protection locked="0"/>
    </xf>
    <xf numFmtId="0" fontId="2" fillId="0" borderId="20" xfId="0" applyFont="1" applyFill="1" applyBorder="1" applyAlignment="1">
      <alignment horizontal="center" wrapText="1"/>
    </xf>
    <xf numFmtId="164" fontId="2" fillId="0" borderId="20" xfId="0" applyNumberFormat="1" applyFont="1" applyFill="1" applyBorder="1" applyAlignment="1" applyProtection="1">
      <alignment horizontal="center" wrapText="1"/>
      <protection locked="0"/>
    </xf>
    <xf numFmtId="0" fontId="9" fillId="0" borderId="20" xfId="3" applyFont="1" applyFill="1" applyBorder="1" applyAlignment="1" applyProtection="1">
      <alignment horizontal="center" wrapText="1"/>
      <protection locked="0"/>
    </xf>
    <xf numFmtId="0" fontId="2" fillId="0" borderId="20" xfId="0" applyFont="1" applyFill="1" applyBorder="1" applyAlignment="1" applyProtection="1">
      <alignment horizontal="center" wrapText="1"/>
      <protection locked="0"/>
    </xf>
    <xf numFmtId="164" fontId="2" fillId="0" borderId="20" xfId="0" applyNumberFormat="1" applyFont="1" applyFill="1" applyBorder="1" applyAlignment="1">
      <alignment horizontal="center" wrapText="1"/>
    </xf>
    <xf numFmtId="49" fontId="2" fillId="0" borderId="20" xfId="0" applyNumberFormat="1" applyFont="1" applyFill="1" applyBorder="1" applyAlignment="1">
      <alignment horizontal="center" wrapText="1"/>
    </xf>
    <xf numFmtId="164" fontId="2" fillId="0" borderId="4" xfId="0" applyNumberFormat="1" applyFont="1" applyFill="1" applyBorder="1" applyAlignment="1" applyProtection="1">
      <alignment horizontal="center" wrapText="1"/>
      <protection locked="0"/>
    </xf>
    <xf numFmtId="0" fontId="2" fillId="0" borderId="15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9" fillId="0" borderId="0" xfId="0" applyFont="1" applyFill="1" applyBorder="1" applyAlignment="1">
      <alignment horizontal="left"/>
    </xf>
    <xf numFmtId="5" fontId="9" fillId="0" borderId="9" xfId="0" applyNumberFormat="1" applyFont="1" applyFill="1" applyBorder="1" applyAlignment="1"/>
    <xf numFmtId="5" fontId="2" fillId="0" borderId="0" xfId="1" applyNumberFormat="1" applyFont="1" applyFill="1" applyBorder="1"/>
    <xf numFmtId="5" fontId="2" fillId="0" borderId="0" xfId="0" applyNumberFormat="1" applyFont="1" applyFill="1" applyBorder="1"/>
    <xf numFmtId="5" fontId="2" fillId="0" borderId="9" xfId="1" applyNumberFormat="1" applyFont="1" applyFill="1" applyBorder="1"/>
    <xf numFmtId="5" fontId="5" fillId="0" borderId="0" xfId="0" applyNumberFormat="1" applyFont="1" applyFill="1" applyBorder="1"/>
    <xf numFmtId="5" fontId="5" fillId="0" borderId="0" xfId="1" applyNumberFormat="1" applyFont="1" applyFill="1" applyBorder="1" applyAlignment="1">
      <alignment horizontal="center"/>
    </xf>
    <xf numFmtId="5" fontId="5" fillId="0" borderId="9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42" fontId="2" fillId="0" borderId="15" xfId="1" applyNumberFormat="1" applyFont="1" applyFill="1" applyBorder="1" applyAlignment="1">
      <alignment horizontal="center" wrapText="1"/>
    </xf>
    <xf numFmtId="5" fontId="5" fillId="0" borderId="0" xfId="1" applyNumberFormat="1" applyFont="1" applyFill="1" applyBorder="1" applyAlignment="1">
      <alignment horizontal="left"/>
    </xf>
    <xf numFmtId="5" fontId="5" fillId="0" borderId="0" xfId="0" applyNumberFormat="1" applyFont="1" applyFill="1" applyBorder="1" applyAlignment="1">
      <alignment horizontal="left"/>
    </xf>
    <xf numFmtId="5" fontId="5" fillId="0" borderId="9" xfId="1" applyNumberFormat="1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wrapText="1"/>
    </xf>
    <xf numFmtId="0" fontId="5" fillId="0" borderId="0" xfId="0" applyFont="1" applyFill="1" applyAlignment="1"/>
    <xf numFmtId="0" fontId="5" fillId="0" borderId="0" xfId="0" applyFont="1" applyFill="1" applyAlignment="1">
      <alignment horizontal="left" wrapText="1"/>
    </xf>
    <xf numFmtId="0" fontId="5" fillId="0" borderId="2" xfId="0" applyFont="1" applyFill="1" applyBorder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wrapText="1"/>
    </xf>
    <xf numFmtId="0" fontId="16" fillId="0" borderId="0" xfId="0" applyFont="1" applyBorder="1"/>
    <xf numFmtId="0" fontId="16" fillId="0" borderId="0" xfId="0" applyFont="1" applyBorder="1" applyAlignment="1">
      <alignment horizontal="center"/>
    </xf>
    <xf numFmtId="5" fontId="5" fillId="0" borderId="0" xfId="0" applyNumberFormat="1" applyFont="1" applyFill="1" applyBorder="1" applyAlignment="1"/>
    <xf numFmtId="5" fontId="5" fillId="0" borderId="0" xfId="1" applyNumberFormat="1" applyFont="1" applyFill="1" applyAlignment="1"/>
    <xf numFmtId="164" fontId="2" fillId="0" borderId="15" xfId="1" applyNumberFormat="1" applyFont="1" applyBorder="1" applyAlignment="1">
      <alignment horizontal="center" wrapText="1"/>
    </xf>
    <xf numFmtId="5" fontId="5" fillId="0" borderId="0" xfId="1" applyNumberFormat="1" applyFont="1" applyFill="1" applyBorder="1" applyAlignment="1"/>
    <xf numFmtId="0" fontId="5" fillId="0" borderId="0" xfId="0" applyFont="1"/>
    <xf numFmtId="164" fontId="2" fillId="0" borderId="0" xfId="0" applyNumberFormat="1" applyFont="1" applyFill="1" applyAlignment="1">
      <alignment horizontal="centerContinuous"/>
    </xf>
    <xf numFmtId="164" fontId="5" fillId="0" borderId="0" xfId="0" applyNumberFormat="1" applyFont="1" applyFill="1" applyAlignment="1">
      <alignment horizontal="centerContinuous"/>
    </xf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Fill="1"/>
    <xf numFmtId="0" fontId="15" fillId="0" borderId="8" xfId="0" applyFont="1" applyFill="1" applyBorder="1" applyAlignment="1">
      <alignment horizontal="centerContinuous" wrapText="1"/>
    </xf>
    <xf numFmtId="0" fontId="2" fillId="0" borderId="1" xfId="0" applyFont="1" applyFill="1" applyBorder="1" applyAlignment="1">
      <alignment horizontal="centerContinuous" wrapText="1"/>
    </xf>
    <xf numFmtId="0" fontId="2" fillId="0" borderId="1" xfId="0" applyFont="1" applyFill="1" applyBorder="1" applyAlignment="1">
      <alignment horizontal="centerContinuous"/>
    </xf>
    <xf numFmtId="164" fontId="2" fillId="0" borderId="1" xfId="0" applyNumberFormat="1" applyFont="1" applyFill="1" applyBorder="1" applyAlignment="1">
      <alignment horizontal="centerContinuous"/>
    </xf>
    <xf numFmtId="164" fontId="2" fillId="0" borderId="7" xfId="0" applyNumberFormat="1" applyFont="1" applyFill="1" applyBorder="1" applyAlignment="1">
      <alignment horizontal="centerContinuous"/>
    </xf>
    <xf numFmtId="0" fontId="15" fillId="0" borderId="8" xfId="0" applyFont="1" applyBorder="1" applyAlignment="1">
      <alignment horizontal="centerContinuous" wrapText="1"/>
    </xf>
    <xf numFmtId="0" fontId="5" fillId="0" borderId="1" xfId="0" applyFont="1" applyBorder="1" applyAlignment="1">
      <alignment horizontal="centerContinuous" wrapText="1"/>
    </xf>
    <xf numFmtId="0" fontId="5" fillId="0" borderId="1" xfId="0" applyFont="1" applyBorder="1" applyAlignment="1">
      <alignment horizontal="centerContinuous"/>
    </xf>
    <xf numFmtId="164" fontId="5" fillId="0" borderId="1" xfId="1" applyNumberFormat="1" applyFont="1" applyFill="1" applyBorder="1" applyAlignment="1">
      <alignment horizontal="centerContinuous"/>
    </xf>
    <xf numFmtId="164" fontId="5" fillId="0" borderId="7" xfId="1" applyNumberFormat="1" applyFont="1" applyBorder="1" applyAlignment="1">
      <alignment horizontal="centerContinuous"/>
    </xf>
    <xf numFmtId="0" fontId="5" fillId="0" borderId="7" xfId="0" applyFont="1" applyBorder="1" applyAlignment="1">
      <alignment horizontal="centerContinuous"/>
    </xf>
    <xf numFmtId="0" fontId="2" fillId="0" borderId="7" xfId="0" applyFont="1" applyFill="1" applyBorder="1" applyAlignment="1">
      <alignment horizontal="centerContinuous"/>
    </xf>
    <xf numFmtId="164" fontId="2" fillId="0" borderId="1" xfId="1" applyNumberFormat="1" applyFont="1" applyFill="1" applyBorder="1" applyAlignment="1">
      <alignment horizontal="centerContinuous"/>
    </xf>
    <xf numFmtId="164" fontId="11" fillId="0" borderId="1" xfId="1" applyNumberFormat="1" applyFont="1" applyFill="1" applyBorder="1" applyAlignment="1">
      <alignment horizontal="centerContinuous"/>
    </xf>
    <xf numFmtId="164" fontId="2" fillId="0" borderId="7" xfId="1" applyNumberFormat="1" applyFont="1" applyFill="1" applyBorder="1" applyAlignment="1">
      <alignment horizontal="centerContinuous"/>
    </xf>
    <xf numFmtId="164" fontId="2" fillId="0" borderId="1" xfId="1" applyNumberFormat="1" applyFont="1" applyFill="1" applyBorder="1" applyAlignment="1">
      <alignment horizontal="centerContinuous" wrapText="1"/>
    </xf>
    <xf numFmtId="164" fontId="11" fillId="0" borderId="1" xfId="1" applyNumberFormat="1" applyFont="1" applyFill="1" applyBorder="1" applyAlignment="1">
      <alignment horizontal="centerContinuous" wrapText="1"/>
    </xf>
    <xf numFmtId="164" fontId="2" fillId="0" borderId="7" xfId="1" applyNumberFormat="1" applyFont="1" applyFill="1" applyBorder="1" applyAlignment="1">
      <alignment horizontal="centerContinuous" wrapText="1"/>
    </xf>
    <xf numFmtId="0" fontId="15" fillId="0" borderId="1" xfId="0" applyFont="1" applyFill="1" applyBorder="1" applyAlignment="1">
      <alignment horizontal="centerContinuous" wrapText="1"/>
    </xf>
    <xf numFmtId="164" fontId="2" fillId="0" borderId="20" xfId="1" applyNumberFormat="1" applyFont="1" applyBorder="1" applyAlignment="1">
      <alignment horizontal="center" wrapText="1"/>
    </xf>
    <xf numFmtId="0" fontId="9" fillId="0" borderId="20" xfId="3" applyNumberFormat="1" applyFont="1" applyFill="1" applyBorder="1" applyAlignment="1">
      <alignment horizontal="center" wrapText="1"/>
    </xf>
    <xf numFmtId="164" fontId="2" fillId="0" borderId="4" xfId="1" applyNumberFormat="1" applyFont="1" applyBorder="1" applyAlignment="1">
      <alignment horizontal="center" wrapText="1"/>
    </xf>
    <xf numFmtId="0" fontId="18" fillId="0" borderId="1" xfId="0" applyFont="1" applyFill="1" applyBorder="1" applyAlignment="1"/>
    <xf numFmtId="5" fontId="2" fillId="0" borderId="1" xfId="0" applyNumberFormat="1" applyFont="1" applyFill="1" applyBorder="1" applyAlignment="1"/>
    <xf numFmtId="0" fontId="11" fillId="0" borderId="2" xfId="0" applyFont="1" applyFill="1" applyBorder="1" applyAlignment="1">
      <alignment horizontal="center"/>
    </xf>
    <xf numFmtId="0" fontId="5" fillId="0" borderId="0" xfId="0" applyFont="1" applyAlignment="1"/>
    <xf numFmtId="0" fontId="16" fillId="0" borderId="2" xfId="0" applyFont="1" applyFill="1" applyBorder="1" applyAlignment="1">
      <alignment horizontal="center" wrapText="1"/>
    </xf>
    <xf numFmtId="1" fontId="5" fillId="0" borderId="2" xfId="0" applyNumberFormat="1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14" fontId="2" fillId="0" borderId="20" xfId="0" applyNumberFormat="1" applyFont="1" applyFill="1" applyBorder="1" applyAlignment="1">
      <alignment horizontal="center" wrapText="1"/>
    </xf>
    <xf numFmtId="14" fontId="2" fillId="0" borderId="4" xfId="0" applyNumberFormat="1" applyFont="1" applyFill="1" applyBorder="1" applyAlignment="1">
      <alignment horizontal="center" wrapText="1"/>
    </xf>
    <xf numFmtId="0" fontId="2" fillId="0" borderId="20" xfId="0" applyFont="1" applyFill="1" applyBorder="1" applyAlignment="1">
      <alignment horizontal="center"/>
    </xf>
    <xf numFmtId="42" fontId="2" fillId="0" borderId="20" xfId="0" applyNumberFormat="1" applyFont="1" applyFill="1" applyBorder="1" applyAlignment="1">
      <alignment horizontal="center" wrapText="1"/>
    </xf>
    <xf numFmtId="0" fontId="9" fillId="0" borderId="20" xfId="3" applyFont="1" applyFill="1" applyBorder="1" applyAlignment="1">
      <alignment horizontal="center" wrapText="1"/>
    </xf>
    <xf numFmtId="0" fontId="9" fillId="0" borderId="4" xfId="3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/>
    </xf>
    <xf numFmtId="42" fontId="11" fillId="0" borderId="0" xfId="0" applyNumberFormat="1" applyFont="1" applyFill="1" applyBorder="1" applyAlignment="1">
      <alignment horizontal="center" wrapText="1"/>
    </xf>
    <xf numFmtId="0" fontId="11" fillId="0" borderId="0" xfId="3" applyFont="1" applyFill="1" applyBorder="1" applyAlignment="1">
      <alignment horizontal="center" wrapText="1"/>
    </xf>
    <xf numFmtId="0" fontId="11" fillId="0" borderId="0" xfId="0" applyFont="1" applyFill="1" applyBorder="1" applyAlignment="1"/>
    <xf numFmtId="0" fontId="16" fillId="0" borderId="6" xfId="0" applyFont="1" applyFill="1" applyBorder="1" applyAlignment="1">
      <alignment horizontal="left"/>
    </xf>
    <xf numFmtId="0" fontId="8" fillId="0" borderId="6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left"/>
    </xf>
    <xf numFmtId="5" fontId="5" fillId="0" borderId="0" xfId="0" applyNumberFormat="1" applyFont="1" applyFill="1" applyBorder="1" applyAlignment="1">
      <alignment horizontal="right"/>
    </xf>
    <xf numFmtId="0" fontId="11" fillId="0" borderId="20" xfId="0" applyNumberFormat="1" applyFont="1" applyFill="1" applyBorder="1" applyAlignment="1">
      <alignment wrapText="1"/>
    </xf>
    <xf numFmtId="0" fontId="11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wrapText="1"/>
    </xf>
    <xf numFmtId="0" fontId="2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right"/>
    </xf>
    <xf numFmtId="0" fontId="21" fillId="0" borderId="0" xfId="0" applyNumberFormat="1" applyFont="1" applyFill="1" applyBorder="1" applyAlignment="1">
      <alignment horizontal="center" vertical="top"/>
    </xf>
    <xf numFmtId="0" fontId="11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vertical="top"/>
    </xf>
    <xf numFmtId="0" fontId="5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left" wrapText="1"/>
    </xf>
    <xf numFmtId="0" fontId="5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 wrapText="1"/>
    </xf>
    <xf numFmtId="0" fontId="5" fillId="0" borderId="0" xfId="0" applyNumberFormat="1" applyFont="1" applyFill="1"/>
    <xf numFmtId="0" fontId="22" fillId="0" borderId="0" xfId="3" applyNumberFormat="1" applyFont="1" applyFill="1" applyBorder="1" applyAlignment="1">
      <alignment horizontal="center" vertical="top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 vertical="center"/>
    </xf>
    <xf numFmtId="0" fontId="16" fillId="0" borderId="0" xfId="0" applyFont="1" applyAlignment="1">
      <alignment horizontal="centerContinuous" vertical="center"/>
    </xf>
    <xf numFmtId="0" fontId="16" fillId="0" borderId="0" xfId="0" applyFont="1" applyAlignment="1">
      <alignment horizontal="centerContinuous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20" fillId="0" borderId="0" xfId="0" applyFont="1" applyAlignment="1">
      <alignment horizontal="centerContinuous" vertical="center"/>
    </xf>
    <xf numFmtId="0" fontId="15" fillId="0" borderId="0" xfId="0" applyFont="1" applyAlignment="1">
      <alignment horizontal="centerContinuous" vertical="center"/>
    </xf>
    <xf numFmtId="0" fontId="15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7" fillId="0" borderId="0" xfId="0" applyFont="1" applyAlignment="1">
      <alignment horizontal="centerContinuous"/>
    </xf>
    <xf numFmtId="0" fontId="2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Continuous"/>
    </xf>
    <xf numFmtId="0" fontId="15" fillId="0" borderId="0" xfId="0" applyFont="1"/>
    <xf numFmtId="0" fontId="20" fillId="0" borderId="0" xfId="0" applyFont="1"/>
    <xf numFmtId="42" fontId="5" fillId="0" borderId="10" xfId="1" applyNumberFormat="1" applyFont="1" applyFill="1" applyBorder="1" applyAlignment="1">
      <alignment horizontal="right"/>
    </xf>
    <xf numFmtId="42" fontId="5" fillId="0" borderId="17" xfId="1" applyNumberFormat="1" applyFont="1" applyFill="1" applyBorder="1" applyAlignment="1">
      <alignment horizontal="right"/>
    </xf>
    <xf numFmtId="42" fontId="5" fillId="0" borderId="10" xfId="0" applyNumberFormat="1" applyFont="1" applyFill="1" applyBorder="1" applyAlignment="1" applyProtection="1">
      <alignment horizontal="right"/>
      <protection locked="0"/>
    </xf>
    <xf numFmtId="42" fontId="5" fillId="0" borderId="0" xfId="0" applyNumberFormat="1" applyFont="1" applyFill="1" applyBorder="1" applyAlignment="1" applyProtection="1">
      <alignment horizontal="right"/>
      <protection locked="0"/>
    </xf>
    <xf numFmtId="42" fontId="5" fillId="0" borderId="13" xfId="1" applyNumberFormat="1" applyFont="1" applyFill="1" applyBorder="1" applyAlignment="1">
      <alignment horizontal="right"/>
    </xf>
    <xf numFmtId="42" fontId="5" fillId="0" borderId="19" xfId="1" applyNumberFormat="1" applyFont="1" applyFill="1" applyBorder="1" applyAlignment="1">
      <alignment horizontal="right"/>
    </xf>
    <xf numFmtId="42" fontId="5" fillId="0" borderId="10" xfId="0" applyNumberFormat="1" applyFont="1" applyFill="1" applyBorder="1" applyAlignment="1">
      <alignment horizontal="right"/>
    </xf>
    <xf numFmtId="42" fontId="5" fillId="0" borderId="11" xfId="1" applyNumberFormat="1" applyFont="1" applyFill="1" applyBorder="1" applyAlignment="1">
      <alignment horizontal="right"/>
    </xf>
    <xf numFmtId="42" fontId="5" fillId="0" borderId="18" xfId="1" applyNumberFormat="1" applyFont="1" applyFill="1" applyBorder="1" applyAlignment="1">
      <alignment horizontal="right"/>
    </xf>
    <xf numFmtId="42" fontId="5" fillId="0" borderId="22" xfId="1" applyNumberFormat="1" applyFont="1" applyFill="1" applyBorder="1" applyAlignment="1">
      <alignment horizontal="right"/>
    </xf>
    <xf numFmtId="42" fontId="5" fillId="0" borderId="22" xfId="0" applyNumberFormat="1" applyFont="1" applyFill="1" applyBorder="1" applyAlignment="1" applyProtection="1">
      <alignment horizontal="right"/>
      <protection locked="0"/>
    </xf>
    <xf numFmtId="42" fontId="5" fillId="0" borderId="0" xfId="1" applyNumberFormat="1" applyFont="1" applyBorder="1"/>
    <xf numFmtId="42" fontId="5" fillId="0" borderId="0" xfId="0" applyNumberFormat="1" applyFont="1" applyBorder="1"/>
    <xf numFmtId="42" fontId="2" fillId="0" borderId="7" xfId="0" applyNumberFormat="1" applyFont="1" applyFill="1" applyBorder="1"/>
    <xf numFmtId="42" fontId="5" fillId="0" borderId="0" xfId="1" applyNumberFormat="1" applyFont="1" applyFill="1" applyBorder="1"/>
    <xf numFmtId="42" fontId="5" fillId="0" borderId="9" xfId="1" applyNumberFormat="1" applyFont="1" applyBorder="1"/>
    <xf numFmtId="166" fontId="5" fillId="0" borderId="0" xfId="0" applyNumberFormat="1" applyFont="1" applyBorder="1"/>
    <xf numFmtId="0" fontId="11" fillId="0" borderId="4" xfId="0" applyNumberFormat="1" applyFont="1" applyFill="1" applyBorder="1" applyAlignment="1">
      <alignment wrapText="1"/>
    </xf>
    <xf numFmtId="0" fontId="2" fillId="0" borderId="21" xfId="0" applyFont="1" applyFill="1" applyBorder="1" applyAlignment="1">
      <alignment horizontal="center" wrapText="1"/>
    </xf>
    <xf numFmtId="42" fontId="5" fillId="0" borderId="0" xfId="0" applyNumberFormat="1" applyFont="1" applyFill="1" applyBorder="1" applyAlignment="1">
      <alignment horizontal="right"/>
    </xf>
    <xf numFmtId="42" fontId="2" fillId="0" borderId="1" xfId="0" applyNumberFormat="1" applyFont="1" applyFill="1" applyBorder="1" applyAlignment="1">
      <alignment horizontal="right"/>
    </xf>
    <xf numFmtId="42" fontId="5" fillId="0" borderId="3" xfId="0" applyNumberFormat="1" applyFont="1" applyFill="1" applyBorder="1" applyAlignment="1">
      <alignment horizontal="right"/>
    </xf>
    <xf numFmtId="42" fontId="5" fillId="0" borderId="0" xfId="1" applyNumberFormat="1" applyFont="1" applyFill="1" applyAlignment="1"/>
    <xf numFmtId="42" fontId="5" fillId="0" borderId="0" xfId="0" applyNumberFormat="1" applyFont="1" applyFill="1" applyBorder="1" applyAlignment="1"/>
    <xf numFmtId="42" fontId="2" fillId="0" borderId="1" xfId="0" applyNumberFormat="1" applyFont="1" applyFill="1" applyBorder="1" applyAlignment="1"/>
    <xf numFmtId="42" fontId="5" fillId="0" borderId="0" xfId="1" applyNumberFormat="1" applyFont="1" applyFill="1" applyBorder="1" applyAlignment="1"/>
    <xf numFmtId="42" fontId="5" fillId="0" borderId="2" xfId="0" applyNumberFormat="1" applyFont="1" applyFill="1" applyBorder="1" applyAlignment="1">
      <alignment horizontal="center" wrapText="1"/>
    </xf>
    <xf numFmtId="0" fontId="11" fillId="0" borderId="20" xfId="3" applyFont="1" applyFill="1" applyBorder="1" applyAlignment="1" applyProtection="1">
      <alignment horizontal="center" wrapText="1"/>
      <protection locked="0"/>
    </xf>
    <xf numFmtId="164" fontId="11" fillId="0" borderId="1" xfId="0" applyNumberFormat="1" applyFont="1" applyFill="1" applyBorder="1" applyAlignment="1">
      <alignment horizontal="centerContinuous"/>
    </xf>
    <xf numFmtId="42" fontId="16" fillId="0" borderId="10" xfId="1" applyNumberFormat="1" applyFont="1" applyFill="1" applyBorder="1" applyAlignment="1">
      <alignment horizontal="right"/>
    </xf>
    <xf numFmtId="42" fontId="16" fillId="0" borderId="10" xfId="0" applyNumberFormat="1" applyFont="1" applyFill="1" applyBorder="1" applyAlignment="1">
      <alignment horizontal="right"/>
    </xf>
    <xf numFmtId="42" fontId="16" fillId="0" borderId="17" xfId="1" applyNumberFormat="1" applyFont="1" applyFill="1" applyBorder="1" applyAlignment="1">
      <alignment horizontal="right"/>
    </xf>
    <xf numFmtId="166" fontId="11" fillId="0" borderId="0" xfId="0" applyNumberFormat="1" applyFont="1" applyFill="1" applyBorder="1" applyAlignment="1">
      <alignment horizontal="right"/>
    </xf>
    <xf numFmtId="0" fontId="11" fillId="0" borderId="20" xfId="0" applyFont="1" applyBorder="1" applyAlignment="1">
      <alignment horizontal="center" wrapText="1"/>
    </xf>
    <xf numFmtId="42" fontId="16" fillId="0" borderId="22" xfId="1" applyNumberFormat="1" applyFont="1" applyFill="1" applyBorder="1" applyAlignment="1">
      <alignment horizontal="right"/>
    </xf>
    <xf numFmtId="166" fontId="16" fillId="0" borderId="10" xfId="1" applyNumberFormat="1" applyFont="1" applyFill="1" applyBorder="1" applyAlignment="1">
      <alignment horizontal="right"/>
    </xf>
    <xf numFmtId="166" fontId="16" fillId="0" borderId="17" xfId="1" applyNumberFormat="1" applyFont="1" applyFill="1" applyBorder="1" applyAlignment="1">
      <alignment horizontal="right"/>
    </xf>
    <xf numFmtId="0" fontId="11" fillId="0" borderId="0" xfId="0" applyFont="1" applyBorder="1" applyAlignment="1">
      <alignment horizontal="center" vertical="center" wrapText="1"/>
    </xf>
    <xf numFmtId="0" fontId="28" fillId="0" borderId="0" xfId="0" applyFont="1"/>
    <xf numFmtId="42" fontId="16" fillId="0" borderId="22" xfId="0" applyNumberFormat="1" applyFont="1" applyFill="1" applyBorder="1" applyAlignment="1" applyProtection="1">
      <alignment horizontal="right"/>
      <protection locked="0"/>
    </xf>
    <xf numFmtId="42" fontId="16" fillId="0" borderId="0" xfId="0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Alignment="1">
      <alignment horizontal="left" vertical="top" wrapText="1"/>
    </xf>
    <xf numFmtId="164" fontId="28" fillId="0" borderId="0" xfId="0" applyNumberFormat="1" applyFont="1" applyAlignment="1"/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left" vertical="top"/>
    </xf>
    <xf numFmtId="42" fontId="5" fillId="0" borderId="0" xfId="0" applyNumberFormat="1" applyFont="1" applyFill="1" applyBorder="1" applyAlignment="1">
      <alignment horizontal="left" vertical="top"/>
    </xf>
    <xf numFmtId="0" fontId="5" fillId="0" borderId="0" xfId="0" applyNumberFormat="1" applyFont="1" applyFill="1" applyBorder="1" applyAlignment="1">
      <alignment horizontal="left" vertical="top"/>
    </xf>
    <xf numFmtId="0" fontId="11" fillId="0" borderId="20" xfId="3" applyNumberFormat="1" applyFont="1" applyFill="1" applyBorder="1" applyAlignment="1">
      <alignment horizontal="center" wrapText="1"/>
    </xf>
    <xf numFmtId="42" fontId="16" fillId="0" borderId="0" xfId="0" applyNumberFormat="1" applyFont="1" applyFill="1" applyBorder="1" applyAlignment="1"/>
    <xf numFmtId="42" fontId="16" fillId="0" borderId="0" xfId="1" applyNumberFormat="1" applyFont="1" applyFill="1" applyAlignment="1"/>
    <xf numFmtId="164" fontId="11" fillId="0" borderId="0" xfId="1" applyNumberFormat="1" applyFont="1" applyAlignment="1"/>
    <xf numFmtId="42" fontId="5" fillId="0" borderId="0" xfId="0" applyNumberFormat="1" applyFont="1" applyFill="1" applyBorder="1" applyAlignment="1">
      <alignment vertical="top"/>
    </xf>
    <xf numFmtId="42" fontId="16" fillId="0" borderId="0" xfId="1" applyNumberFormat="1" applyFont="1" applyFill="1" applyBorder="1" applyAlignment="1"/>
    <xf numFmtId="44" fontId="11" fillId="0" borderId="0" xfId="1" applyNumberFormat="1" applyFont="1" applyFill="1" applyAlignment="1"/>
    <xf numFmtId="0" fontId="5" fillId="0" borderId="2" xfId="0" applyFont="1" applyFill="1" applyBorder="1" applyAlignment="1">
      <alignment horizontal="center"/>
    </xf>
    <xf numFmtId="42" fontId="16" fillId="0" borderId="2" xfId="1" applyNumberFormat="1" applyFont="1" applyFill="1" applyBorder="1" applyAlignment="1"/>
    <xf numFmtId="5" fontId="5" fillId="0" borderId="2" xfId="1" applyNumberFormat="1" applyFont="1" applyFill="1" applyBorder="1" applyAlignment="1"/>
    <xf numFmtId="42" fontId="5" fillId="0" borderId="0" xfId="0" applyNumberFormat="1" applyFont="1" applyFill="1" applyBorder="1" applyAlignment="1">
      <alignment horizontal="left" wrapText="1"/>
    </xf>
    <xf numFmtId="0" fontId="6" fillId="0" borderId="0" xfId="0" applyFont="1" applyAlignment="1">
      <alignment horizontal="center"/>
    </xf>
    <xf numFmtId="0" fontId="2" fillId="0" borderId="8" xfId="0" applyFont="1" applyBorder="1" applyAlignment="1">
      <alignment horizontal="center" wrapText="1"/>
    </xf>
    <xf numFmtId="0" fontId="11" fillId="0" borderId="15" xfId="3" applyFont="1" applyFill="1" applyBorder="1" applyAlignment="1">
      <alignment horizontal="center" wrapText="1"/>
    </xf>
    <xf numFmtId="0" fontId="28" fillId="0" borderId="0" xfId="0" applyFont="1" applyFill="1"/>
    <xf numFmtId="0" fontId="28" fillId="0" borderId="9" xfId="0" applyFont="1" applyFill="1" applyBorder="1" applyAlignment="1">
      <alignment wrapText="1"/>
    </xf>
    <xf numFmtId="0" fontId="28" fillId="0" borderId="0" xfId="0" applyFont="1" applyFill="1" applyAlignment="1">
      <alignment wrapText="1"/>
    </xf>
    <xf numFmtId="42" fontId="16" fillId="0" borderId="9" xfId="0" applyNumberFormat="1" applyFont="1" applyFill="1" applyBorder="1" applyAlignment="1">
      <alignment horizontal="right" wrapText="1"/>
    </xf>
    <xf numFmtId="5" fontId="28" fillId="0" borderId="23" xfId="0" applyNumberFormat="1" applyFont="1" applyFill="1" applyBorder="1" applyAlignment="1">
      <alignment wrapText="1"/>
    </xf>
    <xf numFmtId="42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Border="1"/>
    <xf numFmtId="0" fontId="11" fillId="0" borderId="15" xfId="0" applyFont="1" applyBorder="1" applyAlignment="1">
      <alignment horizontal="center" wrapText="1"/>
    </xf>
    <xf numFmtId="166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16" fillId="0" borderId="0" xfId="0" applyFont="1" applyFill="1"/>
    <xf numFmtId="0" fontId="16" fillId="0" borderId="20" xfId="0" applyFont="1" applyFill="1" applyBorder="1" applyAlignment="1">
      <alignment horizontal="center" wrapText="1"/>
    </xf>
    <xf numFmtId="0" fontId="16" fillId="0" borderId="20" xfId="3" applyFont="1" applyFill="1" applyBorder="1" applyAlignment="1">
      <alignment horizontal="center" wrapText="1"/>
    </xf>
    <xf numFmtId="0" fontId="11" fillId="0" borderId="21" xfId="0" applyFont="1" applyBorder="1" applyAlignment="1">
      <alignment horizontal="center" wrapText="1"/>
    </xf>
    <xf numFmtId="5" fontId="16" fillId="0" borderId="0" xfId="0" applyNumberFormat="1" applyFont="1" applyFill="1" applyBorder="1" applyAlignment="1">
      <alignment horizontal="right"/>
    </xf>
    <xf numFmtId="0" fontId="16" fillId="0" borderId="4" xfId="3" applyFont="1" applyFill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5" fillId="0" borderId="2" xfId="0" applyFont="1" applyBorder="1" applyAlignment="1">
      <alignment wrapText="1"/>
    </xf>
    <xf numFmtId="167" fontId="2" fillId="0" borderId="0" xfId="2" applyNumberFormat="1" applyFont="1" applyFill="1" applyAlignment="1">
      <alignment horizontal="centerContinuous"/>
    </xf>
    <xf numFmtId="167" fontId="5" fillId="0" borderId="0" xfId="2" applyNumberFormat="1" applyFont="1" applyFill="1"/>
    <xf numFmtId="0" fontId="11" fillId="0" borderId="20" xfId="3" applyFont="1" applyFill="1" applyBorder="1" applyAlignment="1">
      <alignment horizontal="center" wrapText="1"/>
    </xf>
    <xf numFmtId="0" fontId="16" fillId="0" borderId="24" xfId="0" applyNumberFormat="1" applyFont="1" applyFill="1" applyBorder="1" applyAlignment="1">
      <alignment horizontal="center"/>
    </xf>
    <xf numFmtId="42" fontId="5" fillId="0" borderId="25" xfId="0" applyNumberFormat="1" applyFont="1" applyFill="1" applyBorder="1" applyAlignment="1">
      <alignment horizontal="right"/>
    </xf>
    <xf numFmtId="42" fontId="2" fillId="0" borderId="1" xfId="0" applyNumberFormat="1" applyFont="1" applyFill="1" applyBorder="1" applyAlignment="1" applyProtection="1">
      <alignment horizontal="right"/>
      <protection locked="0"/>
    </xf>
    <xf numFmtId="0" fontId="11" fillId="0" borderId="1" xfId="0" applyFont="1" applyFill="1" applyBorder="1" applyAlignment="1" applyProtection="1">
      <alignment horizontal="right"/>
      <protection locked="0"/>
    </xf>
    <xf numFmtId="166" fontId="2" fillId="0" borderId="1" xfId="0" applyNumberFormat="1" applyFont="1" applyFill="1" applyBorder="1" applyAlignment="1" applyProtection="1">
      <alignment horizontal="right"/>
      <protection locked="0"/>
    </xf>
    <xf numFmtId="42" fontId="2" fillId="0" borderId="25" xfId="0" applyNumberFormat="1" applyFont="1" applyFill="1" applyBorder="1" applyAlignment="1">
      <alignment horizontal="right"/>
    </xf>
    <xf numFmtId="0" fontId="9" fillId="0" borderId="8" xfId="0" applyFont="1" applyFill="1" applyBorder="1"/>
    <xf numFmtId="164" fontId="11" fillId="0" borderId="24" xfId="0" applyNumberFormat="1" applyFont="1" applyFill="1" applyBorder="1" applyAlignment="1">
      <alignment horizontal="center"/>
    </xf>
    <xf numFmtId="42" fontId="2" fillId="0" borderId="24" xfId="0" applyNumberFormat="1" applyFont="1" applyFill="1" applyBorder="1" applyAlignment="1">
      <alignment horizontal="right"/>
    </xf>
    <xf numFmtId="166" fontId="2" fillId="0" borderId="24" xfId="0" applyNumberFormat="1" applyFont="1" applyFill="1" applyBorder="1" applyAlignment="1">
      <alignment horizontal="right"/>
    </xf>
    <xf numFmtId="0" fontId="11" fillId="0" borderId="1" xfId="0" applyFont="1" applyFill="1" applyBorder="1"/>
    <xf numFmtId="0" fontId="2" fillId="0" borderId="1" xfId="0" applyFont="1" applyFill="1" applyBorder="1" applyAlignment="1">
      <alignment horizontal="left"/>
    </xf>
    <xf numFmtId="166" fontId="2" fillId="0" borderId="1" xfId="0" applyNumberFormat="1" applyFont="1" applyFill="1" applyBorder="1" applyAlignment="1">
      <alignment horizontal="right"/>
    </xf>
    <xf numFmtId="166" fontId="11" fillId="0" borderId="1" xfId="0" applyNumberFormat="1" applyFont="1" applyFill="1" applyBorder="1" applyAlignment="1">
      <alignment horizontal="right"/>
    </xf>
    <xf numFmtId="0" fontId="3" fillId="0" borderId="1" xfId="0" applyFont="1" applyFill="1" applyBorder="1"/>
    <xf numFmtId="0" fontId="2" fillId="0" borderId="8" xfId="0" applyFont="1" applyFill="1" applyBorder="1"/>
    <xf numFmtId="0" fontId="5" fillId="0" borderId="17" xfId="0" applyFont="1" applyFill="1" applyBorder="1" applyAlignment="1">
      <alignment horizontal="left" wrapText="1"/>
    </xf>
    <xf numFmtId="0" fontId="5" fillId="0" borderId="10" xfId="0" applyFont="1" applyFill="1" applyBorder="1" applyAlignment="1">
      <alignment horizontal="left" wrapText="1"/>
    </xf>
    <xf numFmtId="42" fontId="5" fillId="0" borderId="17" xfId="0" applyNumberFormat="1" applyFont="1" applyFill="1" applyBorder="1" applyAlignment="1">
      <alignment horizontal="left" wrapText="1"/>
    </xf>
    <xf numFmtId="0" fontId="5" fillId="0" borderId="16" xfId="0" applyFont="1" applyFill="1" applyBorder="1" applyAlignment="1">
      <alignment horizontal="left" wrapText="1"/>
    </xf>
    <xf numFmtId="164" fontId="16" fillId="0" borderId="24" xfId="0" applyNumberFormat="1" applyFont="1" applyFill="1" applyBorder="1" applyAlignment="1">
      <alignment horizontal="center"/>
    </xf>
    <xf numFmtId="42" fontId="5" fillId="0" borderId="24" xfId="0" applyNumberFormat="1" applyFont="1" applyFill="1" applyBorder="1" applyAlignment="1">
      <alignment horizontal="right"/>
    </xf>
    <xf numFmtId="166" fontId="5" fillId="0" borderId="24" xfId="0" applyNumberFormat="1" applyFont="1" applyFill="1" applyBorder="1" applyAlignment="1">
      <alignment horizontal="right"/>
    </xf>
    <xf numFmtId="1" fontId="2" fillId="0" borderId="8" xfId="0" applyNumberFormat="1" applyFont="1" applyBorder="1" applyAlignment="1">
      <alignment wrapText="1"/>
    </xf>
    <xf numFmtId="1" fontId="11" fillId="0" borderId="1" xfId="0" applyNumberFormat="1" applyFont="1" applyBorder="1" applyAlignment="1"/>
    <xf numFmtId="42" fontId="2" fillId="0" borderId="1" xfId="0" applyNumberFormat="1" applyFont="1" applyBorder="1" applyAlignment="1">
      <alignment wrapText="1"/>
    </xf>
    <xf numFmtId="1" fontId="11" fillId="0" borderId="7" xfId="0" applyNumberFormat="1" applyFont="1" applyBorder="1" applyAlignment="1"/>
    <xf numFmtId="0" fontId="9" fillId="0" borderId="8" xfId="0" applyFont="1" applyFill="1" applyBorder="1" applyAlignment="1"/>
    <xf numFmtId="0" fontId="11" fillId="0" borderId="1" xfId="0" applyFont="1" applyFill="1" applyBorder="1" applyAlignment="1"/>
    <xf numFmtId="42" fontId="2" fillId="0" borderId="7" xfId="0" applyNumberFormat="1" applyFont="1" applyFill="1" applyBorder="1" applyAlignment="1"/>
    <xf numFmtId="0" fontId="9" fillId="0" borderId="8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center"/>
    </xf>
    <xf numFmtId="42" fontId="2" fillId="0" borderId="1" xfId="0" applyNumberFormat="1" applyFont="1" applyBorder="1"/>
    <xf numFmtId="42" fontId="2" fillId="0" borderId="7" xfId="0" applyNumberFormat="1" applyFont="1" applyBorder="1"/>
    <xf numFmtId="42" fontId="2" fillId="0" borderId="1" xfId="0" applyNumberFormat="1" applyFont="1" applyFill="1" applyBorder="1"/>
    <xf numFmtId="5" fontId="2" fillId="0" borderId="1" xfId="0" applyNumberFormat="1" applyFont="1" applyBorder="1"/>
    <xf numFmtId="0" fontId="2" fillId="0" borderId="1" xfId="0" applyFont="1" applyBorder="1" applyAlignment="1">
      <alignment horizontal="left"/>
    </xf>
    <xf numFmtId="0" fontId="9" fillId="0" borderId="8" xfId="0" applyFont="1" applyBorder="1"/>
    <xf numFmtId="0" fontId="11" fillId="0" borderId="1" xfId="0" applyFont="1" applyBorder="1" applyAlignment="1">
      <alignment horizontal="center"/>
    </xf>
    <xf numFmtId="166" fontId="2" fillId="0" borderId="1" xfId="0" applyNumberFormat="1" applyFont="1" applyBorder="1"/>
    <xf numFmtId="0" fontId="11" fillId="0" borderId="7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0" fontId="11" fillId="0" borderId="7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0" fontId="11" fillId="0" borderId="7" xfId="0" applyFont="1" applyFill="1" applyBorder="1" applyAlignment="1"/>
    <xf numFmtId="1" fontId="15" fillId="0" borderId="8" xfId="0" applyNumberFormat="1" applyFont="1" applyFill="1" applyBorder="1" applyAlignment="1">
      <alignment horizontal="centerContinuous" wrapText="1"/>
    </xf>
    <xf numFmtId="165" fontId="2" fillId="0" borderId="1" xfId="0" applyNumberFormat="1" applyFont="1" applyFill="1" applyBorder="1" applyAlignment="1">
      <alignment horizontal="centerContinuous" vertical="top"/>
    </xf>
    <xf numFmtId="49" fontId="2" fillId="0" borderId="1" xfId="0" applyNumberFormat="1" applyFont="1" applyFill="1" applyBorder="1" applyAlignment="1">
      <alignment horizontal="centerContinuous"/>
    </xf>
    <xf numFmtId="165" fontId="2" fillId="0" borderId="7" xfId="0" applyNumberFormat="1" applyFont="1" applyFill="1" applyBorder="1" applyAlignment="1">
      <alignment horizontal="centerContinuous" vertical="top"/>
    </xf>
    <xf numFmtId="0" fontId="19" fillId="0" borderId="1" xfId="0" applyFont="1" applyFill="1" applyBorder="1" applyAlignment="1">
      <alignment horizontal="centerContinuous" wrapText="1"/>
    </xf>
    <xf numFmtId="0" fontId="19" fillId="0" borderId="1" xfId="0" applyFont="1" applyFill="1" applyBorder="1" applyAlignment="1">
      <alignment horizontal="centerContinuous"/>
    </xf>
    <xf numFmtId="164" fontId="19" fillId="0" borderId="1" xfId="1" applyNumberFormat="1" applyFont="1" applyFill="1" applyBorder="1" applyAlignment="1">
      <alignment horizontal="centerContinuous"/>
    </xf>
    <xf numFmtId="164" fontId="18" fillId="0" borderId="1" xfId="1" applyNumberFormat="1" applyFont="1" applyFill="1" applyBorder="1" applyAlignment="1">
      <alignment horizontal="centerContinuous"/>
    </xf>
    <xf numFmtId="164" fontId="19" fillId="0" borderId="7" xfId="1" applyNumberFormat="1" applyFont="1" applyFill="1" applyBorder="1" applyAlignment="1">
      <alignment horizontal="centerContinuous"/>
    </xf>
    <xf numFmtId="0" fontId="5" fillId="0" borderId="2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vertical="top" wrapText="1"/>
    </xf>
  </cellXfs>
  <cellStyles count="4">
    <cellStyle name="Comma" xfId="2" builtinId="3"/>
    <cellStyle name="Currency" xfId="1" builtinId="4"/>
    <cellStyle name="Hyperlink" xfId="3" builtinId="8"/>
    <cellStyle name="Normal" xfId="0" builtinId="0"/>
  </cellStyles>
  <dxfs count="669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" formatCode="0"/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border>
        <top style="thin">
          <color indexed="64"/>
        </top>
      </border>
    </dxf>
    <dxf>
      <font>
        <b/>
        <i val="0"/>
        <strike val="0"/>
        <outline val="0"/>
        <shadow val="0"/>
        <u val="none"/>
        <vertAlign val="baseline"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>
        <top style="thin">
          <color indexed="64"/>
        </top>
      </border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theme="0"/>
        <name val="Arial"/>
        <scheme val="none"/>
      </font>
      <numFmt numFmtId="9" formatCode="&quot;$&quot;#,##0_);\(&quot;$&quot;#,##0\)"/>
      <alignment vertical="bottom" textRotation="0" wrapTex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numFmt numFmtId="32" formatCode="_(&quot;$&quot;* #,##0_);_(&quot;$&quot;* \(#,##0\);_(&quot;$&quot;* &quot;-&quot;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  <dxf>
      <numFmt numFmtId="9" formatCode="&quot;$&quot;#,##0_);\(&quot;$&quot;#,##0\)"/>
    </dxf>
    <dxf>
      <numFmt numFmtId="9" formatCode="&quot;$&quot;#,##0_);\(&quot;$&quot;#,##0\)"/>
    </dxf>
    <dxf>
      <font>
        <strike val="0"/>
        <outline val="0"/>
        <shadow val="0"/>
        <u val="none"/>
        <sz val="12"/>
        <color theme="0"/>
        <name val="Arial"/>
        <scheme val="none"/>
      </font>
    </dxf>
    <dxf>
      <numFmt numFmtId="9" formatCode="&quot;$&quot;#,##0_);\(&quot;$&quot;#,##0\)"/>
    </dxf>
    <dxf>
      <font>
        <strike val="0"/>
        <outline val="0"/>
        <shadow val="0"/>
        <u val="none"/>
        <sz val="12"/>
        <color theme="0"/>
        <name val="Arial"/>
        <scheme val="none"/>
      </font>
    </dxf>
    <dxf>
      <numFmt numFmtId="32" formatCode="_(&quot;$&quot;* #,##0_);_(&quot;$&quot;* \(#,##0\);_(&quot;$&quot;* &quot;-&quot;_);_(@_)"/>
    </dxf>
    <dxf>
      <numFmt numFmtId="0" formatCode="General"/>
    </dxf>
    <dxf>
      <numFmt numFmtId="9" formatCode="&quot;$&quot;#,##0_);\(&quot;$&quot;#,##0\)"/>
    </dxf>
    <dxf>
      <numFmt numFmtId="32" formatCode="_(&quot;$&quot;* #,##0_);_(&quot;$&quot;* \(#,##0\);_(&quot;$&quot;* &quot;-&quot;_);_(@_)"/>
    </dxf>
    <dxf>
      <border>
        <top style="thin">
          <color indexed="64"/>
        </top>
      </border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  <bottom style="thin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color theme="0"/>
        <name val="Arial"/>
        <scheme val="none"/>
      </font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color theme="0"/>
        <name val="Arial"/>
        <scheme val="none"/>
      </font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  <bottom style="thin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color theme="0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indexed="65"/>
        </patternFill>
      </fill>
      <alignment vertical="bottom" textRotation="0" wrapText="1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  <dxf>
      <font>
        <strike val="0"/>
        <outline val="0"/>
        <shadow val="0"/>
        <u val="none"/>
        <sz val="12"/>
        <color theme="0"/>
        <name val="Arial"/>
        <scheme val="none"/>
      </font>
    </dxf>
    <dxf>
      <font>
        <strike val="0"/>
        <outline val="0"/>
        <shadow val="0"/>
        <u val="none"/>
        <sz val="12"/>
        <color theme="0"/>
        <name val="Arial"/>
        <scheme val="none"/>
      </font>
    </dxf>
    <dxf>
      <numFmt numFmtId="0" formatCode="General"/>
    </dxf>
    <dxf>
      <border>
        <top style="thin">
          <color indexed="64"/>
        </top>
      </border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indexed="65"/>
        </patternFill>
      </fill>
      <alignment vertical="bottom" textRotation="0" wrapText="1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  <dxf>
      <font>
        <strike val="0"/>
        <outline val="0"/>
        <shadow val="0"/>
        <u val="none"/>
        <sz val="12"/>
        <color theme="0"/>
        <name val="Arial"/>
        <scheme val="none"/>
      </font>
    </dxf>
    <dxf>
      <font>
        <strike val="0"/>
        <outline val="0"/>
        <shadow val="0"/>
        <u val="none"/>
        <sz val="12"/>
        <color theme="0"/>
        <name val="Arial"/>
        <scheme val="none"/>
      </font>
    </dxf>
    <dxf>
      <numFmt numFmtId="0" formatCode="General"/>
    </dxf>
    <dxf>
      <border>
        <top style="thin">
          <color indexed="64"/>
        </top>
      </border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indexed="64"/>
        </top>
      </border>
    </dxf>
    <dxf>
      <font>
        <b/>
      </font>
    </dxf>
    <dxf>
      <border outline="0">
        <left style="thin">
          <color indexed="64"/>
        </left>
        <top style="thin">
          <color auto="1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>
        <top style="thin">
          <color auto="1"/>
        </top>
      </border>
    </dxf>
    <dxf>
      <font>
        <b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font>
        <b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/>
        <i val="0"/>
        <strike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font>
        <b/>
        <i val="0"/>
        <strike val="0"/>
        <outline val="0"/>
        <shadow val="0"/>
        <u val="none"/>
        <vertAlign val="baseline"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thin">
          <color auto="1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indexed="64"/>
        </top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font>
        <b/>
        <i val="0"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border outline="0">
        <bottom style="thin">
          <color indexed="64"/>
        </bottom>
      </border>
    </dxf>
  </dxfs>
  <tableStyles count="1" defaultTableStyle="Table Style 1" defaultPivotStyle="PivotStyleLight16">
    <tableStyle name="Table Style 1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6</xdr:row>
      <xdr:rowOff>144133</xdr:rowOff>
    </xdr:from>
    <xdr:to>
      <xdr:col>0</xdr:col>
      <xdr:colOff>5849257</xdr:colOff>
      <xdr:row>22</xdr:row>
      <xdr:rowOff>117120</xdr:rowOff>
    </xdr:to>
    <xdr:pic>
      <xdr:nvPicPr>
        <xdr:cNvPr id="6" name="Picture 5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3001633"/>
          <a:ext cx="3200400" cy="30209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1" name="localgeneralfund" displayName="localgeneralfund" ref="A2:M10" totalsRowCount="1" totalsRowDxfId="666" headerRowBorderDxfId="668" tableBorderDxfId="667" totalsRowBorderDxfId="665">
  <autoFilter ref="A2:M9"/>
  <tableColumns count="13">
    <tableColumn id="1" name="Program Category_x000a_ and Fund" totalsRowLabel="Total Local Agencies-General Fund" dataDxfId="664" totalsRowDxfId="128"/>
    <tableColumn id="2" name="Appropriation_x000a_Number" totalsRowLabel=" N/A " dataDxfId="663" totalsRowDxfId="127"/>
    <tableColumn id="3" name="Legal_x000a_Reference_x000a_(Ch./Year)" totalsRowLabel=" N/A " dataDxfId="662" totalsRowDxfId="126"/>
    <tableColumn id="4" name="Fiscal Year of_x000a_Claims Paid" totalsRowLabel=" N/A " dataDxfId="661" totalsRowDxfId="125" dataCellStyle="Currency"/>
    <tableColumn id="5" name="Reversion Date" totalsRowLabel=" N/A " dataDxfId="660" totalsRowDxfId="124"/>
    <tableColumn id="6" name="Original_x000a_Appropriation_x000a_Amount" totalsRowFunction="sum" dataDxfId="659" totalsRowDxfId="123" dataCellStyle="Currency"/>
    <tableColumn id="7" name="Appropriation Balances1" totalsRowFunction="sum" dataDxfId="658" totalsRowDxfId="122" dataCellStyle="Currency"/>
    <tableColumn id="13" name="As of 8/31/2023, except for the Budget Act of 2024 appropriations as of 7/1/2024." totalsRowLabel="  N/A  " dataDxfId="657" totalsRowDxfId="121" dataCellStyle="Currency"/>
    <tableColumn id="8" name="Budget_x000a_Adjustments" totalsRowFunction="sum" dataDxfId="656" totalsRowDxfId="120"/>
    <tableColumn id="9" name="Add: Receipts_x000a_and Recovered Amounts" totalsRowFunction="sum" dataDxfId="655" totalsRowDxfId="119" dataCellStyle="Currency"/>
    <tableColumn id="10" name="Less: Mandated Program Payments, Offsets,_x000a_and Interest_x000a_(see Schedule A1)" totalsRowFunction="sum" dataDxfId="654" totalsRowDxfId="118" dataCellStyle="Currency"/>
    <tableColumn id="11" name="Less: Appropriations for Reversion" totalsRowFunction="sum" dataDxfId="653" totalsRowDxfId="117"/>
    <tableColumn id="12" name="Appropriation Balances_x000a_as of 8/31/2024" totalsRowFunction="sum" dataDxfId="652" totalsRowDxfId="116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: Summary of State-Mandated Program Appropriations, Receipts, and Payments. As of August 31, 2024. For Local Agencies-General Fund."/>
    </ext>
  </extLst>
</table>
</file>

<file path=xl/tables/table10.xml><?xml version="1.0" encoding="utf-8"?>
<table xmlns="http://schemas.openxmlformats.org/spreadsheetml/2006/main" id="10" name="localmotor23" displayName="localmotor23" ref="A82:I85" totalsRowCount="1" headerRowDxfId="444" totalsRowDxfId="441" headerRowBorderDxfId="443" tableBorderDxfId="442" totalsRowBorderDxfId="440" headerRowCellStyle="Currency">
  <autoFilter ref="A82:I84"/>
  <tableColumns count="9">
    <tableColumn id="1" name="Program Category_x000a_and Type of Payment" totalsRowLabel="0044-8885-2024-295-98 Total" totalsRowDxfId="439"/>
    <tableColumn id="2" name="Fiscal_x000a_Year" totalsRowLabel="N/A" totalsRowDxfId="438"/>
    <tableColumn id="3" name="Appropriation _x000a_Number" totalsRowLabel="N/A" totalsRowDxfId="437"/>
    <tableColumn id="4" name="Program_x000a_Name" totalsRowLabel="N/A" totalsRowDxfId="436"/>
    <tableColumn id="5" name="Legal_x000a_Reference_x000a_(Ch./Year)" totalsRowLabel="N/A" totalsRowDxfId="435"/>
    <tableColumn id="6" name="Program_x000a_Number" totalsRowLabel="N/A" totalsRowDxfId="434"/>
    <tableColumn id="7" name="Program Payments and Offsets" totalsRowFunction="sum" totalsRowDxfId="433"/>
    <tableColumn id="8" name="Interest_x000a_Payments and Offsets" totalsRowFunction="sum" totalsRowDxfId="432"/>
    <tableColumn id="9" name="Total_x000a_Payments" totalsRowFunction="sum" totalsRowDxfId="431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1: Detail of State-Mandated Program Payments by Fiscal Year. As of August 31, 2024. Local Agencies-Motor Vehicle."/>
    </ext>
  </extLst>
</table>
</file>

<file path=xl/tables/table11.xml><?xml version="1.0" encoding="utf-8"?>
<table xmlns="http://schemas.openxmlformats.org/spreadsheetml/2006/main" id="11" name="localmotor21" displayName="localmotor21" ref="A87:I91" totalsRowCount="1" headerRowDxfId="430" dataDxfId="428" totalsRowDxfId="426" headerRowBorderDxfId="429" tableBorderDxfId="427" totalsRowBorderDxfId="425" headerRowCellStyle="Currency" dataCellStyle="Currency">
  <autoFilter ref="A87:I90"/>
  <tableColumns count="9">
    <tableColumn id="1" name="Program Category_x000a_and Type of Payment" totalsRowLabel="0044-8885-2022-295-98 Total" dataDxfId="424" totalsRowDxfId="423"/>
    <tableColumn id="2" name="Fiscal_x000a_Year" totalsRowLabel="N/A" totalsRowDxfId="422"/>
    <tableColumn id="3" name="Appropriation _x000a_Number" totalsRowLabel="N/A" dataDxfId="421" totalsRowDxfId="420"/>
    <tableColumn id="4" name="Program_x000a_Name" totalsRowLabel="N/A" dataDxfId="419" totalsRowDxfId="418"/>
    <tableColumn id="5" name="Legal_x000a_Reference_x000a_(Ch./Year)" totalsRowLabel="N/A" dataDxfId="417" totalsRowDxfId="416"/>
    <tableColumn id="6" name="Program_x000a_Number" totalsRowLabel="N/A" dataDxfId="415" totalsRowDxfId="414"/>
    <tableColumn id="7" name="Program Payments and Offsets" totalsRowFunction="sum" dataDxfId="413" totalsRowDxfId="412" dataCellStyle="Currency"/>
    <tableColumn id="8" name="Interest_x000a_Payments and Offsets" totalsRowFunction="sum" dataDxfId="411" totalsRowDxfId="410" dataCellStyle="Currency"/>
    <tableColumn id="9" name="Total_x000a_Payments" totalsRowFunction="sum" dataDxfId="409" totalsRowDxfId="408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1: Detail of State-Mandated Program Payments by Fiscal Year. As of August 31, 2024. Local Agencies-Motor Vehicle."/>
    </ext>
  </extLst>
</table>
</file>

<file path=xl/tables/table12.xml><?xml version="1.0" encoding="utf-8"?>
<table xmlns="http://schemas.openxmlformats.org/spreadsheetml/2006/main" id="12" name="localpest23" displayName="localpest23" ref="A93:I96" totalsRowCount="1" headerRowDxfId="407" totalsRowDxfId="404" headerRowBorderDxfId="406" tableBorderDxfId="405" totalsRowBorderDxfId="403" headerRowCellStyle="Currency">
  <autoFilter ref="A93:I95"/>
  <tableColumns count="9">
    <tableColumn id="1" name="Program Category_x000a_and Type of Payment" totalsRowLabel="0106-8885-2024-295-98 Total" totalsRowDxfId="402"/>
    <tableColumn id="2" name="Fiscal_x000a_Year" totalsRowLabel="N/A" totalsRowDxfId="401"/>
    <tableColumn id="3" name="Appropriation _x000a_Number" totalsRowLabel="N/A" totalsRowDxfId="400"/>
    <tableColumn id="4" name="Program_x000a_Name" totalsRowLabel="N/A" totalsRowDxfId="399"/>
    <tableColumn id="5" name="Legal_x000a_Reference_x000a_(Ch./Year)" totalsRowLabel="N/A" totalsRowDxfId="398"/>
    <tableColumn id="6" name="Program_x000a_Number" totalsRowLabel="N/A" totalsRowDxfId="397"/>
    <tableColumn id="7" name="Program Payments and Offsets" totalsRowFunction="sum" totalsRowDxfId="396"/>
    <tableColumn id="8" name="Interest_x000a_Payments and Offsets" totalsRowFunction="sum" totalsRowDxfId="395"/>
    <tableColumn id="9" name="Total_x000a_Payments" totalsRowFunction="sum" totalsRowDxfId="394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1: Detail of State-Mandated Program Payments by Fiscal Year. As of August 31, 2024. Local Agencies-Pesticide."/>
    </ext>
  </extLst>
</table>
</file>

<file path=xl/tables/table13.xml><?xml version="1.0" encoding="utf-8"?>
<table xmlns="http://schemas.openxmlformats.org/spreadsheetml/2006/main" id="13" name="localgrandtotala1" displayName="localgrandtotala1" ref="A98:I105" totalsRowCount="1" headerRowDxfId="393" totalsRowDxfId="390" headerRowBorderDxfId="392" tableBorderDxfId="391" totalsRowBorderDxfId="389" headerRowCellStyle="Currency">
  <autoFilter ref="A98:I104"/>
  <tableColumns count="9">
    <tableColumn id="1" name="Program Category_x000a_and Type of Payment" totalsRowLabel="Grand Total" dataDxfId="388" totalsRowDxfId="387"/>
    <tableColumn id="2" name="Fiscal_x000a_Year" totalsRowLabel="N/A" dataDxfId="386" totalsRowDxfId="385"/>
    <tableColumn id="3" name="Appropriation _x000a_Number" totalsRowLabel="N/A" totalsRowDxfId="384"/>
    <tableColumn id="4" name="Program_x000a_Name" totalsRowLabel="N/A" dataDxfId="383" totalsRowDxfId="382"/>
    <tableColumn id="5" name="Legal_x000a_Reference_x000a_(Ch./Year)" totalsRowLabel="N/A" dataDxfId="381" totalsRowDxfId="380"/>
    <tableColumn id="6" name="Program_x000a_Number" totalsRowLabel="N/A" dataDxfId="379" totalsRowDxfId="378"/>
    <tableColumn id="7" name="Program Payments and Offsets" totalsRowFunction="sum" dataDxfId="377" totalsRowDxfId="376" dataCellStyle="Currency"/>
    <tableColumn id="8" name="Interest_x000a_Payments and Offsets" totalsRowFunction="sum" dataDxfId="375" totalsRowDxfId="374" dataCellStyle="Currency"/>
    <tableColumn id="9" name="Total_x000a_Payments" totalsRowFunction="sum" dataDxfId="373" totalsRowDxfId="372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1: Detail of State-Mandated Program Payments by Fiscal Year. As of August 31, 2024. Local Agencies grand totals."/>
    </ext>
  </extLst>
</table>
</file>

<file path=xl/tables/table14.xml><?xml version="1.0" encoding="utf-8"?>
<table xmlns="http://schemas.openxmlformats.org/spreadsheetml/2006/main" id="14" name="localschoolgrandtotala1" displayName="localschoolgrandtotala1" ref="A26:I29" totalsRowCount="1" headerRowDxfId="371" totalsRowDxfId="368" headerRowBorderDxfId="370" tableBorderDxfId="369" totalsRowBorderDxfId="367">
  <autoFilter ref="A26:I28"/>
  <tableColumns count="9">
    <tableColumn id="1" name="Program Category_x000a_and Type of Payment" totalsRowLabel="Grand Total Local Agencies and School Districts2" totalsRowDxfId="115"/>
    <tableColumn id="2" name="Fiscal_x000a_Year" totalsRowLabel="All community college districts participate in the block grant program. Therefore, no payments are made to community college districts." dataDxfId="366" totalsRowDxfId="114"/>
    <tableColumn id="3" name="Appropriation _x000a_Number" totalsRowLabel="N/A" dataDxfId="365" totalsRowDxfId="113"/>
    <tableColumn id="4" name="Program_x000a_Name" totalsRowLabel="N/A" dataDxfId="364" totalsRowDxfId="112"/>
    <tableColumn id="5" name="Legal_x000a_Reference_x000a_(Ch./Year)" totalsRowLabel="N/A" dataDxfId="363" totalsRowDxfId="111"/>
    <tableColumn id="6" name="Program_x000a_Number" totalsRowLabel="N/A" dataDxfId="362" totalsRowDxfId="110"/>
    <tableColumn id="7" name="Program_x000a_Payments and_x000a_Offsets" totalsRowFunction="sum" dataDxfId="361" totalsRowDxfId="109"/>
    <tableColumn id="8" name="Interest_x000a_Payments and Offsets" totalsRowFunction="sum" dataDxfId="360" totalsRowDxfId="108"/>
    <tableColumn id="9" name="Total_x000a_Payments" totalsRowFunction="sum" dataDxfId="359" totalsRowDxfId="107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1: Detail of State-Mandated Program Payments by Fiscal Year. As of August 31, 2024. Grand totals for Local Agencies and School Districts."/>
    </ext>
  </extLst>
</table>
</file>

<file path=xl/tables/table15.xml><?xml version="1.0" encoding="utf-8"?>
<table xmlns="http://schemas.openxmlformats.org/spreadsheetml/2006/main" id="15" name="schoolannualclaim23" displayName="schoolannualclaim23" ref="A2:I24" totalsRowCount="1" headerRowDxfId="358" totalsRowDxfId="355" headerRowBorderDxfId="357" tableBorderDxfId="356" totalsRowBorderDxfId="354">
  <autoFilter ref="A2:I23"/>
  <tableColumns count="9">
    <tableColumn id="1" name="Program Category_x000a_and Type of Payment" totalsRowLabel="Total School Districts" dataDxfId="353" totalsRowDxfId="352"/>
    <tableColumn id="2" name="Fiscal_x000a_Year" dataDxfId="351" totalsRowDxfId="350"/>
    <tableColumn id="3" name="Appropriation _x000a_Number" dataDxfId="349" totalsRowDxfId="348"/>
    <tableColumn id="4" name="Program_x000a_Name" dataDxfId="347" totalsRowDxfId="346"/>
    <tableColumn id="5" name="Legal_x000a_Reference_x000a_(Ch./Year)" dataDxfId="345" totalsRowDxfId="344"/>
    <tableColumn id="6" name="Program_x000a_Number" dataDxfId="343" totalsRowDxfId="342"/>
    <tableColumn id="7" name="Program_x000a_Payments and_x000a_Offsets" totalsRowFunction="sum" dataDxfId="341" totalsRowDxfId="340" dataCellStyle="Currency"/>
    <tableColumn id="8" name="Interest_x000a_Payments and Offsets" totalsRowFunction="sum" dataDxfId="339" totalsRowDxfId="338"/>
    <tableColumn id="9" name="Total_x000a_Payments" totalsRowFunction="sum" dataDxfId="337" totalsRowDxfId="336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1: Detail of State-Mandated Program Payments by Fiscal Year. As of August 31, 2024. School District-Annual Claim."/>
    </ext>
  </extLst>
</table>
</file>

<file path=xl/tables/table16.xml><?xml version="1.0" encoding="utf-8"?>
<table xmlns="http://schemas.openxmlformats.org/spreadsheetml/2006/main" id="21" name="scheduleblocalfunded" displayName="scheduleblocalfunded" ref="A2:O5" totalsRowCount="1" headerRowDxfId="335" totalsRowDxfId="332" headerRowBorderDxfId="334" tableBorderDxfId="333" totalsRowBorderDxfId="331" headerRowCellStyle="Hyperlink">
  <autoFilter ref="A2:O4"/>
  <tableColumns count="15">
    <tableColumn id="1" name="Program_x000a_Category" totalsRowLabel="Total Local Agencies" totalsRowDxfId="91"/>
    <tableColumn id="2" name="Fiscal_x000a_Year" totalsRowLabel="N/A" totalsRowDxfId="90"/>
    <tableColumn id="3" name="Schedules" totalsRowLabel="N/A" totalsRowDxfId="89"/>
    <tableColumn id="4" name="Program_x000a_Costs" totalsRowFunction="sum" totalsRowDxfId="88"/>
    <tableColumn id="5" name="Less: Net Payments and Offsets" totalsRowFunction="sum" totalsRowDxfId="87"/>
    <tableColumn id="6" name="Comment1" totalsRowLabel="N/A" dataDxfId="330" totalsRowDxfId="86"/>
    <tableColumn id="7" name="Accounts Payable_x000a_Balance3" totalsRowFunction="sum" totalsRowDxfId="85"/>
    <tableColumn id="16" name="Total accounts receivable established due to desk review and field audit claim adjustments." totalsRowLabel="N/A" dataDxfId="329" totalsRowDxfId="84"/>
    <tableColumn id="8" name="Established_x000a_Accounts_x000a_Receivable4" totalsRowFunction="sum" totalsRowDxfId="83"/>
    <tableColumn id="15" name="Total accounts receivable established due to desk review and field audit claim adjustments.2" totalsRowLabel="N/A" dataDxfId="328" totalsRowDxfId="82"/>
    <tableColumn id="9" name="Less: Recovered_x000a_Amount" totalsRowFunction="sum" totalsRowDxfId="81"/>
    <tableColumn id="10" name="Accounts_x000a_Receivable_x000a_Balance5" totalsRowFunction="sum" totalsRowDxfId="80"/>
    <tableColumn id="14" name="Amount due from local agencies, school districts (includes ineligible charter schools), and community college districts." totalsRowLabel="N/A" dataDxfId="327" totalsRowDxfId="79"/>
    <tableColumn id="11" name="Net_x000a_Balance6" totalsRowFunction="sum" totalsRowDxfId="78"/>
    <tableColumn id="13" name="Net amount of deficiencies and surpluses (A/P Balance less A/R Balance equals Net Balance)." totalsRowLabel="N/A" dataDxfId="326" totalsRowDxfId="77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: Summary of Funded and Unfunded State-Mandated Programs. As of August 31, 2024. Local Agencies-Funded."/>
    </ext>
  </extLst>
</table>
</file>

<file path=xl/tables/table17.xml><?xml version="1.0" encoding="utf-8"?>
<table xmlns="http://schemas.openxmlformats.org/spreadsheetml/2006/main" id="22" name="schedulebsdandccdfunded" displayName="schedulebsdandccdfunded" ref="A7:O11" totalsRowCount="1" headerRowDxfId="325" totalsRowDxfId="322" headerRowBorderDxfId="324" tableBorderDxfId="323" totalsRowBorderDxfId="321" headerRowCellStyle="Hyperlink">
  <autoFilter ref="A7:O10"/>
  <tableColumns count="15">
    <tableColumn id="1" name="Program_x000a_Category" totalsRowLabel="Total School Districts and Community College Districts" totalsRowDxfId="76"/>
    <tableColumn id="2" name="Fiscal_x000a_Year" totalsRowLabel="N/A" totalsRowDxfId="75"/>
    <tableColumn id="3" name="Schedules" totalsRowLabel="N/A" totalsRowDxfId="74"/>
    <tableColumn id="4" name="Program_x000a_Costs" totalsRowFunction="sum" totalsRowDxfId="73"/>
    <tableColumn id="5" name="Less: Net Payments and Offsets" totalsRowFunction="sum" totalsRowDxfId="72"/>
    <tableColumn id="6" name="Comment2" totalsRowLabel="N/A" dataDxfId="320" totalsRowDxfId="71"/>
    <tableColumn id="7" name="Accounts Payable_x000a_Balance3" totalsRowFunction="sum" totalsRowDxfId="70"/>
    <tableColumn id="14" name="Comment3" totalsRowLabel="N/A" dataDxfId="319" totalsRowDxfId="69"/>
    <tableColumn id="8" name="Established_x000a_Accounts_x000a_Receivable4" totalsRowFunction="sum" totalsRowDxfId="68"/>
    <tableColumn id="15" name="Comment4" totalsRowLabel="N/A" dataDxfId="318" totalsRowDxfId="67"/>
    <tableColumn id="9" name="Less: Recovered_x000a_Amount" totalsRowFunction="sum" totalsRowDxfId="66"/>
    <tableColumn id="10" name="Accounts_x000a_Receivable_x000a_Balance5" totalsRowFunction="sum" totalsRowDxfId="65"/>
    <tableColumn id="16" name="Comment5" totalsRowLabel="N/A" dataDxfId="317" totalsRowDxfId="64"/>
    <tableColumn id="11" name="Net_x000a_Balance6" totalsRowFunction="sum" totalsRowDxfId="63"/>
    <tableColumn id="13" name="Comment6" totalsRowLabel="N/A" dataDxfId="316" totalsRowDxfId="62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: Summary of Funded and Unfunded State-Mandated Programs. As of August 31, 2024. School Districts and Community College Districts-Funded."/>
    </ext>
  </extLst>
</table>
</file>

<file path=xl/tables/table18.xml><?xml version="1.0" encoding="utf-8"?>
<table xmlns="http://schemas.openxmlformats.org/spreadsheetml/2006/main" id="23" name="fundedmandatesgrandtotal" displayName="fundedmandatesgrandtotal" ref="A13:O17" totalsRowCount="1" headerRowDxfId="315" dataDxfId="313" totalsRowDxfId="311" headerRowBorderDxfId="314" tableBorderDxfId="312" totalsRowBorderDxfId="310" headerRowCellStyle="Hyperlink">
  <autoFilter ref="A13:O16"/>
  <tableColumns count="15">
    <tableColumn id="1" name="Program_x000a_Category" totalsRowLabel="Total Schedule B1: Funded Mandates7" dataDxfId="309" totalsRowDxfId="106"/>
    <tableColumn id="2" name="Fiscal_x000a_Year" totalsRowLabel="State-mandated programs appropriated for payments in the Budget Act (funded) and programs without appropriations (unfunded). " dataDxfId="308" totalsRowDxfId="105"/>
    <tableColumn id="3" name="Schedules" totalsRowLabel="N/A" dataDxfId="307" totalsRowDxfId="104"/>
    <tableColumn id="4" name="Program_x000a_Costs" totalsRowFunction="sum" dataDxfId="306" totalsRowDxfId="103"/>
    <tableColumn id="5" name="Less: Net Payments and Offsets" totalsRowFunction="sum" dataDxfId="305" totalsRowDxfId="102"/>
    <tableColumn id="6" name="Comment" totalsRowLabel="N/A" dataDxfId="304" totalsRowDxfId="101"/>
    <tableColumn id="7" name="Accounts Payable_x000a_Balance3" totalsRowFunction="sum" dataDxfId="303" totalsRowDxfId="100"/>
    <tableColumn id="14" name="Comment3" totalsRowLabel="N/A" dataDxfId="302" totalsRowDxfId="99"/>
    <tableColumn id="8" name="Established_x000a_Accounts_x000a_Receivable4" totalsRowFunction="sum" dataDxfId="301" totalsRowDxfId="98"/>
    <tableColumn id="15" name="Comment4" totalsRowLabel="N/A" dataDxfId="300" totalsRowDxfId="97"/>
    <tableColumn id="9" name="Less: Recovered_x000a_Amount" totalsRowFunction="sum" dataDxfId="299" totalsRowDxfId="96"/>
    <tableColumn id="10" name="Accounts_x000a_Receivable_x000a_Balance5" totalsRowFunction="sum" dataDxfId="298" totalsRowDxfId="95"/>
    <tableColumn id="16" name="Comment5" totalsRowLabel="N/A" dataDxfId="297" totalsRowDxfId="94"/>
    <tableColumn id="11" name="Net_x000a_Balance6" totalsRowFunction="sum" dataDxfId="296" totalsRowDxfId="93"/>
    <tableColumn id="13" name="Comment6" totalsRowLabel="N/A" dataDxfId="295" totalsRowDxfId="92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: Summary of Funded and Unfunded State-Mandated Programs. As of August 31, 2024. Total Funded."/>
    </ext>
  </extLst>
</table>
</file>

<file path=xl/tables/table19.xml><?xml version="1.0" encoding="utf-8"?>
<table xmlns="http://schemas.openxmlformats.org/spreadsheetml/2006/main" id="24" name="scheduleblocalunfunded" displayName="scheduleblocalunfunded" ref="A19:O22" totalsRowCount="1" headerRowDxfId="294" totalsRowDxfId="291" headerRowBorderDxfId="293" tableBorderDxfId="292" totalsRowBorderDxfId="290" headerRowCellStyle="Hyperlink">
  <autoFilter ref="A19:O21"/>
  <tableColumns count="15">
    <tableColumn id="1" name="Program_x000a_Category" totalsRowLabel="Total Local Agencies" totalsRowDxfId="289"/>
    <tableColumn id="2" name="Fiscal_x000a_Year" totalsRowLabel="N/A" totalsRowDxfId="288"/>
    <tableColumn id="3" name="Schedules" totalsRowLabel="N/A" totalsRowDxfId="287"/>
    <tableColumn id="4" name="Program_x000a_Costs" totalsRowFunction="sum" totalsRowDxfId="286"/>
    <tableColumn id="5" name="Less: Net Payments and Offsets" totalsRowFunction="sum" totalsRowDxfId="285"/>
    <tableColumn id="6" name="Comment" totalsRowLabel="N/A" dataDxfId="284" totalsRowDxfId="283"/>
    <tableColumn id="7" name="Accounts Payable_x000a_Balance3" totalsRowFunction="sum" totalsRowDxfId="282"/>
    <tableColumn id="14" name="Comment3" totalsRowLabel="N/A" dataDxfId="281" totalsRowDxfId="280"/>
    <tableColumn id="8" name="Established_x000a_Accounts_x000a_Receivable4" totalsRowFunction="sum" totalsRowDxfId="279"/>
    <tableColumn id="15" name="Comment4" totalsRowLabel="N/A" dataDxfId="278" totalsRowDxfId="277"/>
    <tableColumn id="9" name="Less: Recovered_x000a_Amount" totalsRowFunction="sum" totalsRowDxfId="276"/>
    <tableColumn id="10" name="Accounts_x000a_Receivable_x000a_Balance5" totalsRowFunction="sum" totalsRowDxfId="275"/>
    <tableColumn id="16" name="Comment5" totalsRowLabel="N/A" dataDxfId="274" totalsRowDxfId="273"/>
    <tableColumn id="11" name="Net_x000a_Balance6" totalsRowFunction="sum" dataDxfId="272" totalsRowDxfId="271"/>
    <tableColumn id="12" name="Comment6" totalsRowLabel="N/A" totalsRowDxfId="270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: Summary of Funded and Unfunded State-Mandated Programs. As of August 31, 2024. Local Agencies-Unfunded."/>
    </ext>
  </extLst>
</table>
</file>

<file path=xl/tables/table2.xml><?xml version="1.0" encoding="utf-8"?>
<table xmlns="http://schemas.openxmlformats.org/spreadsheetml/2006/main" id="2" name="mvnongeneralfund" displayName="mvnongeneralfund" ref="A12:M17" totalsRowCount="1" dataDxfId="650" headerRowBorderDxfId="651" tableBorderDxfId="649" totalsRowBorderDxfId="648" dataCellStyle="Currency">
  <autoFilter ref="A12:M16"/>
  <tableColumns count="13">
    <tableColumn id="1" name="Program Category_x000a_ and Fund" totalsRowLabel="Total Motor Vehicle Account-Non-General Fund" dataDxfId="647" totalsRowDxfId="646"/>
    <tableColumn id="2" name="Appropriation_x000a_Number" totalsRowLabel=" N/A " dataDxfId="645" totalsRowDxfId="644"/>
    <tableColumn id="3" name="Legal_x000a_Reference_x000a_(Ch./Year)" totalsRowLabel=" N/A " dataDxfId="643" totalsRowDxfId="642"/>
    <tableColumn id="4" name="Fiscal Year of_x000a_Claims Paid" totalsRowLabel=" N/A " totalsRowDxfId="641"/>
    <tableColumn id="5" name="Reversion Date" totalsRowLabel=" N/A " dataDxfId="640" totalsRowDxfId="639"/>
    <tableColumn id="6" name="Original_x000a_Appropriation_x000a_Amount" totalsRowFunction="sum" dataDxfId="638" totalsRowDxfId="637" dataCellStyle="Currency"/>
    <tableColumn id="7" name="Appropriation Balances1" totalsRowFunction="sum" dataDxfId="636" totalsRowDxfId="635" dataCellStyle="Currency"/>
    <tableColumn id="13" name="Comment1" totalsRowLabel=" N/A " dataDxfId="634" totalsRowDxfId="633" dataCellStyle="Currency"/>
    <tableColumn id="8" name="Budget_x000a_Adjustments" totalsRowFunction="sum" dataDxfId="632" totalsRowDxfId="631" dataCellStyle="Currency"/>
    <tableColumn id="9" name="Add: Receipts_x000a_and Recovered Amounts" totalsRowFunction="sum" dataDxfId="630" totalsRowDxfId="629" dataCellStyle="Currency"/>
    <tableColumn id="10" name="Less: Mandated Program Payments, Offsets,_x000a_and Interest_x000a_(see Schedule A1)" totalsRowFunction="sum" dataDxfId="628" totalsRowDxfId="627" dataCellStyle="Currency"/>
    <tableColumn id="11" name="Less: Appropriations for Reversion" totalsRowFunction="sum" dataDxfId="626" totalsRowDxfId="625" dataCellStyle="Currency"/>
    <tableColumn id="12" name="Appropriation Balances_x000a_as of 8/31/2024" totalsRowFunction="sum" dataDxfId="624" totalsRowDxfId="623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: Summary of State-Mandated Program Appropriations, Receipts, and Payments. As of August 31, 2024. For Motor Vehicle Account-Non General Fund."/>
    </ext>
  </extLst>
</table>
</file>

<file path=xl/tables/table20.xml><?xml version="1.0" encoding="utf-8"?>
<table xmlns="http://schemas.openxmlformats.org/spreadsheetml/2006/main" id="25" name="schedulebunfunded" displayName="schedulebunfunded" ref="A24:O26" totalsRowCount="1" headerRowDxfId="269" totalsRowDxfId="266" headerRowBorderDxfId="268" tableBorderDxfId="267" totalsRowBorderDxfId="265" headerRowCellStyle="Hyperlink">
  <autoFilter ref="A24:O25"/>
  <tableColumns count="15">
    <tableColumn id="1" name="Program_x000a_Category" totalsRowLabel="Total Schedule B2: Unfunded Mandates7, 8" totalsRowDxfId="61"/>
    <tableColumn id="2" name="Fiscal_x000a_Year" totalsRowLabel="State-mandated programs appropriated for payments in the Budget Act (funded) and programs without appropriations (unfunded). There are no unfunded school district and community college district state-mandated programs." totalsRowDxfId="60"/>
    <tableColumn id="3" name="Schedules" totalsRowLabel="N/A" totalsRowDxfId="59"/>
    <tableColumn id="4" name="Program_x000a_Costs" totalsRowFunction="sum" dataDxfId="264" totalsRowDxfId="58"/>
    <tableColumn id="5" name="Less: Net Payments and Offsets" totalsRowFunction="sum" dataDxfId="263" totalsRowDxfId="57"/>
    <tableColumn id="6" name="Comment" totalsRowLabel="N/A" dataDxfId="262" totalsRowDxfId="56"/>
    <tableColumn id="7" name="Accounts Payable_x000a_Balance3" totalsRowFunction="sum" dataDxfId="261" totalsRowDxfId="55"/>
    <tableColumn id="16" name="Comment3" totalsRowLabel="N/A" dataDxfId="260" totalsRowDxfId="54"/>
    <tableColumn id="8" name="Established_x000a_Accounts_x000a_Receivable4" totalsRowFunction="sum" dataDxfId="259" totalsRowDxfId="53"/>
    <tableColumn id="15" name="Comment4" totalsRowLabel="N/A" dataDxfId="258" totalsRowDxfId="52"/>
    <tableColumn id="9" name="Less: Recovered_x000a_Amount" totalsRowFunction="sum" dataDxfId="257" totalsRowDxfId="51"/>
    <tableColumn id="10" name="Accounts_x000a_Receivable_x000a_Balance5" totalsRowFunction="sum" dataDxfId="256" totalsRowDxfId="50"/>
    <tableColumn id="14" name="Comment5" totalsRowLabel="N/A" dataDxfId="255" totalsRowDxfId="49"/>
    <tableColumn id="11" name="Net_x000a_Balance6" totalsRowFunction="sum" dataDxfId="254" totalsRowDxfId="48"/>
    <tableColumn id="13" name="Comment6" totalsRowLabel="N/A" dataDxfId="253" totalsRowDxfId="47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: Summary of Funded and Unfunded State-Mandated Programs. As of August 31, 2024. Total Unfunded."/>
    </ext>
  </extLst>
</table>
</file>

<file path=xl/tables/table21.xml><?xml version="1.0" encoding="utf-8"?>
<table xmlns="http://schemas.openxmlformats.org/spreadsheetml/2006/main" id="26" name="schedulebgrandtotal" displayName="schedulebgrandtotal" ref="A28:O32" totalsRowCount="1" headerRowDxfId="252" dataDxfId="250" totalsRowDxfId="248" headerRowBorderDxfId="251" tableBorderDxfId="249" totalsRowBorderDxfId="247" headerRowCellStyle="Hyperlink">
  <autoFilter ref="A28:O31"/>
  <tableColumns count="15">
    <tableColumn id="1" name="Program_x000a_Category" totalsRowLabel="Grand Total Local Agencies, School Districts, and Community College Districts" dataDxfId="246" totalsRowDxfId="245"/>
    <tableColumn id="2" name="Fiscal_x000a_Year" totalsRowLabel="N/A" dataDxfId="244" totalsRowDxfId="243"/>
    <tableColumn id="3" name="Schedules" totalsRowLabel="N/A" dataDxfId="242" totalsRowDxfId="241"/>
    <tableColumn id="4" name="Program_x000a_Costs" totalsRowFunction="sum" dataDxfId="240" totalsRowDxfId="239"/>
    <tableColumn id="5" name="Less: Net Payments and Offsets" totalsRowFunction="sum" dataDxfId="238" totalsRowDxfId="237"/>
    <tableColumn id="6" name="Comment" totalsRowLabel="N/A" dataDxfId="236" totalsRowDxfId="235"/>
    <tableColumn id="7" name="Accounts Payable_x000a_Balance3" totalsRowFunction="sum" dataDxfId="234" totalsRowDxfId="233"/>
    <tableColumn id="14" name="Comment3" totalsRowLabel="N/A" dataDxfId="232" totalsRowDxfId="231"/>
    <tableColumn id="8" name="Established_x000a_Accounts_x000a_Receivable4" totalsRowFunction="sum" dataDxfId="230" totalsRowDxfId="229"/>
    <tableColumn id="15" name="Comment4" totalsRowLabel="N/A" dataDxfId="228" totalsRowDxfId="227"/>
    <tableColumn id="9" name="Less: Recovered_x000a_Amount" totalsRowFunction="sum" dataDxfId="226" totalsRowDxfId="225"/>
    <tableColumn id="10" name="Accounts_x000a_Receivable_x000a_Balance5" totalsRowFunction="sum" dataDxfId="224" totalsRowDxfId="223"/>
    <tableColumn id="16" name="Comment5" totalsRowLabel="N/A" dataDxfId="222" totalsRowDxfId="221"/>
    <tableColumn id="11" name="Net_x000a_Balance6" totalsRowFunction="sum" dataDxfId="220" totalsRowDxfId="219"/>
    <tableColumn id="13" name="Comment6" totalsRowLabel="N/A" dataDxfId="218" totalsRowDxfId="217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: Summary of Funded and Unfunded State-Mandated Programs. As of August 31, 2024. Grand total."/>
    </ext>
  </extLst>
</table>
</file>

<file path=xl/tables/table22.xml><?xml version="1.0" encoding="utf-8"?>
<table xmlns="http://schemas.openxmlformats.org/spreadsheetml/2006/main" id="16" name="fundedlocal" displayName="fundedlocal" ref="A2:L183" totalsRowCount="1" headerRowDxfId="216" dataDxfId="214" totalsRowDxfId="212" headerRowBorderDxfId="215" tableBorderDxfId="213" totalsRowBorderDxfId="211" headerRowCellStyle="Currency" dataCellStyle="Currency">
  <autoFilter ref="A2:L182"/>
  <tableColumns count="12">
    <tableColumn id="2" name="Program_x000a_Name" totalsRowLabel="Total Funded Local Agencies" dataDxfId="210" totalsRowDxfId="46"/>
    <tableColumn id="3" name="Legal_x000a_Reference_x000a_(Ch./Year)" totalsRowLabel="N/A" dataDxfId="209" totalsRowDxfId="45"/>
    <tableColumn id="4" name="Program Number" totalsRowLabel="N/A" dataDxfId="208" totalsRowDxfId="44"/>
    <tableColumn id="13" name="Fiscal_x000a_Year" totalsRowLabel="N/A" dataDxfId="207" totalsRowDxfId="43"/>
    <tableColumn id="5" name="Program_x000a_Costs" totalsRowFunction="sum" dataDxfId="206" totalsRowDxfId="42" dataCellStyle="Currency"/>
    <tableColumn id="6" name="Less: Net Payments and Offsets 1" totalsRowFunction="sum" dataDxfId="205" totalsRowDxfId="41" dataCellStyle="Currency"/>
    <tableColumn id="1" name="Local agencies do not receive funding offsets." totalsRowLabel="N/A" dataDxfId="204" totalsRowDxfId="40" dataCellStyle="Currency"/>
    <tableColumn id="7" name="Account Payable_x000a_ Balance" totalsRowFunction="sum" dataDxfId="203" totalsRowDxfId="39" dataCellStyle="Currency">
      <calculatedColumnFormula>E3-F3</calculatedColumnFormula>
    </tableColumn>
    <tableColumn id="8" name="Established_x000a_Account Receivable" totalsRowFunction="sum" dataDxfId="202" totalsRowDxfId="38" dataCellStyle="Currency"/>
    <tableColumn id="9" name="Less: Recovered Amount" totalsRowFunction="sum" dataDxfId="201" totalsRowDxfId="37" dataCellStyle="Currency"/>
    <tableColumn id="10" name="Account Receivable_x000a_Balance" totalsRowFunction="sum" dataDxfId="200" totalsRowDxfId="36" dataCellStyle="Currency">
      <calculatedColumnFormula>I3-J3</calculatedColumnFormula>
    </tableColumn>
    <tableColumn id="11" name="Net_x000a_Balance" totalsRowFunction="sum" dataDxfId="199" totalsRowDxfId="35" dataCellStyle="Currency">
      <calculatedColumnFormula>H3-K3</calculatedColumnFormula>
    </tableColumn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1: Detail of Funded State-Mandated Programs by Fiscal Year. As of August 31, 2024. Local Agencies."/>
    </ext>
  </extLst>
</table>
</file>

<file path=xl/tables/table23.xml><?xml version="1.0" encoding="utf-8"?>
<table xmlns="http://schemas.openxmlformats.org/spreadsheetml/2006/main" id="17" name="fundedschooldistricts" displayName="fundedschooldistricts" ref="A2:L862" totalsRowCount="1" headerRowDxfId="198" dataDxfId="196" totalsRowDxfId="194" headerRowBorderDxfId="197" tableBorderDxfId="195" totalsRowBorderDxfId="193" headerRowCellStyle="Currency" dataCellStyle="Currency">
  <autoFilter ref="A2:L861"/>
  <tableColumns count="12">
    <tableColumn id="2" name="Program_x000a_Name" totalsRowLabel="Total Funded School Discticts" dataDxfId="192" totalsRowDxfId="34"/>
    <tableColumn id="3" name="Legal_x000a_Reference_x000a_(Ch./Year)" totalsRowLabel="N/A" dataDxfId="191" totalsRowDxfId="33"/>
    <tableColumn id="4" name="Program Number" totalsRowLabel="N/A" dataDxfId="190" totalsRowDxfId="32"/>
    <tableColumn id="12" name="Fiscal_x000a_Year" totalsRowLabel="N/A" dataDxfId="189" totalsRowDxfId="31"/>
    <tableColumn id="5" name="Program_x000a_Costs" totalsRowFunction="sum" dataDxfId="188" totalsRowDxfId="30" dataCellStyle="Currency"/>
    <tableColumn id="6" name="Less: Net Payments and Offsets 2" totalsRowFunction="sum" dataDxfId="187" totalsRowDxfId="29" dataCellStyle="Currency"/>
    <tableColumn id="1" name="This amount includes offsets applied from prior years." totalsRowLabel="N/A" dataDxfId="186" totalsRowDxfId="28" dataCellStyle="Currency"/>
    <tableColumn id="7" name="Account Payable_x000a_ Balance" totalsRowFunction="sum" dataDxfId="185" totalsRowDxfId="27" dataCellStyle="Currency"/>
    <tableColumn id="8" name="Established_x000a_Account Receivable" totalsRowFunction="sum" dataDxfId="184" totalsRowDxfId="26" dataCellStyle="Currency"/>
    <tableColumn id="9" name="Less: Recovered Amount" totalsRowFunction="sum" dataDxfId="183" totalsRowDxfId="25" dataCellStyle="Currency"/>
    <tableColumn id="10" name="Account Receivable_x000a_Balance" totalsRowFunction="sum" dataDxfId="182" totalsRowDxfId="24" dataCellStyle="Currency"/>
    <tableColumn id="11" name="Net_x000a_Balance" totalsRowFunction="sum" dataDxfId="181" totalsRowDxfId="23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1: Detail of Funded State-Mandated Programs by Fiscal Year. As of August 31, 2024. School Districts."/>
    </ext>
  </extLst>
</table>
</file>

<file path=xl/tables/table24.xml><?xml version="1.0" encoding="utf-8"?>
<table xmlns="http://schemas.openxmlformats.org/spreadsheetml/2006/main" id="18" name="fundedcolleges" displayName="fundedcolleges" ref="A2:L74" totalsRowCount="1" headerRowDxfId="180" dataDxfId="178" totalsRowDxfId="176" headerRowBorderDxfId="179" tableBorderDxfId="177" totalsRowBorderDxfId="175" headerRowCellStyle="Currency" dataCellStyle="Currency">
  <autoFilter ref="A2:L73"/>
  <tableColumns count="12">
    <tableColumn id="2" name="Program_x000a_Name" totalsRowLabel="Total Funded Community College Districts" dataDxfId="174" totalsRowDxfId="22"/>
    <tableColumn id="3" name="Legal_x000a_Reference_x000a_(Ch./Year)" totalsRowLabel="N/A" dataDxfId="173" totalsRowDxfId="21"/>
    <tableColumn id="4" name="Program Number" totalsRowLabel="N/A" dataDxfId="172" totalsRowDxfId="20"/>
    <tableColumn id="12" name="Fiscal_x000a_Year" totalsRowLabel="N/A" dataDxfId="171" totalsRowDxfId="19"/>
    <tableColumn id="5" name="Program_x000a_Costs" totalsRowFunction="sum" dataDxfId="170" totalsRowDxfId="18" dataCellStyle="Currency"/>
    <tableColumn id="6" name="Less: Net Payments and Offsets 2" totalsRowFunction="sum" dataDxfId="169" totalsRowDxfId="17" dataCellStyle="Currency"/>
    <tableColumn id="1" name="This amount includes offsets applied from prior years." totalsRowLabel="N/A" dataDxfId="168" totalsRowDxfId="16" dataCellStyle="Currency"/>
    <tableColumn id="7" name="Account Payable_x000a_ Balance" totalsRowFunction="sum" dataDxfId="167" totalsRowDxfId="15" dataCellStyle="Currency"/>
    <tableColumn id="8" name="Established_x000a_Account Receivable" totalsRowFunction="sum" dataDxfId="166" totalsRowDxfId="14" dataCellStyle="Currency"/>
    <tableColumn id="9" name="Less: Recovered Amount" totalsRowFunction="sum" dataDxfId="165" totalsRowDxfId="13" dataCellStyle="Currency"/>
    <tableColumn id="10" name="Account Receivable_x000a_Balance" totalsRowFunction="sum" dataDxfId="164" totalsRowDxfId="12" dataCellStyle="Currency"/>
    <tableColumn id="11" name="Net_x000a_Balance" totalsRowFunction="sum" dataDxfId="163" totalsRowDxfId="11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1: Detail of Funded State-Mandated Programs by Fiscal Year. As of August 31, 2024. Community College Districts."/>
    </ext>
  </extLst>
</table>
</file>

<file path=xl/tables/table25.xml><?xml version="1.0" encoding="utf-8"?>
<table xmlns="http://schemas.openxmlformats.org/spreadsheetml/2006/main" id="19" name="unfundedlocal" displayName="unfundedlocal" ref="A2:K188" totalsRowCount="1" headerRowDxfId="162" dataDxfId="160" totalsRowDxfId="158" headerRowBorderDxfId="161" tableBorderDxfId="159" totalsRowBorderDxfId="157" headerRowCellStyle="Currency" dataCellStyle="Currency">
  <autoFilter ref="A2:K187"/>
  <tableColumns count="11">
    <tableColumn id="1" name="Program_x000a_Name" totalsRowLabel="Total Unfunded Mandates8" dataDxfId="156" totalsRowDxfId="10"/>
    <tableColumn id="2" name="Legal_x000a_Reference_x000a_(Ch./Year)" totalsRowLabel="There are no unfunded school district and community college district state-mandated programs." dataDxfId="155" totalsRowDxfId="9"/>
    <tableColumn id="3" name="Program Number" totalsRowLabel="N/A" dataDxfId="154" totalsRowDxfId="8"/>
    <tableColumn id="4" name="Fiscal Year" totalsRowLabel="N/A" dataDxfId="153" totalsRowDxfId="7"/>
    <tableColumn id="5" name="Program_x000a_Costs" totalsRowFunction="stdDev" dataDxfId="152" totalsRowDxfId="6" dataCellStyle="Currency"/>
    <tableColumn id="6" name="Less: Net Payments and Offsets" totalsRowFunction="sum" dataDxfId="151" totalsRowDxfId="5" dataCellStyle="Currency"/>
    <tableColumn id="7" name="Account Payable_x000a_ Balance" totalsRowFunction="sum" dataDxfId="150" totalsRowDxfId="4" dataCellStyle="Currency"/>
    <tableColumn id="8" name="Established_x000a_Account Receivable" totalsRowFunction="sum" dataDxfId="149" totalsRowDxfId="3" dataCellStyle="Currency"/>
    <tableColumn id="9" name="Less: Recovered Amount" totalsRowFunction="sum" dataDxfId="148" totalsRowDxfId="2" dataCellStyle="Currency"/>
    <tableColumn id="10" name="Account Receivable_x000a_Balance" totalsRowFunction="sum" dataDxfId="147" totalsRowDxfId="1" dataCellStyle="Currency"/>
    <tableColumn id="11" name="Net_x000a_Balance" totalsRowFunction="sum" dataDxfId="146" totalsRowDxfId="0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B2: Detail of Unfunded State-Mandated Programs. As of August 31, 2024. Local Agencies."/>
    </ext>
  </extLst>
</table>
</file>

<file path=xl/tables/table26.xml><?xml version="1.0" encoding="utf-8"?>
<table xmlns="http://schemas.openxmlformats.org/spreadsheetml/2006/main" id="20" name="schedulec" displayName="schedulec" ref="A2:L4" totalsRowCount="1" headerRowDxfId="145" headerRowBorderDxfId="144" tableBorderDxfId="143" totalsRowBorderDxfId="142">
  <autoFilter ref="A2:L3"/>
  <tableColumns count="12">
    <tableColumn id="1" name="Number" totalsRowLabel="Total Outstanding Incorrect Reduction Claims Filed with Commission on State Mandates" totalsRowDxfId="141"/>
    <tableColumn id="2" name="Revised_x000a_(R)" totalsRowLabel="N/A" totalsRowDxfId="140"/>
    <tableColumn id="3" name="File_x000a_Number" totalsRowLabel="N/A" totalsRowDxfId="139"/>
    <tableColumn id="4" name="Filing_x000a_Date" totalsRowLabel="N/A" totalsRowDxfId="138"/>
    <tableColumn id="5" name="Date Comments Filed" totalsRowLabel="N/A" totalsRowDxfId="137"/>
    <tableColumn id="6" name="Record Closed" totalsRowLabel="N/A" totalsRowDxfId="136"/>
    <tableColumn id="7" name="Claimant" totalsRowLabel="N/A" totalsRowDxfId="135"/>
    <tableColumn id="8" name="Fiscal_x000a_Year(s)" totalsRowLabel="N/A" totalsRowDxfId="134"/>
    <tableColumn id="9" name="Amount_x000a_of Claim" totalsRowFunction="sum" dataDxfId="133" totalsRowDxfId="132">
      <calculatedColumnFormula>SUM(I2:I2)</calculatedColumnFormula>
    </tableColumn>
    <tableColumn id="10" name="Name" totalsRowLabel="N/A" totalsRowDxfId="131"/>
    <tableColumn id="11" name="Type" totalsRowLabel="N/A" totalsRowDxfId="130"/>
    <tableColumn id="12" name="Tentative Hearing Date" totalsRowLabel="N/A" totalsRowDxfId="129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C: Outstanding Incorrect Reduction Claims_x000d__x000a_Filed with the Commission on State Mandates_x000d__x000a_As of August 31, 2024"/>
    </ext>
  </extLst>
</table>
</file>

<file path=xl/tables/table3.xml><?xml version="1.0" encoding="utf-8"?>
<table xmlns="http://schemas.openxmlformats.org/spreadsheetml/2006/main" id="3" name="pestnongeneralfund" displayName="pestnongeneralfund" ref="A19:M24" totalsRowCount="1" dataDxfId="621" totalsRowDxfId="619" headerRowBorderDxfId="622" tableBorderDxfId="620" totalsRowBorderDxfId="618" dataCellStyle="Currency">
  <autoFilter ref="A19:M23"/>
  <tableColumns count="13">
    <tableColumn id="1" name="Program Category_x000a_ and Fund" totalsRowLabel="Total Pesticide Regulation-Non-General Fund" totalsRowDxfId="617"/>
    <tableColumn id="2" name="Appropriation_x000a_Number" totalsRowLabel=" N/A " totalsRowDxfId="616"/>
    <tableColumn id="3" name="Legal_x000a_Reference_x000a_(Ch./Year)" totalsRowLabel=" N/A " totalsRowDxfId="615"/>
    <tableColumn id="4" name="Fiscal Year of_x000a_Claims Paid" totalsRowLabel=" N/A " totalsRowDxfId="614" dataCellStyle="Currency"/>
    <tableColumn id="5" name="Reversion Date" totalsRowLabel=" N/A " totalsRowDxfId="613"/>
    <tableColumn id="6" name="Original_x000a_Appropriation_x000a_Amount" totalsRowFunction="sum" totalsRowDxfId="612" dataCellStyle="Currency"/>
    <tableColumn id="7" name="Appropriation Balances1" totalsRowFunction="sum" totalsRowDxfId="611" dataCellStyle="Currency"/>
    <tableColumn id="13" name="Comment1" totalsRowLabel=" N/A " totalsRowDxfId="610" dataCellStyle="Currency"/>
    <tableColumn id="8" name="Budget_x000a_Adjustments" totalsRowFunction="sum" totalsRowDxfId="609" dataCellStyle="Currency"/>
    <tableColumn id="9" name="Add: Receipts_x000a_and Recovered Amounts" totalsRowFunction="sum" totalsRowDxfId="608" dataCellStyle="Currency"/>
    <tableColumn id="10" name="Less: Mandated Program Payments, Offsets,_x000a_and Interest_x000a_(see Schedule A1)" totalsRowFunction="sum" totalsRowDxfId="607" dataCellStyle="Currency"/>
    <tableColumn id="11" name="Less: Appropriations for Reversion" totalsRowFunction="sum" dataDxfId="606" totalsRowDxfId="605" dataCellStyle="Currency"/>
    <tableColumn id="12" name="Appropriation Balances_x000a_as of 8/31/2024" totalsRowFunction="sum" totalsRowDxfId="604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: Summary of State-Mandated Program Appropriations, Receipts, and Payments. As of August 31, 2024. For Pesticide Regulation-Non General Fund."/>
    </ext>
  </extLst>
</table>
</file>

<file path=xl/tables/table4.xml><?xml version="1.0" encoding="utf-8"?>
<table xmlns="http://schemas.openxmlformats.org/spreadsheetml/2006/main" id="4" name="sdgeneralfund" displayName="sdgeneralfund" ref="A26:M31" totalsRowCount="1" dataDxfId="602" headerRowBorderDxfId="603" tableBorderDxfId="601" totalsRowBorderDxfId="600" dataCellStyle="Currency">
  <autoFilter ref="A26:M30"/>
  <tableColumns count="13">
    <tableColumn id="1" name="Program Category_x000a_ and Fund" totalsRowLabel="Total School Districts-General Fund" dataDxfId="599" totalsRowDxfId="598"/>
    <tableColumn id="2" name="Appropriation_x000a_Number" totalsRowLabel=" N/A " dataDxfId="597" totalsRowDxfId="596"/>
    <tableColumn id="3" name="Legal_x000a_Reference_x000a_(Ch./Year)" totalsRowLabel=" N/A " dataDxfId="595" totalsRowDxfId="594"/>
    <tableColumn id="4" name="Fiscal Year of_x000a_Claims Paid" totalsRowLabel=" N/A " dataDxfId="593" totalsRowDxfId="592" dataCellStyle="Currency"/>
    <tableColumn id="5" name="Reversion Date" totalsRowLabel=" N/A " dataDxfId="591" totalsRowDxfId="590"/>
    <tableColumn id="6" name="Original_x000a_Appropriation_x000a_Amount" totalsRowFunction="sum" dataDxfId="589" totalsRowDxfId="588" dataCellStyle="Currency"/>
    <tableColumn id="7" name="Appropriation Balances1" totalsRowFunction="sum" dataDxfId="587" totalsRowDxfId="586" dataCellStyle="Currency"/>
    <tableColumn id="13" name="Comment1" totalsRowLabel=" N/A " dataDxfId="585" totalsRowDxfId="584" dataCellStyle="Currency"/>
    <tableColumn id="8" name="Budget_x000a_Adjustments" totalsRowFunction="sum" dataDxfId="583" totalsRowDxfId="582" dataCellStyle="Currency"/>
    <tableColumn id="9" name="Add: Receipts_x000a_and Recovered Amounts" totalsRowFunction="sum" dataDxfId="581" totalsRowDxfId="580" dataCellStyle="Currency"/>
    <tableColumn id="10" name="Less: Mandated Program Payments, Offsets,_x000a_and Interest_x000a_(see Schedule A1)" totalsRowFunction="sum" dataDxfId="579" totalsRowDxfId="578" dataCellStyle="Currency"/>
    <tableColumn id="11" name="Less: Appropriations for Reversion" totalsRowFunction="sum" dataDxfId="577" totalsRowDxfId="576" dataCellStyle="Currency"/>
    <tableColumn id="12" name="Appropriation Balances_x000a_as of 8/31/2024" totalsRowFunction="sum" dataDxfId="575" totalsRowDxfId="574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: Summary of State-Mandated Program Appropriations, Receipts, and Payments. As of August 31, 2024. For School Districts-General Fund."/>
    </ext>
  </extLst>
</table>
</file>

<file path=xl/tables/table5.xml><?xml version="1.0" encoding="utf-8"?>
<table xmlns="http://schemas.openxmlformats.org/spreadsheetml/2006/main" id="5" name="grandtotala" displayName="grandtotala" ref="A40:M46" totalsRowCount="1" dataDxfId="572" headerRowBorderDxfId="573" tableBorderDxfId="571" totalsRowBorderDxfId="570">
  <autoFilter ref="A40:M45"/>
  <tableColumns count="13">
    <tableColumn id="1" name="Program Category_x000a_ and Fund" totalsRowLabel="Grand Total" dataDxfId="569" totalsRowDxfId="568"/>
    <tableColumn id="2" name="Appropriation_x000a_Number" totalsRowLabel="N/A" dataDxfId="567" totalsRowDxfId="566" dataCellStyle="Currency"/>
    <tableColumn id="3" name="Legal_x000a_Reference_x000a_(Ch./Year)" totalsRowLabel="N/A" dataDxfId="565" totalsRowDxfId="564" dataCellStyle="Currency"/>
    <tableColumn id="4" name="Fiscal Year of_x000a_Claims Paid" totalsRowLabel="N/A" dataDxfId="563" totalsRowDxfId="562" dataCellStyle="Currency"/>
    <tableColumn id="5" name="Reversion Date" totalsRowLabel="N/A" dataDxfId="561" totalsRowDxfId="560" dataCellStyle="Currency"/>
    <tableColumn id="6" name="Original_x000a_Appropriation_x000a_Amount" totalsRowFunction="sum" dataDxfId="559" totalsRowDxfId="558"/>
    <tableColumn id="7" name="Appropriation Balances1" totalsRowFunction="sum" dataDxfId="557" totalsRowDxfId="556"/>
    <tableColumn id="13" name="Comment1" totalsRowLabel="N/A" dataDxfId="555" totalsRowDxfId="554"/>
    <tableColumn id="8" name="Budget_x000a_Adjustments" totalsRowFunction="sum" dataDxfId="553" totalsRowDxfId="552"/>
    <tableColumn id="9" name="Add: Receipts_x000a_and Recovered Amounts" totalsRowFunction="sum" dataDxfId="551" totalsRowDxfId="550"/>
    <tableColumn id="10" name="Less: Mandated Program Payments, Offsets,_x000a_and Interest_x000a_(see Schedule A1)" totalsRowFunction="sum" dataDxfId="549" totalsRowDxfId="548"/>
    <tableColumn id="11" name="Less: Appropriations for Reversion" totalsRowFunction="sum" dataDxfId="547" totalsRowDxfId="546"/>
    <tableColumn id="12" name="Appropriation Balances_x000a_as of 8/31/2024" totalsRowFunction="sum" dataDxfId="545" totalsRowDxfId="544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: Summary of State-Mandated Program Appropriations, Receipts, and Payments. As of August 31, 2024. Grand total for all."/>
    </ext>
  </extLst>
</table>
</file>

<file path=xl/tables/table6.xml><?xml version="1.0" encoding="utf-8"?>
<table xmlns="http://schemas.openxmlformats.org/spreadsheetml/2006/main" id="6" name="ccdgeneralfund" displayName="ccdgeneralfund" ref="A33:M38" totalsRowCount="1" dataDxfId="542" headerRowBorderDxfId="543" tableBorderDxfId="541" totalsRowBorderDxfId="540" dataCellStyle="Currency">
  <autoFilter ref="A33:M37"/>
  <tableColumns count="13">
    <tableColumn id="1" name="Program Category_x000a_ and Fund" totalsRowLabel="Total Community College Districts-General Fund" dataDxfId="539" totalsRowDxfId="538"/>
    <tableColumn id="2" name="Appropriation_x000a_Number" totalsRowLabel=" N/A " dataDxfId="537" totalsRowDxfId="536"/>
    <tableColumn id="3" name="Legal_x000a_Reference_x000a_(Ch./Year)" totalsRowLabel=" N/A " dataDxfId="535" totalsRowDxfId="534"/>
    <tableColumn id="4" name="Fiscal Year of_x000a_Claims Paid" totalsRowLabel=" N/A " dataDxfId="533" totalsRowDxfId="532" dataCellStyle="Currency"/>
    <tableColumn id="5" name="Reversion Date" totalsRowLabel=" N/A " dataDxfId="531" totalsRowDxfId="530"/>
    <tableColumn id="6" name="Original_x000a_Appropriation_x000a_Amount" totalsRowFunction="sum" dataDxfId="529" totalsRowDxfId="528" dataCellStyle="Currency"/>
    <tableColumn id="7" name="Appropriation Balances1" totalsRowFunction="sum" dataDxfId="527" totalsRowDxfId="526" dataCellStyle="Currency"/>
    <tableColumn id="13" name="Comment1" totalsRowLabel=" N/A " dataDxfId="525" totalsRowDxfId="524" dataCellStyle="Currency"/>
    <tableColumn id="8" name="Budget_x000a_Adjustments" totalsRowFunction="sum" dataDxfId="523" totalsRowDxfId="522" dataCellStyle="Currency"/>
    <tableColumn id="9" name="Add: Receipts_x000a_and Recovered Amounts" totalsRowFunction="sum" dataDxfId="521" totalsRowDxfId="520" dataCellStyle="Currency"/>
    <tableColumn id="10" name="Less: Mandated Program Payments, Offsets,_x000a_and Interest_x000a_(see Schedule A1)" totalsRowFunction="sum" dataDxfId="519" totalsRowDxfId="518" dataCellStyle="Currency"/>
    <tableColumn id="11" name="Less: Appropriations for Reversion" totalsRowFunction="sum" dataDxfId="517" totalsRowDxfId="516" dataCellStyle="Currency"/>
    <tableColumn id="12" name="Appropriation Balances_x000a_as of 8/31/2024" totalsRowFunction="sum" dataDxfId="515" totalsRowDxfId="514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: Summary of State-Mandated Program Appropriations, Receipts, and Payments. As of August 31, 2024. For Community College Districts-General Fund."/>
    </ext>
  </extLst>
</table>
</file>

<file path=xl/tables/table7.xml><?xml version="1.0" encoding="utf-8"?>
<table xmlns="http://schemas.openxmlformats.org/spreadsheetml/2006/main" id="7" name="localannualclaims23" displayName="localannualclaims23" ref="A2:I51" totalsRowCount="1" headerRowDxfId="513" totalsRowDxfId="510" headerRowBorderDxfId="512" tableBorderDxfId="511" totalsRowBorderDxfId="509" headerRowCellStyle="Currency">
  <autoFilter ref="A2:I50"/>
  <tableColumns count="9">
    <tableColumn id="1" name="Program Category_x000a_and Type of Payment" totalsRowLabel="0001-8885-2024-295-98 Total" dataDxfId="508" totalsRowDxfId="507"/>
    <tableColumn id="2" name="Fiscal_x000a_Year" totalsRowLabel="N/A" dataDxfId="506" totalsRowDxfId="505"/>
    <tableColumn id="3" name="Appropriation _x000a_Number" totalsRowLabel="N/A" dataDxfId="504" totalsRowDxfId="503"/>
    <tableColumn id="4" name="Program_x000a_Name" totalsRowLabel="N/A" dataDxfId="502" totalsRowDxfId="501"/>
    <tableColumn id="5" name="Legal_x000a_Reference_x000a_(Ch./Year)" totalsRowLabel="N/A" dataDxfId="500" totalsRowDxfId="499"/>
    <tableColumn id="6" name="Program_x000a_Number" totalsRowLabel="N/A" dataDxfId="498" totalsRowDxfId="497"/>
    <tableColumn id="7" name="Program Payments and Offsets" totalsRowFunction="sum" dataDxfId="496" totalsRowDxfId="495" dataCellStyle="Currency"/>
    <tableColumn id="8" name="Interest_x000a_Payments and Offsets" totalsRowFunction="sum" dataDxfId="494" totalsRowDxfId="493" dataCellStyle="Currency"/>
    <tableColumn id="9" name="Total_x000a_Payments" totalsRowFunction="sum" dataDxfId="492" totalsRowDxfId="491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1: Detail of State-Mandated Program Payments by Fiscal Year. As of August 31, 2024. Local Agencies-Annual Claim."/>
    </ext>
  </extLst>
</table>
</file>

<file path=xl/tables/table8.xml><?xml version="1.0" encoding="utf-8"?>
<table xmlns="http://schemas.openxmlformats.org/spreadsheetml/2006/main" id="8" name="localannualclaims22" displayName="localannualclaims22" ref="A53:I65" totalsRowCount="1" headerRowDxfId="490" dataDxfId="488" totalsRowDxfId="486" headerRowBorderDxfId="489" tableBorderDxfId="487" totalsRowBorderDxfId="485" headerRowCellStyle="Currency" dataCellStyle="Currency">
  <autoFilter ref="A53:I64"/>
  <tableColumns count="9">
    <tableColumn id="1" name="Program Category_x000a_and Type of Payment" totalsRowLabel="0001-8885-2023-295-98 Total" dataDxfId="484" totalsRowDxfId="483"/>
    <tableColumn id="2" name="Fiscal_x000a_Year" totalsRowLabel="N/A" dataDxfId="482" totalsRowDxfId="481"/>
    <tableColumn id="3" name="Appropriation _x000a_Number" totalsRowLabel="N/A" dataDxfId="480" totalsRowDxfId="479"/>
    <tableColumn id="4" name="Program_x000a_Name" totalsRowLabel="N/A" totalsRowDxfId="478"/>
    <tableColumn id="5" name="Legal_x000a_Reference_x000a_(Ch./Year)" totalsRowLabel="N/A" totalsRowDxfId="477"/>
    <tableColumn id="6" name="Program_x000a_Number" totalsRowLabel="N/A" dataDxfId="476" totalsRowDxfId="475"/>
    <tableColumn id="7" name="Program Payments and Offsets" totalsRowFunction="sum" dataDxfId="474" totalsRowDxfId="473" dataCellStyle="Currency"/>
    <tableColumn id="8" name="Interest_x000a_Payments and Offsets" totalsRowFunction="sum" dataDxfId="472" totalsRowDxfId="471" dataCellStyle="Currency"/>
    <tableColumn id="9" name="Total_x000a_Payments" totalsRowFunction="sum" dataDxfId="470" totalsRowDxfId="469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1: Detail of State-Mandated Program Payments by Fiscal Year. As of August 31, 2024. Local Agencies-Annual Claim."/>
    </ext>
  </extLst>
</table>
</file>

<file path=xl/tables/table9.xml><?xml version="1.0" encoding="utf-8"?>
<table xmlns="http://schemas.openxmlformats.org/spreadsheetml/2006/main" id="9" name="localannualclaims21" displayName="localannualclaims21" ref="A67:I80" totalsRowCount="1" headerRowDxfId="468" dataDxfId="466" totalsRowDxfId="464" headerRowBorderDxfId="467" tableBorderDxfId="465" totalsRowBorderDxfId="463" headerRowCellStyle="Currency" dataCellStyle="Currency">
  <autoFilter ref="A67:I79"/>
  <tableColumns count="9">
    <tableColumn id="1" name="Program Category_x000a_and Type of Payment" totalsRowLabel="0001-8885-2022-295-98 Total" dataDxfId="462" totalsRowDxfId="461"/>
    <tableColumn id="2" name="Fiscal_x000a_Year" totalsRowLabel="N/A" dataDxfId="460" totalsRowDxfId="459"/>
    <tableColumn id="3" name="Appropriation _x000a_Number" totalsRowLabel="N/A" dataDxfId="458" totalsRowDxfId="457"/>
    <tableColumn id="4" name="Program_x000a_Name" totalsRowLabel="N/A" dataDxfId="456" totalsRowDxfId="455"/>
    <tableColumn id="5" name="Legal_x000a_Reference_x000a_(Ch./Year)" totalsRowLabel="N/A" dataDxfId="454" totalsRowDxfId="453"/>
    <tableColumn id="6" name="Program_x000a_Number" totalsRowLabel="N/A" dataDxfId="452" totalsRowDxfId="451"/>
    <tableColumn id="7" name="Program Payments and Offsets" totalsRowFunction="sum" dataDxfId="450" totalsRowDxfId="449" dataCellStyle="Currency"/>
    <tableColumn id="8" name="Interest_x000a_Payments and Offsets" totalsRowFunction="sum" dataDxfId="448" totalsRowDxfId="447" dataCellStyle="Currency"/>
    <tableColumn id="9" name="Total_x000a_Payments" totalsRowFunction="sum" dataDxfId="446" totalsRowDxfId="445" dataCellStyle="Currency"/>
  </tableColumns>
  <tableStyleInfo name="Table Style 1" showFirstColumn="0" showLastColumn="0" showRowStripes="1" showColumnStripes="0"/>
  <extLst>
    <ext xmlns:x14="http://schemas.microsoft.com/office/spreadsheetml/2009/9/main" uri="{504A1905-F514-4f6f-8877-14C23A59335A}">
      <x14:table altText="2024 AB 3000 Report" altTextSummary="Schedule A1: Detail of State-Mandated Program Payments by Fiscal Year. As of August 31, 2024. Local Agencies-Annual Claim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.xml"/><Relationship Id="rId3" Type="http://schemas.openxmlformats.org/officeDocument/2006/relationships/table" Target="../tables/table16.xml"/><Relationship Id="rId7" Type="http://schemas.openxmlformats.org/officeDocument/2006/relationships/table" Target="../tables/table20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9.xml"/><Relationship Id="rId5" Type="http://schemas.openxmlformats.org/officeDocument/2006/relationships/table" Target="../tables/table18.xml"/><Relationship Id="rId4" Type="http://schemas.openxmlformats.org/officeDocument/2006/relationships/table" Target="../tables/table17.xml"/><Relationship Id="rId9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tabSelected="1" workbookViewId="0"/>
  </sheetViews>
  <sheetFormatPr defaultRowHeight="15" x14ac:dyDescent="0.25"/>
  <cols>
    <col min="1" max="1" width="126.7109375" customWidth="1"/>
  </cols>
  <sheetData>
    <row r="1" spans="1:1" ht="30" x14ac:dyDescent="0.25">
      <c r="A1" s="222" t="s">
        <v>527</v>
      </c>
    </row>
    <row r="2" spans="1:1" ht="45" x14ac:dyDescent="0.25">
      <c r="A2" s="223" t="s">
        <v>528</v>
      </c>
    </row>
    <row r="3" spans="1:1" ht="45" x14ac:dyDescent="0.25">
      <c r="A3" s="223" t="s">
        <v>529</v>
      </c>
    </row>
    <row r="4" spans="1:1" ht="45" x14ac:dyDescent="0.25">
      <c r="A4" s="223" t="s">
        <v>530</v>
      </c>
    </row>
    <row r="5" spans="1:1" ht="30" x14ac:dyDescent="0.25">
      <c r="A5" s="222" t="s">
        <v>531</v>
      </c>
    </row>
    <row r="6" spans="1:1" ht="30" x14ac:dyDescent="0.25">
      <c r="A6" s="222" t="s">
        <v>535</v>
      </c>
    </row>
    <row r="7" spans="1:1" x14ac:dyDescent="0.25">
      <c r="A7" s="224" t="s">
        <v>480</v>
      </c>
    </row>
    <row r="8" spans="1:1" x14ac:dyDescent="0.25">
      <c r="A8" s="224" t="s">
        <v>480</v>
      </c>
    </row>
    <row r="9" spans="1:1" x14ac:dyDescent="0.25">
      <c r="A9" s="224" t="s">
        <v>480</v>
      </c>
    </row>
    <row r="10" spans="1:1" x14ac:dyDescent="0.25">
      <c r="A10" s="224" t="s">
        <v>480</v>
      </c>
    </row>
    <row r="11" spans="1:1" x14ac:dyDescent="0.25">
      <c r="A11" s="224" t="s">
        <v>480</v>
      </c>
    </row>
    <row r="12" spans="1:1" x14ac:dyDescent="0.25">
      <c r="A12" s="224" t="s">
        <v>480</v>
      </c>
    </row>
    <row r="13" spans="1:1" x14ac:dyDescent="0.25">
      <c r="A13" s="224" t="s">
        <v>480</v>
      </c>
    </row>
    <row r="14" spans="1:1" x14ac:dyDescent="0.25">
      <c r="A14" s="224" t="s">
        <v>480</v>
      </c>
    </row>
    <row r="15" spans="1:1" x14ac:dyDescent="0.25">
      <c r="A15" s="224" t="s">
        <v>480</v>
      </c>
    </row>
    <row r="16" spans="1:1" x14ac:dyDescent="0.25">
      <c r="A16" s="224" t="s">
        <v>480</v>
      </c>
    </row>
    <row r="17" spans="1:1" x14ac:dyDescent="0.25">
      <c r="A17" s="224" t="s">
        <v>480</v>
      </c>
    </row>
    <row r="18" spans="1:1" x14ac:dyDescent="0.25">
      <c r="A18" s="224" t="s">
        <v>480</v>
      </c>
    </row>
    <row r="19" spans="1:1" x14ac:dyDescent="0.25">
      <c r="A19" s="224" t="s">
        <v>480</v>
      </c>
    </row>
    <row r="20" spans="1:1" x14ac:dyDescent="0.25">
      <c r="A20" s="224" t="s">
        <v>480</v>
      </c>
    </row>
    <row r="21" spans="1:1" x14ac:dyDescent="0.25">
      <c r="A21" s="224" t="s">
        <v>480</v>
      </c>
    </row>
    <row r="22" spans="1:1" x14ac:dyDescent="0.25">
      <c r="A22" s="224" t="s">
        <v>480</v>
      </c>
    </row>
    <row r="23" spans="1:1" x14ac:dyDescent="0.25">
      <c r="A23" s="224" t="s">
        <v>480</v>
      </c>
    </row>
    <row r="24" spans="1:1" x14ac:dyDescent="0.25">
      <c r="A24" s="224" t="s">
        <v>480</v>
      </c>
    </row>
    <row r="25" spans="1:1" ht="15.75" x14ac:dyDescent="0.25">
      <c r="A25" s="225" t="s">
        <v>532</v>
      </c>
    </row>
    <row r="26" spans="1:1" ht="41.25" x14ac:dyDescent="0.25">
      <c r="A26" s="226" t="s">
        <v>533</v>
      </c>
    </row>
    <row r="27" spans="1:1" ht="30" x14ac:dyDescent="0.25">
      <c r="A27" s="222" t="s">
        <v>534</v>
      </c>
    </row>
  </sheetData>
  <pageMargins left="0.7" right="0.7" top="1" bottom="0.75" header="0.3" footer="0.3"/>
  <pageSetup scale="78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L190"/>
  <sheetViews>
    <sheetView topLeftCell="A173" zoomScale="80" zoomScaleNormal="80" zoomScalePageLayoutView="55" workbookViewId="0">
      <selection activeCell="C197" sqref="C197"/>
    </sheetView>
  </sheetViews>
  <sheetFormatPr defaultColWidth="9.140625" defaultRowHeight="15" x14ac:dyDescent="0.25"/>
  <cols>
    <col min="1" max="1" width="53" style="9" customWidth="1"/>
    <col min="2" max="2" width="17.7109375" style="10" customWidth="1"/>
    <col min="3" max="3" width="14.7109375" style="11" customWidth="1"/>
    <col min="4" max="4" width="12.7109375" style="10" customWidth="1"/>
    <col min="5" max="5" width="18.140625" style="12" customWidth="1"/>
    <col min="6" max="6" width="23.7109375" style="13" customWidth="1"/>
    <col min="7" max="7" width="24.7109375" style="12" customWidth="1"/>
    <col min="8" max="8" width="18.5703125" style="13" customWidth="1"/>
    <col min="9" max="9" width="24.140625" style="13" customWidth="1"/>
    <col min="10" max="10" width="22.42578125" style="12" customWidth="1"/>
    <col min="11" max="11" width="23.28515625" style="13" customWidth="1"/>
    <col min="12" max="16384" width="9.140625" style="37"/>
  </cols>
  <sheetData>
    <row r="1" spans="1:12" s="159" customFormat="1" ht="54" x14ac:dyDescent="0.25">
      <c r="A1" s="160" t="s">
        <v>502</v>
      </c>
      <c r="B1" s="178"/>
      <c r="C1" s="162"/>
      <c r="D1" s="162"/>
      <c r="E1" s="162"/>
      <c r="F1" s="172"/>
      <c r="G1" s="172"/>
      <c r="H1" s="172"/>
      <c r="I1" s="172"/>
      <c r="J1" s="172"/>
      <c r="K1" s="174"/>
      <c r="L1" s="158"/>
    </row>
    <row r="2" spans="1:12" ht="47.25" x14ac:dyDescent="0.25">
      <c r="A2" s="120" t="s">
        <v>10</v>
      </c>
      <c r="B2" s="120" t="s">
        <v>0</v>
      </c>
      <c r="C2" s="120" t="s">
        <v>48</v>
      </c>
      <c r="D2" s="120" t="s">
        <v>511</v>
      </c>
      <c r="E2" s="153" t="s">
        <v>43</v>
      </c>
      <c r="F2" s="120" t="s">
        <v>147</v>
      </c>
      <c r="G2" s="153" t="s">
        <v>495</v>
      </c>
      <c r="H2" s="153" t="s">
        <v>496</v>
      </c>
      <c r="I2" s="153" t="s">
        <v>50</v>
      </c>
      <c r="J2" s="153" t="s">
        <v>497</v>
      </c>
      <c r="K2" s="153" t="s">
        <v>49</v>
      </c>
    </row>
    <row r="3" spans="1:12" ht="15.75" x14ac:dyDescent="0.25">
      <c r="A3" s="140" t="s">
        <v>148</v>
      </c>
      <c r="B3" s="139" t="s">
        <v>149</v>
      </c>
      <c r="C3" s="139">
        <v>288</v>
      </c>
      <c r="D3" s="139" t="s">
        <v>143</v>
      </c>
      <c r="E3" s="261">
        <v>130288</v>
      </c>
      <c r="F3" s="152">
        <v>0</v>
      </c>
      <c r="G3" s="261">
        <f>E3-F3</f>
        <v>130288</v>
      </c>
      <c r="H3" s="152">
        <v>0</v>
      </c>
      <c r="I3" s="152">
        <v>0</v>
      </c>
      <c r="J3" s="152">
        <f>H3-I3</f>
        <v>0</v>
      </c>
      <c r="K3" s="261">
        <f>G3-J3</f>
        <v>130288</v>
      </c>
    </row>
    <row r="4" spans="1:12" ht="15.75" x14ac:dyDescent="0.25">
      <c r="A4" s="140" t="s">
        <v>148</v>
      </c>
      <c r="B4" s="139" t="s">
        <v>149</v>
      </c>
      <c r="C4" s="139">
        <v>288</v>
      </c>
      <c r="D4" s="139" t="s">
        <v>146</v>
      </c>
      <c r="E4" s="261">
        <v>85888</v>
      </c>
      <c r="F4" s="152">
        <v>0</v>
      </c>
      <c r="G4" s="261">
        <f>E4-F4</f>
        <v>85888</v>
      </c>
      <c r="H4" s="152">
        <v>0</v>
      </c>
      <c r="I4" s="152">
        <v>0</v>
      </c>
      <c r="J4" s="152">
        <f t="shared" ref="J4:J89" si="0">H4-I4</f>
        <v>0</v>
      </c>
      <c r="K4" s="261">
        <f t="shared" ref="K4:K89" si="1">G4-J4</f>
        <v>85888</v>
      </c>
    </row>
    <row r="5" spans="1:12" ht="15.75" customHeight="1" x14ac:dyDescent="0.25">
      <c r="A5" s="145" t="s">
        <v>460</v>
      </c>
      <c r="B5" s="146" t="s">
        <v>183</v>
      </c>
      <c r="C5" s="146">
        <v>382</v>
      </c>
      <c r="D5" s="146" t="s">
        <v>38</v>
      </c>
      <c r="E5" s="264">
        <v>46087</v>
      </c>
      <c r="F5" s="154">
        <v>0</v>
      </c>
      <c r="G5" s="264">
        <v>46087</v>
      </c>
      <c r="H5" s="154">
        <v>0</v>
      </c>
      <c r="I5" s="154">
        <v>0</v>
      </c>
      <c r="J5" s="154">
        <v>0</v>
      </c>
      <c r="K5" s="264">
        <v>46087</v>
      </c>
    </row>
    <row r="6" spans="1:12" ht="30.75" x14ac:dyDescent="0.25">
      <c r="A6" s="145" t="s">
        <v>460</v>
      </c>
      <c r="B6" s="146" t="s">
        <v>183</v>
      </c>
      <c r="C6" s="146">
        <v>382</v>
      </c>
      <c r="D6" s="146" t="s">
        <v>53</v>
      </c>
      <c r="E6" s="264">
        <v>51489</v>
      </c>
      <c r="F6" s="154">
        <v>0</v>
      </c>
      <c r="G6" s="264">
        <v>51489</v>
      </c>
      <c r="H6" s="154">
        <v>0</v>
      </c>
      <c r="I6" s="154">
        <v>0</v>
      </c>
      <c r="J6" s="154">
        <v>0</v>
      </c>
      <c r="K6" s="264">
        <v>51489</v>
      </c>
    </row>
    <row r="7" spans="1:12" ht="30.75" x14ac:dyDescent="0.25">
      <c r="A7" s="145" t="s">
        <v>460</v>
      </c>
      <c r="B7" s="146" t="s">
        <v>183</v>
      </c>
      <c r="C7" s="146">
        <v>382</v>
      </c>
      <c r="D7" s="146" t="s">
        <v>54</v>
      </c>
      <c r="E7" s="264">
        <v>101137</v>
      </c>
      <c r="F7" s="154">
        <v>0</v>
      </c>
      <c r="G7" s="264">
        <v>101137</v>
      </c>
      <c r="H7" s="154">
        <v>0</v>
      </c>
      <c r="I7" s="154">
        <v>0</v>
      </c>
      <c r="J7" s="154">
        <v>0</v>
      </c>
      <c r="K7" s="264">
        <v>101137</v>
      </c>
    </row>
    <row r="8" spans="1:12" ht="30.75" x14ac:dyDescent="0.25">
      <c r="A8" s="145" t="s">
        <v>460</v>
      </c>
      <c r="B8" s="146" t="s">
        <v>183</v>
      </c>
      <c r="C8" s="146">
        <v>382</v>
      </c>
      <c r="D8" s="146" t="s">
        <v>55</v>
      </c>
      <c r="E8" s="264">
        <v>63592</v>
      </c>
      <c r="F8" s="154">
        <v>0</v>
      </c>
      <c r="G8" s="264">
        <v>63592</v>
      </c>
      <c r="H8" s="154">
        <v>0</v>
      </c>
      <c r="I8" s="154">
        <v>0</v>
      </c>
      <c r="J8" s="154">
        <v>0</v>
      </c>
      <c r="K8" s="264">
        <v>63592</v>
      </c>
    </row>
    <row r="9" spans="1:12" ht="30.75" x14ac:dyDescent="0.25">
      <c r="A9" s="145" t="s">
        <v>460</v>
      </c>
      <c r="B9" s="146" t="s">
        <v>183</v>
      </c>
      <c r="C9" s="146">
        <v>382</v>
      </c>
      <c r="D9" s="146" t="s">
        <v>58</v>
      </c>
      <c r="E9" s="264">
        <v>62475</v>
      </c>
      <c r="F9" s="154">
        <v>0</v>
      </c>
      <c r="G9" s="264">
        <v>62475</v>
      </c>
      <c r="H9" s="154">
        <v>0</v>
      </c>
      <c r="I9" s="154">
        <v>0</v>
      </c>
      <c r="J9" s="154">
        <v>0</v>
      </c>
      <c r="K9" s="264">
        <v>62475</v>
      </c>
    </row>
    <row r="10" spans="1:12" ht="30.75" x14ac:dyDescent="0.25">
      <c r="A10" s="145" t="s">
        <v>460</v>
      </c>
      <c r="B10" s="146" t="s">
        <v>183</v>
      </c>
      <c r="C10" s="146">
        <v>382</v>
      </c>
      <c r="D10" s="146" t="s">
        <v>37</v>
      </c>
      <c r="E10" s="264">
        <v>27092</v>
      </c>
      <c r="F10" s="154">
        <v>0</v>
      </c>
      <c r="G10" s="264">
        <v>27092</v>
      </c>
      <c r="H10" s="154">
        <v>0</v>
      </c>
      <c r="I10" s="154">
        <v>0</v>
      </c>
      <c r="J10" s="154">
        <v>0</v>
      </c>
      <c r="K10" s="264">
        <v>27092</v>
      </c>
    </row>
    <row r="11" spans="1:12" ht="15.75" customHeight="1" x14ac:dyDescent="0.25">
      <c r="A11" s="145" t="s">
        <v>372</v>
      </c>
      <c r="B11" s="146" t="s">
        <v>183</v>
      </c>
      <c r="C11" s="146">
        <v>383</v>
      </c>
      <c r="D11" s="146" t="s">
        <v>3</v>
      </c>
      <c r="E11" s="264">
        <v>3521</v>
      </c>
      <c r="F11" s="154">
        <v>0</v>
      </c>
      <c r="G11" s="264">
        <v>3521</v>
      </c>
      <c r="H11" s="154">
        <v>0</v>
      </c>
      <c r="I11" s="154">
        <v>0</v>
      </c>
      <c r="J11" s="154">
        <v>0</v>
      </c>
      <c r="K11" s="264">
        <v>3521</v>
      </c>
    </row>
    <row r="12" spans="1:12" ht="30.75" x14ac:dyDescent="0.25">
      <c r="A12" s="145" t="s">
        <v>372</v>
      </c>
      <c r="B12" s="146" t="s">
        <v>183</v>
      </c>
      <c r="C12" s="146">
        <v>383</v>
      </c>
      <c r="D12" s="146" t="s">
        <v>24</v>
      </c>
      <c r="E12" s="264">
        <v>4727</v>
      </c>
      <c r="F12" s="154">
        <v>0</v>
      </c>
      <c r="G12" s="264">
        <v>4727</v>
      </c>
      <c r="H12" s="154">
        <v>0</v>
      </c>
      <c r="I12" s="154">
        <v>0</v>
      </c>
      <c r="J12" s="154">
        <v>0</v>
      </c>
      <c r="K12" s="264">
        <v>4727</v>
      </c>
    </row>
    <row r="13" spans="1:12" ht="30.75" x14ac:dyDescent="0.25">
      <c r="A13" s="145" t="s">
        <v>372</v>
      </c>
      <c r="B13" s="146" t="s">
        <v>183</v>
      </c>
      <c r="C13" s="146">
        <v>383</v>
      </c>
      <c r="D13" s="146" t="s">
        <v>39</v>
      </c>
      <c r="E13" s="264">
        <v>11123</v>
      </c>
      <c r="F13" s="154">
        <v>0</v>
      </c>
      <c r="G13" s="264">
        <v>11123</v>
      </c>
      <c r="H13" s="154">
        <v>0</v>
      </c>
      <c r="I13" s="154">
        <v>0</v>
      </c>
      <c r="J13" s="154">
        <v>0</v>
      </c>
      <c r="K13" s="264">
        <v>11123</v>
      </c>
    </row>
    <row r="14" spans="1:12" ht="30.75" x14ac:dyDescent="0.25">
      <c r="A14" s="145" t="s">
        <v>372</v>
      </c>
      <c r="B14" s="146" t="s">
        <v>183</v>
      </c>
      <c r="C14" s="146">
        <v>383</v>
      </c>
      <c r="D14" s="146" t="s">
        <v>38</v>
      </c>
      <c r="E14" s="264">
        <v>58989</v>
      </c>
      <c r="F14" s="154">
        <v>0</v>
      </c>
      <c r="G14" s="264">
        <v>58989</v>
      </c>
      <c r="H14" s="154">
        <v>0</v>
      </c>
      <c r="I14" s="154">
        <v>0</v>
      </c>
      <c r="J14" s="154">
        <v>0</v>
      </c>
      <c r="K14" s="264">
        <v>58989</v>
      </c>
    </row>
    <row r="15" spans="1:12" ht="30.75" x14ac:dyDescent="0.25">
      <c r="A15" s="145" t="s">
        <v>372</v>
      </c>
      <c r="B15" s="146" t="s">
        <v>183</v>
      </c>
      <c r="C15" s="146">
        <v>383</v>
      </c>
      <c r="D15" s="146" t="s">
        <v>53</v>
      </c>
      <c r="E15" s="264">
        <v>38777</v>
      </c>
      <c r="F15" s="154">
        <v>0</v>
      </c>
      <c r="G15" s="264">
        <v>38777</v>
      </c>
      <c r="H15" s="154">
        <v>0</v>
      </c>
      <c r="I15" s="154">
        <v>0</v>
      </c>
      <c r="J15" s="154">
        <v>0</v>
      </c>
      <c r="K15" s="264">
        <v>38777</v>
      </c>
    </row>
    <row r="16" spans="1:12" ht="30.75" x14ac:dyDescent="0.25">
      <c r="A16" s="145" t="s">
        <v>372</v>
      </c>
      <c r="B16" s="146" t="s">
        <v>183</v>
      </c>
      <c r="C16" s="146">
        <v>383</v>
      </c>
      <c r="D16" s="146" t="s">
        <v>54</v>
      </c>
      <c r="E16" s="264">
        <v>96393</v>
      </c>
      <c r="F16" s="154">
        <v>0</v>
      </c>
      <c r="G16" s="264">
        <v>96393</v>
      </c>
      <c r="H16" s="154">
        <v>0</v>
      </c>
      <c r="I16" s="154">
        <v>0</v>
      </c>
      <c r="J16" s="154">
        <v>0</v>
      </c>
      <c r="K16" s="264">
        <v>96393</v>
      </c>
    </row>
    <row r="17" spans="1:11" ht="30.75" x14ac:dyDescent="0.25">
      <c r="A17" s="145" t="s">
        <v>372</v>
      </c>
      <c r="B17" s="146" t="s">
        <v>183</v>
      </c>
      <c r="C17" s="146">
        <v>383</v>
      </c>
      <c r="D17" s="146" t="s">
        <v>55</v>
      </c>
      <c r="E17" s="264">
        <v>28899</v>
      </c>
      <c r="F17" s="154">
        <v>0</v>
      </c>
      <c r="G17" s="264">
        <v>28899</v>
      </c>
      <c r="H17" s="154">
        <v>0</v>
      </c>
      <c r="I17" s="154">
        <v>0</v>
      </c>
      <c r="J17" s="154">
        <v>0</v>
      </c>
      <c r="K17" s="264">
        <v>28899</v>
      </c>
    </row>
    <row r="18" spans="1:11" ht="30.75" x14ac:dyDescent="0.25">
      <c r="A18" s="145" t="s">
        <v>372</v>
      </c>
      <c r="B18" s="146" t="s">
        <v>183</v>
      </c>
      <c r="C18" s="146">
        <v>383</v>
      </c>
      <c r="D18" s="146" t="s">
        <v>58</v>
      </c>
      <c r="E18" s="264">
        <v>4316</v>
      </c>
      <c r="F18" s="154">
        <v>0</v>
      </c>
      <c r="G18" s="264">
        <v>4316</v>
      </c>
      <c r="H18" s="154">
        <v>0</v>
      </c>
      <c r="I18" s="154">
        <v>0</v>
      </c>
      <c r="J18" s="154">
        <v>0</v>
      </c>
      <c r="K18" s="264">
        <v>4316</v>
      </c>
    </row>
    <row r="19" spans="1:11" ht="15.75" customHeight="1" x14ac:dyDescent="0.25">
      <c r="A19" s="145" t="s">
        <v>459</v>
      </c>
      <c r="B19" s="148" t="s">
        <v>183</v>
      </c>
      <c r="C19" s="148">
        <v>381</v>
      </c>
      <c r="D19" s="148" t="s">
        <v>24</v>
      </c>
      <c r="E19" s="264">
        <v>5166</v>
      </c>
      <c r="F19" s="154">
        <v>0</v>
      </c>
      <c r="G19" s="264">
        <v>5166</v>
      </c>
      <c r="H19" s="154">
        <v>0</v>
      </c>
      <c r="I19" s="154">
        <v>0</v>
      </c>
      <c r="J19" s="154">
        <v>0</v>
      </c>
      <c r="K19" s="264">
        <v>5166</v>
      </c>
    </row>
    <row r="20" spans="1:11" ht="30.75" x14ac:dyDescent="0.25">
      <c r="A20" s="145" t="s">
        <v>459</v>
      </c>
      <c r="B20" s="148" t="s">
        <v>183</v>
      </c>
      <c r="C20" s="148">
        <v>381</v>
      </c>
      <c r="D20" s="148" t="s">
        <v>39</v>
      </c>
      <c r="E20" s="264">
        <v>10102</v>
      </c>
      <c r="F20" s="154">
        <v>0</v>
      </c>
      <c r="G20" s="264">
        <v>10102</v>
      </c>
      <c r="H20" s="154">
        <v>0</v>
      </c>
      <c r="I20" s="154">
        <v>0</v>
      </c>
      <c r="J20" s="154">
        <v>0</v>
      </c>
      <c r="K20" s="264">
        <v>10102</v>
      </c>
    </row>
    <row r="21" spans="1:11" ht="30.75" x14ac:dyDescent="0.25">
      <c r="A21" s="145" t="s">
        <v>459</v>
      </c>
      <c r="B21" s="148" t="s">
        <v>183</v>
      </c>
      <c r="C21" s="148">
        <v>381</v>
      </c>
      <c r="D21" s="148" t="s">
        <v>38</v>
      </c>
      <c r="E21" s="264">
        <v>27324</v>
      </c>
      <c r="F21" s="154">
        <v>0</v>
      </c>
      <c r="G21" s="264">
        <v>27324</v>
      </c>
      <c r="H21" s="154">
        <v>0</v>
      </c>
      <c r="I21" s="154">
        <v>0</v>
      </c>
      <c r="J21" s="154">
        <v>0</v>
      </c>
      <c r="K21" s="264">
        <v>27324</v>
      </c>
    </row>
    <row r="22" spans="1:11" ht="30.75" x14ac:dyDescent="0.25">
      <c r="A22" s="145" t="s">
        <v>459</v>
      </c>
      <c r="B22" s="148" t="s">
        <v>183</v>
      </c>
      <c r="C22" s="148">
        <v>381</v>
      </c>
      <c r="D22" s="148" t="s">
        <v>53</v>
      </c>
      <c r="E22" s="264">
        <v>18640</v>
      </c>
      <c r="F22" s="154">
        <v>0</v>
      </c>
      <c r="G22" s="264">
        <v>18640</v>
      </c>
      <c r="H22" s="154">
        <v>0</v>
      </c>
      <c r="I22" s="154">
        <v>0</v>
      </c>
      <c r="J22" s="154">
        <v>0</v>
      </c>
      <c r="K22" s="264">
        <v>18640</v>
      </c>
    </row>
    <row r="23" spans="1:11" ht="30.75" x14ac:dyDescent="0.25">
      <c r="A23" s="145" t="s">
        <v>459</v>
      </c>
      <c r="B23" s="148" t="s">
        <v>183</v>
      </c>
      <c r="C23" s="148">
        <v>381</v>
      </c>
      <c r="D23" s="148" t="s">
        <v>54</v>
      </c>
      <c r="E23" s="264">
        <v>5012</v>
      </c>
      <c r="F23" s="154">
        <v>0</v>
      </c>
      <c r="G23" s="264">
        <v>5012</v>
      </c>
      <c r="H23" s="154">
        <v>0</v>
      </c>
      <c r="I23" s="154">
        <v>0</v>
      </c>
      <c r="J23" s="154">
        <v>0</v>
      </c>
      <c r="K23" s="264">
        <v>5012</v>
      </c>
    </row>
    <row r="24" spans="1:11" ht="30.75" x14ac:dyDescent="0.25">
      <c r="A24" s="145" t="s">
        <v>459</v>
      </c>
      <c r="B24" s="148" t="s">
        <v>183</v>
      </c>
      <c r="C24" s="148">
        <v>381</v>
      </c>
      <c r="D24" s="148" t="s">
        <v>58</v>
      </c>
      <c r="E24" s="264">
        <v>96043</v>
      </c>
      <c r="F24" s="154">
        <v>0</v>
      </c>
      <c r="G24" s="264">
        <v>96043</v>
      </c>
      <c r="H24" s="154">
        <v>0</v>
      </c>
      <c r="I24" s="154">
        <v>0</v>
      </c>
      <c r="J24" s="154">
        <v>0</v>
      </c>
      <c r="K24" s="264">
        <v>96043</v>
      </c>
    </row>
    <row r="25" spans="1:11" ht="30.75" x14ac:dyDescent="0.25">
      <c r="A25" s="145" t="s">
        <v>459</v>
      </c>
      <c r="B25" s="148" t="s">
        <v>183</v>
      </c>
      <c r="C25" s="148">
        <v>381</v>
      </c>
      <c r="D25" s="148" t="s">
        <v>37</v>
      </c>
      <c r="E25" s="264">
        <v>274107</v>
      </c>
      <c r="F25" s="154">
        <v>0</v>
      </c>
      <c r="G25" s="264">
        <v>274107</v>
      </c>
      <c r="H25" s="154">
        <v>0</v>
      </c>
      <c r="I25" s="154">
        <v>0</v>
      </c>
      <c r="J25" s="154">
        <v>0</v>
      </c>
      <c r="K25" s="264">
        <v>274107</v>
      </c>
    </row>
    <row r="26" spans="1:11" ht="30.75" x14ac:dyDescent="0.25">
      <c r="A26" s="145" t="s">
        <v>459</v>
      </c>
      <c r="B26" s="148" t="s">
        <v>183</v>
      </c>
      <c r="C26" s="148">
        <v>381</v>
      </c>
      <c r="D26" s="148" t="s">
        <v>105</v>
      </c>
      <c r="E26" s="264">
        <v>17599</v>
      </c>
      <c r="F26" s="154">
        <v>0</v>
      </c>
      <c r="G26" s="264">
        <v>17599</v>
      </c>
      <c r="H26" s="154">
        <v>0</v>
      </c>
      <c r="I26" s="154">
        <v>0</v>
      </c>
      <c r="J26" s="154">
        <v>0</v>
      </c>
      <c r="K26" s="264">
        <v>17599</v>
      </c>
    </row>
    <row r="27" spans="1:11" ht="30.75" x14ac:dyDescent="0.25">
      <c r="A27" s="140" t="s">
        <v>150</v>
      </c>
      <c r="B27" s="139" t="s">
        <v>151</v>
      </c>
      <c r="C27" s="139">
        <v>310</v>
      </c>
      <c r="D27" s="139" t="s">
        <v>55</v>
      </c>
      <c r="E27" s="261">
        <v>12510525</v>
      </c>
      <c r="F27" s="152">
        <v>0</v>
      </c>
      <c r="G27" s="261">
        <v>12510525</v>
      </c>
      <c r="H27" s="152">
        <v>0</v>
      </c>
      <c r="I27" s="152">
        <v>0</v>
      </c>
      <c r="J27" s="152">
        <v>0</v>
      </c>
      <c r="K27" s="261">
        <v>12510525</v>
      </c>
    </row>
    <row r="28" spans="1:11" ht="30.75" x14ac:dyDescent="0.25">
      <c r="A28" s="140" t="s">
        <v>150</v>
      </c>
      <c r="B28" s="139" t="s">
        <v>151</v>
      </c>
      <c r="C28" s="139">
        <v>310</v>
      </c>
      <c r="D28" s="139" t="s">
        <v>58</v>
      </c>
      <c r="E28" s="261">
        <v>14072419</v>
      </c>
      <c r="F28" s="152">
        <v>0</v>
      </c>
      <c r="G28" s="261">
        <v>14072419</v>
      </c>
      <c r="H28" s="152">
        <v>0</v>
      </c>
      <c r="I28" s="152">
        <v>0</v>
      </c>
      <c r="J28" s="152">
        <v>0</v>
      </c>
      <c r="K28" s="261">
        <v>14072419</v>
      </c>
    </row>
    <row r="29" spans="1:11" ht="30.75" x14ac:dyDescent="0.25">
      <c r="A29" s="140" t="s">
        <v>150</v>
      </c>
      <c r="B29" s="139" t="s">
        <v>151</v>
      </c>
      <c r="C29" s="139">
        <v>310</v>
      </c>
      <c r="D29" s="139" t="s">
        <v>37</v>
      </c>
      <c r="E29" s="261">
        <v>13163033</v>
      </c>
      <c r="F29" s="152">
        <v>0</v>
      </c>
      <c r="G29" s="261">
        <v>13163033</v>
      </c>
      <c r="H29" s="152">
        <v>0</v>
      </c>
      <c r="I29" s="152">
        <v>0</v>
      </c>
      <c r="J29" s="152">
        <v>0</v>
      </c>
      <c r="K29" s="261">
        <v>13163033</v>
      </c>
    </row>
    <row r="30" spans="1:11" ht="30.75" x14ac:dyDescent="0.25">
      <c r="A30" s="140" t="s">
        <v>150</v>
      </c>
      <c r="B30" s="139" t="s">
        <v>151</v>
      </c>
      <c r="C30" s="139">
        <v>310</v>
      </c>
      <c r="D30" s="139" t="s">
        <v>105</v>
      </c>
      <c r="E30" s="261">
        <v>12613074</v>
      </c>
      <c r="F30" s="152">
        <v>0</v>
      </c>
      <c r="G30" s="261">
        <v>12613074</v>
      </c>
      <c r="H30" s="152">
        <v>0</v>
      </c>
      <c r="I30" s="152">
        <v>0</v>
      </c>
      <c r="J30" s="152">
        <v>0</v>
      </c>
      <c r="K30" s="261">
        <v>12613074</v>
      </c>
    </row>
    <row r="31" spans="1:11" ht="30.75" x14ac:dyDescent="0.25">
      <c r="A31" s="140" t="s">
        <v>150</v>
      </c>
      <c r="B31" s="139" t="s">
        <v>151</v>
      </c>
      <c r="C31" s="139">
        <v>310</v>
      </c>
      <c r="D31" s="139" t="s">
        <v>116</v>
      </c>
      <c r="E31" s="261">
        <v>11882424</v>
      </c>
      <c r="F31" s="152">
        <v>0</v>
      </c>
      <c r="G31" s="261">
        <v>11882424</v>
      </c>
      <c r="H31" s="152">
        <v>0</v>
      </c>
      <c r="I31" s="152">
        <v>0</v>
      </c>
      <c r="J31" s="152">
        <v>0</v>
      </c>
      <c r="K31" s="261">
        <v>11882424</v>
      </c>
    </row>
    <row r="32" spans="1:11" ht="30.75" x14ac:dyDescent="0.25">
      <c r="A32" s="140" t="s">
        <v>150</v>
      </c>
      <c r="B32" s="139" t="s">
        <v>151</v>
      </c>
      <c r="C32" s="139">
        <v>310</v>
      </c>
      <c r="D32" s="139" t="s">
        <v>121</v>
      </c>
      <c r="E32" s="261">
        <v>12055843</v>
      </c>
      <c r="F32" s="152">
        <v>0</v>
      </c>
      <c r="G32" s="261">
        <v>12055843</v>
      </c>
      <c r="H32" s="152">
        <v>0</v>
      </c>
      <c r="I32" s="152">
        <v>0</v>
      </c>
      <c r="J32" s="152">
        <v>0</v>
      </c>
      <c r="K32" s="261">
        <v>12055843</v>
      </c>
    </row>
    <row r="33" spans="1:11" ht="30.75" x14ac:dyDescent="0.25">
      <c r="A33" s="140" t="s">
        <v>150</v>
      </c>
      <c r="B33" s="139" t="s">
        <v>151</v>
      </c>
      <c r="C33" s="139">
        <v>310</v>
      </c>
      <c r="D33" s="139" t="s">
        <v>122</v>
      </c>
      <c r="E33" s="261">
        <v>11237355</v>
      </c>
      <c r="F33" s="152">
        <v>0</v>
      </c>
      <c r="G33" s="261">
        <v>11237355</v>
      </c>
      <c r="H33" s="152">
        <v>0</v>
      </c>
      <c r="I33" s="152">
        <v>0</v>
      </c>
      <c r="J33" s="152">
        <v>0</v>
      </c>
      <c r="K33" s="261">
        <v>11237355</v>
      </c>
    </row>
    <row r="34" spans="1:11" ht="30.75" x14ac:dyDescent="0.25">
      <c r="A34" s="140" t="s">
        <v>150</v>
      </c>
      <c r="B34" s="139" t="s">
        <v>151</v>
      </c>
      <c r="C34" s="139">
        <v>310</v>
      </c>
      <c r="D34" s="139" t="s">
        <v>123</v>
      </c>
      <c r="E34" s="261">
        <v>11092273</v>
      </c>
      <c r="F34" s="152">
        <v>0</v>
      </c>
      <c r="G34" s="261">
        <v>11092273</v>
      </c>
      <c r="H34" s="152">
        <v>0</v>
      </c>
      <c r="I34" s="152">
        <v>0</v>
      </c>
      <c r="J34" s="152">
        <v>0</v>
      </c>
      <c r="K34" s="261">
        <v>11092273</v>
      </c>
    </row>
    <row r="35" spans="1:11" ht="30.75" x14ac:dyDescent="0.25">
      <c r="A35" s="140" t="s">
        <v>150</v>
      </c>
      <c r="B35" s="139" t="s">
        <v>151</v>
      </c>
      <c r="C35" s="139">
        <v>310</v>
      </c>
      <c r="D35" s="139" t="s">
        <v>36</v>
      </c>
      <c r="E35" s="261">
        <v>10336932</v>
      </c>
      <c r="F35" s="152">
        <v>0</v>
      </c>
      <c r="G35" s="261">
        <v>10336932</v>
      </c>
      <c r="H35" s="152">
        <v>0</v>
      </c>
      <c r="I35" s="152">
        <v>0</v>
      </c>
      <c r="J35" s="152">
        <v>0</v>
      </c>
      <c r="K35" s="261">
        <v>10336932</v>
      </c>
    </row>
    <row r="36" spans="1:11" ht="30.75" x14ac:dyDescent="0.25">
      <c r="A36" s="140" t="s">
        <v>150</v>
      </c>
      <c r="B36" s="139" t="s">
        <v>151</v>
      </c>
      <c r="C36" s="139">
        <v>310</v>
      </c>
      <c r="D36" s="139" t="s">
        <v>124</v>
      </c>
      <c r="E36" s="261">
        <v>9495360</v>
      </c>
      <c r="F36" s="152">
        <v>0</v>
      </c>
      <c r="G36" s="261">
        <v>9495360</v>
      </c>
      <c r="H36" s="152">
        <v>0</v>
      </c>
      <c r="I36" s="152">
        <v>0</v>
      </c>
      <c r="J36" s="152">
        <v>0</v>
      </c>
      <c r="K36" s="261">
        <v>9495360</v>
      </c>
    </row>
    <row r="37" spans="1:11" ht="30.75" x14ac:dyDescent="0.25">
      <c r="A37" s="140" t="s">
        <v>150</v>
      </c>
      <c r="B37" s="139" t="s">
        <v>151</v>
      </c>
      <c r="C37" s="139">
        <v>310</v>
      </c>
      <c r="D37" s="139" t="s">
        <v>125</v>
      </c>
      <c r="E37" s="261">
        <v>9060815</v>
      </c>
      <c r="F37" s="152">
        <v>0</v>
      </c>
      <c r="G37" s="261">
        <v>9060815</v>
      </c>
      <c r="H37" s="152">
        <v>0</v>
      </c>
      <c r="I37" s="152">
        <v>0</v>
      </c>
      <c r="J37" s="152">
        <v>0</v>
      </c>
      <c r="K37" s="261">
        <v>9060815</v>
      </c>
    </row>
    <row r="38" spans="1:11" ht="30.75" x14ac:dyDescent="0.25">
      <c r="A38" s="140" t="s">
        <v>152</v>
      </c>
      <c r="B38" s="139" t="s">
        <v>153</v>
      </c>
      <c r="C38" s="139">
        <v>306</v>
      </c>
      <c r="D38" s="139" t="s">
        <v>58</v>
      </c>
      <c r="E38" s="261">
        <v>57816</v>
      </c>
      <c r="F38" s="152">
        <v>0</v>
      </c>
      <c r="G38" s="261">
        <f t="shared" ref="G38:G98" si="2">E38-F38</f>
        <v>57816</v>
      </c>
      <c r="H38" s="152">
        <v>0</v>
      </c>
      <c r="I38" s="152">
        <v>0</v>
      </c>
      <c r="J38" s="152">
        <f t="shared" si="0"/>
        <v>0</v>
      </c>
      <c r="K38" s="261">
        <f t="shared" si="1"/>
        <v>57816</v>
      </c>
    </row>
    <row r="39" spans="1:11" ht="30.75" x14ac:dyDescent="0.25">
      <c r="A39" s="140" t="s">
        <v>152</v>
      </c>
      <c r="B39" s="139" t="s">
        <v>153</v>
      </c>
      <c r="C39" s="139">
        <v>306</v>
      </c>
      <c r="D39" s="139" t="s">
        <v>37</v>
      </c>
      <c r="E39" s="261">
        <v>297792</v>
      </c>
      <c r="F39" s="152">
        <v>0</v>
      </c>
      <c r="G39" s="261">
        <f t="shared" si="2"/>
        <v>297792</v>
      </c>
      <c r="H39" s="152">
        <v>0</v>
      </c>
      <c r="I39" s="152">
        <v>0</v>
      </c>
      <c r="J39" s="152">
        <f t="shared" si="0"/>
        <v>0</v>
      </c>
      <c r="K39" s="261">
        <f t="shared" si="1"/>
        <v>297792</v>
      </c>
    </row>
    <row r="40" spans="1:11" ht="30.75" x14ac:dyDescent="0.25">
      <c r="A40" s="140" t="s">
        <v>152</v>
      </c>
      <c r="B40" s="139" t="s">
        <v>153</v>
      </c>
      <c r="C40" s="139">
        <v>306</v>
      </c>
      <c r="D40" s="139" t="s">
        <v>105</v>
      </c>
      <c r="E40" s="261">
        <v>263698</v>
      </c>
      <c r="F40" s="152">
        <v>0</v>
      </c>
      <c r="G40" s="261">
        <f t="shared" si="2"/>
        <v>263698</v>
      </c>
      <c r="H40" s="152">
        <v>0</v>
      </c>
      <c r="I40" s="152">
        <v>0</v>
      </c>
      <c r="J40" s="152">
        <f t="shared" si="0"/>
        <v>0</v>
      </c>
      <c r="K40" s="261">
        <f t="shared" si="1"/>
        <v>263698</v>
      </c>
    </row>
    <row r="41" spans="1:11" ht="30.75" x14ac:dyDescent="0.25">
      <c r="A41" s="140" t="s">
        <v>152</v>
      </c>
      <c r="B41" s="139" t="s">
        <v>153</v>
      </c>
      <c r="C41" s="139">
        <v>306</v>
      </c>
      <c r="D41" s="139" t="s">
        <v>116</v>
      </c>
      <c r="E41" s="261">
        <v>275387</v>
      </c>
      <c r="F41" s="152">
        <v>0</v>
      </c>
      <c r="G41" s="261">
        <f t="shared" si="2"/>
        <v>275387</v>
      </c>
      <c r="H41" s="152">
        <v>0</v>
      </c>
      <c r="I41" s="152">
        <v>0</v>
      </c>
      <c r="J41" s="152">
        <f t="shared" si="0"/>
        <v>0</v>
      </c>
      <c r="K41" s="261">
        <f t="shared" si="1"/>
        <v>275387</v>
      </c>
    </row>
    <row r="42" spans="1:11" ht="30.75" x14ac:dyDescent="0.25">
      <c r="A42" s="140" t="s">
        <v>152</v>
      </c>
      <c r="B42" s="139" t="s">
        <v>153</v>
      </c>
      <c r="C42" s="139">
        <v>306</v>
      </c>
      <c r="D42" s="139" t="s">
        <v>121</v>
      </c>
      <c r="E42" s="261">
        <v>253715</v>
      </c>
      <c r="F42" s="152">
        <v>0</v>
      </c>
      <c r="G42" s="261">
        <f t="shared" si="2"/>
        <v>253715</v>
      </c>
      <c r="H42" s="152">
        <v>0</v>
      </c>
      <c r="I42" s="152">
        <v>0</v>
      </c>
      <c r="J42" s="152">
        <f t="shared" si="0"/>
        <v>0</v>
      </c>
      <c r="K42" s="261">
        <f t="shared" si="1"/>
        <v>253715</v>
      </c>
    </row>
    <row r="43" spans="1:11" ht="30.75" x14ac:dyDescent="0.25">
      <c r="A43" s="140" t="s">
        <v>152</v>
      </c>
      <c r="B43" s="139" t="s">
        <v>153</v>
      </c>
      <c r="C43" s="139">
        <v>306</v>
      </c>
      <c r="D43" s="139" t="s">
        <v>122</v>
      </c>
      <c r="E43" s="261">
        <v>228442</v>
      </c>
      <c r="F43" s="152">
        <v>0</v>
      </c>
      <c r="G43" s="261">
        <f t="shared" si="2"/>
        <v>228442</v>
      </c>
      <c r="H43" s="152">
        <v>0</v>
      </c>
      <c r="I43" s="152">
        <v>0</v>
      </c>
      <c r="J43" s="152">
        <f t="shared" si="0"/>
        <v>0</v>
      </c>
      <c r="K43" s="261">
        <f t="shared" si="1"/>
        <v>228442</v>
      </c>
    </row>
    <row r="44" spans="1:11" ht="30.75" x14ac:dyDescent="0.25">
      <c r="A44" s="140" t="s">
        <v>152</v>
      </c>
      <c r="B44" s="139" t="s">
        <v>153</v>
      </c>
      <c r="C44" s="139">
        <v>306</v>
      </c>
      <c r="D44" s="139" t="s">
        <v>123</v>
      </c>
      <c r="E44" s="261">
        <v>222536</v>
      </c>
      <c r="F44" s="152">
        <v>0</v>
      </c>
      <c r="G44" s="261">
        <f t="shared" si="2"/>
        <v>222536</v>
      </c>
      <c r="H44" s="152">
        <v>0</v>
      </c>
      <c r="I44" s="152">
        <v>0</v>
      </c>
      <c r="J44" s="152">
        <f t="shared" si="0"/>
        <v>0</v>
      </c>
      <c r="K44" s="261">
        <f t="shared" si="1"/>
        <v>222536</v>
      </c>
    </row>
    <row r="45" spans="1:11" ht="30.75" x14ac:dyDescent="0.25">
      <c r="A45" s="140" t="s">
        <v>152</v>
      </c>
      <c r="B45" s="139" t="s">
        <v>153</v>
      </c>
      <c r="C45" s="139">
        <v>306</v>
      </c>
      <c r="D45" s="139" t="s">
        <v>36</v>
      </c>
      <c r="E45" s="261">
        <v>198432</v>
      </c>
      <c r="F45" s="152">
        <v>0</v>
      </c>
      <c r="G45" s="261">
        <f t="shared" si="2"/>
        <v>198432</v>
      </c>
      <c r="H45" s="152">
        <v>0</v>
      </c>
      <c r="I45" s="152">
        <v>0</v>
      </c>
      <c r="J45" s="152">
        <f t="shared" si="0"/>
        <v>0</v>
      </c>
      <c r="K45" s="261">
        <f t="shared" si="1"/>
        <v>198432</v>
      </c>
    </row>
    <row r="46" spans="1:11" ht="30.75" x14ac:dyDescent="0.25">
      <c r="A46" s="140" t="s">
        <v>152</v>
      </c>
      <c r="B46" s="139" t="s">
        <v>153</v>
      </c>
      <c r="C46" s="139">
        <v>306</v>
      </c>
      <c r="D46" s="139" t="s">
        <v>124</v>
      </c>
      <c r="E46" s="261">
        <v>159800</v>
      </c>
      <c r="F46" s="152">
        <v>0</v>
      </c>
      <c r="G46" s="261">
        <f t="shared" si="2"/>
        <v>159800</v>
      </c>
      <c r="H46" s="152">
        <v>0</v>
      </c>
      <c r="I46" s="152">
        <v>0</v>
      </c>
      <c r="J46" s="152">
        <f t="shared" si="0"/>
        <v>0</v>
      </c>
      <c r="K46" s="261">
        <f t="shared" si="1"/>
        <v>159800</v>
      </c>
    </row>
    <row r="47" spans="1:11" ht="30.75" x14ac:dyDescent="0.25">
      <c r="A47" s="140" t="s">
        <v>152</v>
      </c>
      <c r="B47" s="139" t="s">
        <v>153</v>
      </c>
      <c r="C47" s="139">
        <v>306</v>
      </c>
      <c r="D47" s="139" t="s">
        <v>125</v>
      </c>
      <c r="E47" s="261">
        <v>51990</v>
      </c>
      <c r="F47" s="152">
        <v>0</v>
      </c>
      <c r="G47" s="261">
        <f t="shared" si="2"/>
        <v>51990</v>
      </c>
      <c r="H47" s="152">
        <v>0</v>
      </c>
      <c r="I47" s="152">
        <v>0</v>
      </c>
      <c r="J47" s="152">
        <f t="shared" si="0"/>
        <v>0</v>
      </c>
      <c r="K47" s="261">
        <f t="shared" si="1"/>
        <v>51990</v>
      </c>
    </row>
    <row r="48" spans="1:11" ht="15.75" x14ac:dyDescent="0.25">
      <c r="A48" s="140" t="s">
        <v>154</v>
      </c>
      <c r="B48" s="139" t="s">
        <v>155</v>
      </c>
      <c r="C48" s="139">
        <v>322</v>
      </c>
      <c r="D48" s="139" t="s">
        <v>54</v>
      </c>
      <c r="E48" s="261">
        <v>1007989</v>
      </c>
      <c r="F48" s="152">
        <v>0</v>
      </c>
      <c r="G48" s="261">
        <f t="shared" si="2"/>
        <v>1007989</v>
      </c>
      <c r="H48" s="152">
        <v>0</v>
      </c>
      <c r="I48" s="152">
        <v>0</v>
      </c>
      <c r="J48" s="152">
        <f t="shared" si="0"/>
        <v>0</v>
      </c>
      <c r="K48" s="261">
        <f t="shared" si="1"/>
        <v>1007989</v>
      </c>
    </row>
    <row r="49" spans="1:11" ht="15.75" x14ac:dyDescent="0.25">
      <c r="A49" s="140" t="s">
        <v>154</v>
      </c>
      <c r="B49" s="139" t="s">
        <v>155</v>
      </c>
      <c r="C49" s="139">
        <v>322</v>
      </c>
      <c r="D49" s="139" t="s">
        <v>55</v>
      </c>
      <c r="E49" s="261">
        <v>1255634</v>
      </c>
      <c r="F49" s="152">
        <v>0</v>
      </c>
      <c r="G49" s="261">
        <f t="shared" si="2"/>
        <v>1255634</v>
      </c>
      <c r="H49" s="152">
        <v>0</v>
      </c>
      <c r="I49" s="152">
        <v>0</v>
      </c>
      <c r="J49" s="152">
        <f t="shared" si="0"/>
        <v>0</v>
      </c>
      <c r="K49" s="261">
        <f t="shared" si="1"/>
        <v>1255634</v>
      </c>
    </row>
    <row r="50" spans="1:11" ht="15.75" x14ac:dyDescent="0.25">
      <c r="A50" s="140" t="s">
        <v>154</v>
      </c>
      <c r="B50" s="139" t="s">
        <v>155</v>
      </c>
      <c r="C50" s="139">
        <v>322</v>
      </c>
      <c r="D50" s="139" t="s">
        <v>58</v>
      </c>
      <c r="E50" s="261">
        <v>1272627</v>
      </c>
      <c r="F50" s="152">
        <v>0</v>
      </c>
      <c r="G50" s="261">
        <f t="shared" si="2"/>
        <v>1272627</v>
      </c>
      <c r="H50" s="152">
        <v>0</v>
      </c>
      <c r="I50" s="152">
        <v>0</v>
      </c>
      <c r="J50" s="152">
        <f t="shared" si="0"/>
        <v>0</v>
      </c>
      <c r="K50" s="261">
        <f t="shared" si="1"/>
        <v>1272627</v>
      </c>
    </row>
    <row r="51" spans="1:11" ht="15.75" x14ac:dyDescent="0.25">
      <c r="A51" s="140" t="s">
        <v>154</v>
      </c>
      <c r="B51" s="139" t="s">
        <v>155</v>
      </c>
      <c r="C51" s="139">
        <v>322</v>
      </c>
      <c r="D51" s="139" t="s">
        <v>37</v>
      </c>
      <c r="E51" s="261">
        <v>1083952</v>
      </c>
      <c r="F51" s="152">
        <v>0</v>
      </c>
      <c r="G51" s="261">
        <f t="shared" si="2"/>
        <v>1083952</v>
      </c>
      <c r="H51" s="152">
        <v>0</v>
      </c>
      <c r="I51" s="152">
        <v>0</v>
      </c>
      <c r="J51" s="152">
        <f t="shared" si="0"/>
        <v>0</v>
      </c>
      <c r="K51" s="261">
        <f t="shared" si="1"/>
        <v>1083952</v>
      </c>
    </row>
    <row r="52" spans="1:11" ht="15.75" x14ac:dyDescent="0.25">
      <c r="A52" s="140" t="s">
        <v>154</v>
      </c>
      <c r="B52" s="139" t="s">
        <v>155</v>
      </c>
      <c r="C52" s="139">
        <v>322</v>
      </c>
      <c r="D52" s="139" t="s">
        <v>105</v>
      </c>
      <c r="E52" s="261">
        <v>1106027</v>
      </c>
      <c r="F52" s="152">
        <v>0</v>
      </c>
      <c r="G52" s="261">
        <f t="shared" si="2"/>
        <v>1106027</v>
      </c>
      <c r="H52" s="152">
        <v>0</v>
      </c>
      <c r="I52" s="152">
        <v>0</v>
      </c>
      <c r="J52" s="152">
        <f t="shared" si="0"/>
        <v>0</v>
      </c>
      <c r="K52" s="261">
        <f t="shared" si="1"/>
        <v>1106027</v>
      </c>
    </row>
    <row r="53" spans="1:11" ht="15.75" x14ac:dyDescent="0.25">
      <c r="A53" s="140" t="s">
        <v>154</v>
      </c>
      <c r="B53" s="139" t="s">
        <v>155</v>
      </c>
      <c r="C53" s="139">
        <v>322</v>
      </c>
      <c r="D53" s="139" t="s">
        <v>116</v>
      </c>
      <c r="E53" s="261">
        <v>1058326</v>
      </c>
      <c r="F53" s="152">
        <v>0</v>
      </c>
      <c r="G53" s="261">
        <f t="shared" si="2"/>
        <v>1058326</v>
      </c>
      <c r="H53" s="152">
        <v>0</v>
      </c>
      <c r="I53" s="152">
        <v>0</v>
      </c>
      <c r="J53" s="152">
        <f t="shared" si="0"/>
        <v>0</v>
      </c>
      <c r="K53" s="261">
        <f t="shared" si="1"/>
        <v>1058326</v>
      </c>
    </row>
    <row r="54" spans="1:11" ht="15.75" x14ac:dyDescent="0.25">
      <c r="A54" s="140" t="s">
        <v>154</v>
      </c>
      <c r="B54" s="139" t="s">
        <v>155</v>
      </c>
      <c r="C54" s="139">
        <v>322</v>
      </c>
      <c r="D54" s="139" t="s">
        <v>121</v>
      </c>
      <c r="E54" s="261">
        <v>983574</v>
      </c>
      <c r="F54" s="152">
        <v>0</v>
      </c>
      <c r="G54" s="261">
        <f t="shared" si="2"/>
        <v>983574</v>
      </c>
      <c r="H54" s="152">
        <v>0</v>
      </c>
      <c r="I54" s="152">
        <v>0</v>
      </c>
      <c r="J54" s="152">
        <f t="shared" si="0"/>
        <v>0</v>
      </c>
      <c r="K54" s="261">
        <f t="shared" si="1"/>
        <v>983574</v>
      </c>
    </row>
    <row r="55" spans="1:11" ht="15.75" x14ac:dyDescent="0.25">
      <c r="A55" s="140" t="s">
        <v>154</v>
      </c>
      <c r="B55" s="139" t="s">
        <v>155</v>
      </c>
      <c r="C55" s="139">
        <v>322</v>
      </c>
      <c r="D55" s="139" t="s">
        <v>122</v>
      </c>
      <c r="E55" s="261">
        <v>963520</v>
      </c>
      <c r="F55" s="152">
        <v>0</v>
      </c>
      <c r="G55" s="261">
        <f t="shared" si="2"/>
        <v>963520</v>
      </c>
      <c r="H55" s="152">
        <v>0</v>
      </c>
      <c r="I55" s="152">
        <v>0</v>
      </c>
      <c r="J55" s="152">
        <f t="shared" si="0"/>
        <v>0</v>
      </c>
      <c r="K55" s="261">
        <f t="shared" si="1"/>
        <v>963520</v>
      </c>
    </row>
    <row r="56" spans="1:11" ht="15.75" x14ac:dyDescent="0.25">
      <c r="A56" s="140" t="s">
        <v>154</v>
      </c>
      <c r="B56" s="139" t="s">
        <v>155</v>
      </c>
      <c r="C56" s="139">
        <v>322</v>
      </c>
      <c r="D56" s="139" t="s">
        <v>123</v>
      </c>
      <c r="E56" s="261">
        <v>902976</v>
      </c>
      <c r="F56" s="152">
        <v>0</v>
      </c>
      <c r="G56" s="261">
        <f t="shared" si="2"/>
        <v>902976</v>
      </c>
      <c r="H56" s="152">
        <v>0</v>
      </c>
      <c r="I56" s="152">
        <v>0</v>
      </c>
      <c r="J56" s="152">
        <f t="shared" si="0"/>
        <v>0</v>
      </c>
      <c r="K56" s="261">
        <f t="shared" si="1"/>
        <v>902976</v>
      </c>
    </row>
    <row r="57" spans="1:11" ht="15.75" x14ac:dyDescent="0.25">
      <c r="A57" s="140" t="s">
        <v>154</v>
      </c>
      <c r="B57" s="139" t="s">
        <v>155</v>
      </c>
      <c r="C57" s="139">
        <v>322</v>
      </c>
      <c r="D57" s="139" t="s">
        <v>36</v>
      </c>
      <c r="E57" s="261">
        <v>947582</v>
      </c>
      <c r="F57" s="152">
        <v>0</v>
      </c>
      <c r="G57" s="261">
        <f t="shared" si="2"/>
        <v>947582</v>
      </c>
      <c r="H57" s="152">
        <v>0</v>
      </c>
      <c r="I57" s="152">
        <v>0</v>
      </c>
      <c r="J57" s="152">
        <f t="shared" si="0"/>
        <v>0</v>
      </c>
      <c r="K57" s="261">
        <f t="shared" si="1"/>
        <v>947582</v>
      </c>
    </row>
    <row r="58" spans="1:11" ht="15.75" x14ac:dyDescent="0.25">
      <c r="A58" s="140" t="s">
        <v>154</v>
      </c>
      <c r="B58" s="139" t="s">
        <v>155</v>
      </c>
      <c r="C58" s="139">
        <v>322</v>
      </c>
      <c r="D58" s="139" t="s">
        <v>124</v>
      </c>
      <c r="E58" s="261">
        <v>876657</v>
      </c>
      <c r="F58" s="152">
        <v>0</v>
      </c>
      <c r="G58" s="261">
        <f t="shared" si="2"/>
        <v>876657</v>
      </c>
      <c r="H58" s="152">
        <v>0</v>
      </c>
      <c r="I58" s="152">
        <v>0</v>
      </c>
      <c r="J58" s="152">
        <f t="shared" si="0"/>
        <v>0</v>
      </c>
      <c r="K58" s="261">
        <f t="shared" si="1"/>
        <v>876657</v>
      </c>
    </row>
    <row r="59" spans="1:11" ht="15.75" x14ac:dyDescent="0.25">
      <c r="A59" s="140" t="s">
        <v>154</v>
      </c>
      <c r="B59" s="139" t="s">
        <v>155</v>
      </c>
      <c r="C59" s="139">
        <v>322</v>
      </c>
      <c r="D59" s="139" t="s">
        <v>125</v>
      </c>
      <c r="E59" s="261">
        <v>468430</v>
      </c>
      <c r="F59" s="152">
        <v>0</v>
      </c>
      <c r="G59" s="261">
        <f t="shared" si="2"/>
        <v>468430</v>
      </c>
      <c r="H59" s="152">
        <v>0</v>
      </c>
      <c r="I59" s="152">
        <v>0</v>
      </c>
      <c r="J59" s="152">
        <f t="shared" si="0"/>
        <v>0</v>
      </c>
      <c r="K59" s="261">
        <f t="shared" si="1"/>
        <v>468430</v>
      </c>
    </row>
    <row r="60" spans="1:11" ht="15.75" x14ac:dyDescent="0.25">
      <c r="A60" s="140" t="s">
        <v>156</v>
      </c>
      <c r="B60" s="139" t="s">
        <v>157</v>
      </c>
      <c r="C60" s="139">
        <v>293</v>
      </c>
      <c r="D60" s="139" t="s">
        <v>37</v>
      </c>
      <c r="E60" s="261">
        <v>4732</v>
      </c>
      <c r="F60" s="152">
        <v>0</v>
      </c>
      <c r="G60" s="261">
        <f t="shared" si="2"/>
        <v>4732</v>
      </c>
      <c r="H60" s="152">
        <v>0</v>
      </c>
      <c r="I60" s="152">
        <v>0</v>
      </c>
      <c r="J60" s="152">
        <f t="shared" si="0"/>
        <v>0</v>
      </c>
      <c r="K60" s="261">
        <f t="shared" si="1"/>
        <v>4732</v>
      </c>
    </row>
    <row r="61" spans="1:11" ht="15.75" x14ac:dyDescent="0.25">
      <c r="A61" s="140" t="s">
        <v>156</v>
      </c>
      <c r="B61" s="139" t="s">
        <v>157</v>
      </c>
      <c r="C61" s="139">
        <v>293</v>
      </c>
      <c r="D61" s="139" t="s">
        <v>105</v>
      </c>
      <c r="E61" s="261">
        <v>31906</v>
      </c>
      <c r="F61" s="152">
        <v>0</v>
      </c>
      <c r="G61" s="261">
        <f t="shared" si="2"/>
        <v>31906</v>
      </c>
      <c r="H61" s="152">
        <v>0</v>
      </c>
      <c r="I61" s="152">
        <v>0</v>
      </c>
      <c r="J61" s="152">
        <f t="shared" si="0"/>
        <v>0</v>
      </c>
      <c r="K61" s="261">
        <f t="shared" si="1"/>
        <v>31906</v>
      </c>
    </row>
    <row r="62" spans="1:11" ht="15.75" x14ac:dyDescent="0.25">
      <c r="A62" s="140" t="s">
        <v>156</v>
      </c>
      <c r="B62" s="139" t="s">
        <v>157</v>
      </c>
      <c r="C62" s="139">
        <v>293</v>
      </c>
      <c r="D62" s="139" t="s">
        <v>116</v>
      </c>
      <c r="E62" s="261">
        <v>27775</v>
      </c>
      <c r="F62" s="152">
        <v>0</v>
      </c>
      <c r="G62" s="261">
        <f t="shared" si="2"/>
        <v>27775</v>
      </c>
      <c r="H62" s="152">
        <v>0</v>
      </c>
      <c r="I62" s="152">
        <v>0</v>
      </c>
      <c r="J62" s="152">
        <f t="shared" si="0"/>
        <v>0</v>
      </c>
      <c r="K62" s="261">
        <f t="shared" si="1"/>
        <v>27775</v>
      </c>
    </row>
    <row r="63" spans="1:11" ht="15.75" x14ac:dyDescent="0.25">
      <c r="A63" s="140" t="s">
        <v>156</v>
      </c>
      <c r="B63" s="139" t="s">
        <v>157</v>
      </c>
      <c r="C63" s="139">
        <v>293</v>
      </c>
      <c r="D63" s="139" t="s">
        <v>121</v>
      </c>
      <c r="E63" s="261">
        <v>17343</v>
      </c>
      <c r="F63" s="152">
        <v>0</v>
      </c>
      <c r="G63" s="261">
        <f t="shared" si="2"/>
        <v>17343</v>
      </c>
      <c r="H63" s="152">
        <v>0</v>
      </c>
      <c r="I63" s="152">
        <v>0</v>
      </c>
      <c r="J63" s="152">
        <f t="shared" si="0"/>
        <v>0</v>
      </c>
      <c r="K63" s="261">
        <f t="shared" si="1"/>
        <v>17343</v>
      </c>
    </row>
    <row r="64" spans="1:11" ht="15.75" x14ac:dyDescent="0.25">
      <c r="A64" s="140" t="s">
        <v>156</v>
      </c>
      <c r="B64" s="139" t="s">
        <v>157</v>
      </c>
      <c r="C64" s="139">
        <v>293</v>
      </c>
      <c r="D64" s="139" t="s">
        <v>122</v>
      </c>
      <c r="E64" s="261">
        <v>14818</v>
      </c>
      <c r="F64" s="152">
        <v>0</v>
      </c>
      <c r="G64" s="261">
        <f t="shared" si="2"/>
        <v>14818</v>
      </c>
      <c r="H64" s="152">
        <v>0</v>
      </c>
      <c r="I64" s="152">
        <v>0</v>
      </c>
      <c r="J64" s="152">
        <f t="shared" si="0"/>
        <v>0</v>
      </c>
      <c r="K64" s="261">
        <f t="shared" si="1"/>
        <v>14818</v>
      </c>
    </row>
    <row r="65" spans="1:11" ht="15.75" x14ac:dyDescent="0.25">
      <c r="A65" s="140" t="s">
        <v>156</v>
      </c>
      <c r="B65" s="139" t="s">
        <v>157</v>
      </c>
      <c r="C65" s="139">
        <v>293</v>
      </c>
      <c r="D65" s="139" t="s">
        <v>123</v>
      </c>
      <c r="E65" s="261">
        <v>9385</v>
      </c>
      <c r="F65" s="152">
        <v>0</v>
      </c>
      <c r="G65" s="261">
        <f t="shared" si="2"/>
        <v>9385</v>
      </c>
      <c r="H65" s="152">
        <v>0</v>
      </c>
      <c r="I65" s="152">
        <v>0</v>
      </c>
      <c r="J65" s="152">
        <f t="shared" si="0"/>
        <v>0</v>
      </c>
      <c r="K65" s="261">
        <f t="shared" si="1"/>
        <v>9385</v>
      </c>
    </row>
    <row r="66" spans="1:11" ht="15.75" x14ac:dyDescent="0.25">
      <c r="A66" s="140" t="s">
        <v>156</v>
      </c>
      <c r="B66" s="139" t="s">
        <v>157</v>
      </c>
      <c r="C66" s="139">
        <v>293</v>
      </c>
      <c r="D66" s="139" t="s">
        <v>36</v>
      </c>
      <c r="E66" s="261">
        <v>10431</v>
      </c>
      <c r="F66" s="152">
        <v>0</v>
      </c>
      <c r="G66" s="261">
        <f t="shared" si="2"/>
        <v>10431</v>
      </c>
      <c r="H66" s="152">
        <v>0</v>
      </c>
      <c r="I66" s="152">
        <v>0</v>
      </c>
      <c r="J66" s="152">
        <f t="shared" si="0"/>
        <v>0</v>
      </c>
      <c r="K66" s="261">
        <f t="shared" si="1"/>
        <v>10431</v>
      </c>
    </row>
    <row r="67" spans="1:11" ht="15.75" x14ac:dyDescent="0.25">
      <c r="A67" s="140" t="s">
        <v>156</v>
      </c>
      <c r="B67" s="139" t="s">
        <v>157</v>
      </c>
      <c r="C67" s="139">
        <v>293</v>
      </c>
      <c r="D67" s="139" t="s">
        <v>124</v>
      </c>
      <c r="E67" s="261">
        <v>12410</v>
      </c>
      <c r="F67" s="152">
        <v>0</v>
      </c>
      <c r="G67" s="261">
        <f t="shared" si="2"/>
        <v>12410</v>
      </c>
      <c r="H67" s="152">
        <v>0</v>
      </c>
      <c r="I67" s="152">
        <v>0</v>
      </c>
      <c r="J67" s="152">
        <f t="shared" si="0"/>
        <v>0</v>
      </c>
      <c r="K67" s="261">
        <f t="shared" si="1"/>
        <v>12410</v>
      </c>
    </row>
    <row r="68" spans="1:11" ht="15.75" x14ac:dyDescent="0.25">
      <c r="A68" s="140" t="s">
        <v>156</v>
      </c>
      <c r="B68" s="139" t="s">
        <v>157</v>
      </c>
      <c r="C68" s="139">
        <v>293</v>
      </c>
      <c r="D68" s="139" t="s">
        <v>125</v>
      </c>
      <c r="E68" s="261">
        <v>15208</v>
      </c>
      <c r="F68" s="152">
        <v>0</v>
      </c>
      <c r="G68" s="261">
        <f t="shared" si="2"/>
        <v>15208</v>
      </c>
      <c r="H68" s="152">
        <v>0</v>
      </c>
      <c r="I68" s="152">
        <v>0</v>
      </c>
      <c r="J68" s="152">
        <f t="shared" si="0"/>
        <v>0</v>
      </c>
      <c r="K68" s="261">
        <f t="shared" si="1"/>
        <v>15208</v>
      </c>
    </row>
    <row r="69" spans="1:11" ht="15.75" x14ac:dyDescent="0.25">
      <c r="A69" s="140" t="s">
        <v>156</v>
      </c>
      <c r="B69" s="139" t="s">
        <v>157</v>
      </c>
      <c r="C69" s="139">
        <v>293</v>
      </c>
      <c r="D69" s="139" t="s">
        <v>128</v>
      </c>
      <c r="E69" s="261">
        <v>13248</v>
      </c>
      <c r="F69" s="152">
        <v>0</v>
      </c>
      <c r="G69" s="261">
        <f t="shared" si="2"/>
        <v>13248</v>
      </c>
      <c r="H69" s="152">
        <v>0</v>
      </c>
      <c r="I69" s="152">
        <v>0</v>
      </c>
      <c r="J69" s="152">
        <f t="shared" si="0"/>
        <v>0</v>
      </c>
      <c r="K69" s="261">
        <f t="shared" si="1"/>
        <v>13248</v>
      </c>
    </row>
    <row r="70" spans="1:11" ht="15.75" x14ac:dyDescent="0.25">
      <c r="A70" s="140" t="s">
        <v>158</v>
      </c>
      <c r="B70" s="139" t="s">
        <v>159</v>
      </c>
      <c r="C70" s="139">
        <v>321</v>
      </c>
      <c r="D70" s="139" t="s">
        <v>54</v>
      </c>
      <c r="E70" s="261">
        <v>8294661</v>
      </c>
      <c r="F70" s="152">
        <v>0</v>
      </c>
      <c r="G70" s="261">
        <v>8294661</v>
      </c>
      <c r="H70" s="152">
        <v>0</v>
      </c>
      <c r="I70" s="152">
        <v>0</v>
      </c>
      <c r="J70" s="152">
        <v>0</v>
      </c>
      <c r="K70" s="261">
        <v>8294661</v>
      </c>
    </row>
    <row r="71" spans="1:11" ht="15.75" x14ac:dyDescent="0.25">
      <c r="A71" s="140" t="s">
        <v>158</v>
      </c>
      <c r="B71" s="139" t="s">
        <v>159</v>
      </c>
      <c r="C71" s="139">
        <v>321</v>
      </c>
      <c r="D71" s="139" t="s">
        <v>55</v>
      </c>
      <c r="E71" s="261">
        <v>7333027</v>
      </c>
      <c r="F71" s="152">
        <v>0</v>
      </c>
      <c r="G71" s="261">
        <v>7333027</v>
      </c>
      <c r="H71" s="152">
        <v>0</v>
      </c>
      <c r="I71" s="152">
        <v>0</v>
      </c>
      <c r="J71" s="152">
        <v>0</v>
      </c>
      <c r="K71" s="261">
        <v>7333027</v>
      </c>
    </row>
    <row r="72" spans="1:11" ht="15.75" x14ac:dyDescent="0.25">
      <c r="A72" s="140" t="s">
        <v>158</v>
      </c>
      <c r="B72" s="139" t="s">
        <v>159</v>
      </c>
      <c r="C72" s="139">
        <v>321</v>
      </c>
      <c r="D72" s="139" t="s">
        <v>58</v>
      </c>
      <c r="E72" s="261">
        <v>6908865</v>
      </c>
      <c r="F72" s="152">
        <v>0</v>
      </c>
      <c r="G72" s="261">
        <v>6908865</v>
      </c>
      <c r="H72" s="152">
        <v>0</v>
      </c>
      <c r="I72" s="152">
        <v>0</v>
      </c>
      <c r="J72" s="152">
        <v>0</v>
      </c>
      <c r="K72" s="261">
        <v>6908865</v>
      </c>
    </row>
    <row r="73" spans="1:11" ht="15.75" x14ac:dyDescent="0.25">
      <c r="A73" s="140" t="s">
        <v>158</v>
      </c>
      <c r="B73" s="139" t="s">
        <v>159</v>
      </c>
      <c r="C73" s="139">
        <v>321</v>
      </c>
      <c r="D73" s="139" t="s">
        <v>37</v>
      </c>
      <c r="E73" s="261">
        <v>6971222</v>
      </c>
      <c r="F73" s="152">
        <v>0</v>
      </c>
      <c r="G73" s="261">
        <v>6971222</v>
      </c>
      <c r="H73" s="152">
        <v>0</v>
      </c>
      <c r="I73" s="152">
        <v>0</v>
      </c>
      <c r="J73" s="152">
        <v>0</v>
      </c>
      <c r="K73" s="261">
        <v>6971222</v>
      </c>
    </row>
    <row r="74" spans="1:11" ht="15.75" x14ac:dyDescent="0.25">
      <c r="A74" s="140" t="s">
        <v>158</v>
      </c>
      <c r="B74" s="139" t="s">
        <v>159</v>
      </c>
      <c r="C74" s="139">
        <v>321</v>
      </c>
      <c r="D74" s="139" t="s">
        <v>105</v>
      </c>
      <c r="E74" s="261">
        <v>7660113</v>
      </c>
      <c r="F74" s="152">
        <v>0</v>
      </c>
      <c r="G74" s="261">
        <v>7660113</v>
      </c>
      <c r="H74" s="152">
        <v>0</v>
      </c>
      <c r="I74" s="152">
        <v>0</v>
      </c>
      <c r="J74" s="152">
        <v>0</v>
      </c>
      <c r="K74" s="261">
        <v>7660113</v>
      </c>
    </row>
    <row r="75" spans="1:11" ht="15.75" x14ac:dyDescent="0.25">
      <c r="A75" s="140" t="s">
        <v>158</v>
      </c>
      <c r="B75" s="139" t="s">
        <v>159</v>
      </c>
      <c r="C75" s="139">
        <v>321</v>
      </c>
      <c r="D75" s="139" t="s">
        <v>116</v>
      </c>
      <c r="E75" s="261">
        <v>7068086</v>
      </c>
      <c r="F75" s="152">
        <v>0</v>
      </c>
      <c r="G75" s="261">
        <v>7068086</v>
      </c>
      <c r="H75" s="152">
        <v>0</v>
      </c>
      <c r="I75" s="152">
        <v>0</v>
      </c>
      <c r="J75" s="152">
        <v>0</v>
      </c>
      <c r="K75" s="261">
        <v>7068086</v>
      </c>
    </row>
    <row r="76" spans="1:11" ht="15.75" x14ac:dyDescent="0.25">
      <c r="A76" s="140" t="s">
        <v>158</v>
      </c>
      <c r="B76" s="139" t="s">
        <v>159</v>
      </c>
      <c r="C76" s="139">
        <v>321</v>
      </c>
      <c r="D76" s="139" t="s">
        <v>121</v>
      </c>
      <c r="E76" s="261">
        <v>6431488</v>
      </c>
      <c r="F76" s="152">
        <v>0</v>
      </c>
      <c r="G76" s="261">
        <v>6431488</v>
      </c>
      <c r="H76" s="152">
        <v>0</v>
      </c>
      <c r="I76" s="152">
        <v>0</v>
      </c>
      <c r="J76" s="152">
        <v>0</v>
      </c>
      <c r="K76" s="261">
        <v>6431488</v>
      </c>
    </row>
    <row r="77" spans="1:11" ht="15.75" x14ac:dyDescent="0.25">
      <c r="A77" s="140" t="s">
        <v>158</v>
      </c>
      <c r="B77" s="139" t="s">
        <v>159</v>
      </c>
      <c r="C77" s="139">
        <v>321</v>
      </c>
      <c r="D77" s="139" t="s">
        <v>122</v>
      </c>
      <c r="E77" s="261">
        <v>5122580</v>
      </c>
      <c r="F77" s="152">
        <v>0</v>
      </c>
      <c r="G77" s="261">
        <v>5122580</v>
      </c>
      <c r="H77" s="152">
        <v>0</v>
      </c>
      <c r="I77" s="152">
        <v>0</v>
      </c>
      <c r="J77" s="152">
        <v>0</v>
      </c>
      <c r="K77" s="261">
        <v>5122580</v>
      </c>
    </row>
    <row r="78" spans="1:11" ht="15.75" x14ac:dyDescent="0.25">
      <c r="A78" s="140" t="s">
        <v>158</v>
      </c>
      <c r="B78" s="139" t="s">
        <v>159</v>
      </c>
      <c r="C78" s="139">
        <v>321</v>
      </c>
      <c r="D78" s="139" t="s">
        <v>123</v>
      </c>
      <c r="E78" s="261">
        <v>4197385</v>
      </c>
      <c r="F78" s="152">
        <v>0</v>
      </c>
      <c r="G78" s="261">
        <v>4197385</v>
      </c>
      <c r="H78" s="152">
        <v>0</v>
      </c>
      <c r="I78" s="152">
        <v>0</v>
      </c>
      <c r="J78" s="152">
        <v>0</v>
      </c>
      <c r="K78" s="261">
        <v>4197385</v>
      </c>
    </row>
    <row r="79" spans="1:11" ht="15.75" x14ac:dyDescent="0.25">
      <c r="A79" s="140" t="s">
        <v>158</v>
      </c>
      <c r="B79" s="139" t="s">
        <v>159</v>
      </c>
      <c r="C79" s="139">
        <v>321</v>
      </c>
      <c r="D79" s="139" t="s">
        <v>36</v>
      </c>
      <c r="E79" s="261">
        <v>3300232</v>
      </c>
      <c r="F79" s="152">
        <v>0</v>
      </c>
      <c r="G79" s="261">
        <v>3300232</v>
      </c>
      <c r="H79" s="152">
        <v>0</v>
      </c>
      <c r="I79" s="152">
        <v>0</v>
      </c>
      <c r="J79" s="152">
        <v>0</v>
      </c>
      <c r="K79" s="261">
        <v>3300232</v>
      </c>
    </row>
    <row r="80" spans="1:11" ht="15.75" x14ac:dyDescent="0.25">
      <c r="A80" s="140" t="s">
        <v>158</v>
      </c>
      <c r="B80" s="139" t="s">
        <v>159</v>
      </c>
      <c r="C80" s="139">
        <v>321</v>
      </c>
      <c r="D80" s="139" t="s">
        <v>124</v>
      </c>
      <c r="E80" s="261">
        <v>3046129</v>
      </c>
      <c r="F80" s="152">
        <v>0</v>
      </c>
      <c r="G80" s="261">
        <v>3046129</v>
      </c>
      <c r="H80" s="152">
        <v>0</v>
      </c>
      <c r="I80" s="152">
        <v>0</v>
      </c>
      <c r="J80" s="152">
        <v>0</v>
      </c>
      <c r="K80" s="261">
        <v>3046129</v>
      </c>
    </row>
    <row r="81" spans="1:11" ht="30.75" x14ac:dyDescent="0.25">
      <c r="A81" s="140" t="s">
        <v>160</v>
      </c>
      <c r="B81" s="139" t="s">
        <v>161</v>
      </c>
      <c r="C81" s="139">
        <v>358</v>
      </c>
      <c r="D81" s="139" t="s">
        <v>38</v>
      </c>
      <c r="E81" s="261">
        <v>1078586</v>
      </c>
      <c r="F81" s="152">
        <v>0</v>
      </c>
      <c r="G81" s="261">
        <f t="shared" si="2"/>
        <v>1078586</v>
      </c>
      <c r="H81" s="152">
        <v>0</v>
      </c>
      <c r="I81" s="152">
        <v>0</v>
      </c>
      <c r="J81" s="152">
        <f t="shared" si="0"/>
        <v>0</v>
      </c>
      <c r="K81" s="261">
        <f t="shared" si="1"/>
        <v>1078586</v>
      </c>
    </row>
    <row r="82" spans="1:11" ht="30.75" x14ac:dyDescent="0.25">
      <c r="A82" s="140" t="s">
        <v>160</v>
      </c>
      <c r="B82" s="139" t="s">
        <v>161</v>
      </c>
      <c r="C82" s="139">
        <v>358</v>
      </c>
      <c r="D82" s="139" t="s">
        <v>53</v>
      </c>
      <c r="E82" s="261">
        <v>1459714</v>
      </c>
      <c r="F82" s="152">
        <v>0</v>
      </c>
      <c r="G82" s="261">
        <f t="shared" si="2"/>
        <v>1459714</v>
      </c>
      <c r="H82" s="152">
        <v>0</v>
      </c>
      <c r="I82" s="152">
        <v>0</v>
      </c>
      <c r="J82" s="152">
        <f t="shared" si="0"/>
        <v>0</v>
      </c>
      <c r="K82" s="261">
        <f t="shared" si="1"/>
        <v>1459714</v>
      </c>
    </row>
    <row r="83" spans="1:11" ht="30.75" x14ac:dyDescent="0.25">
      <c r="A83" s="140" t="s">
        <v>160</v>
      </c>
      <c r="B83" s="139" t="s">
        <v>161</v>
      </c>
      <c r="C83" s="139">
        <v>358</v>
      </c>
      <c r="D83" s="139" t="s">
        <v>54</v>
      </c>
      <c r="E83" s="261">
        <v>1235536</v>
      </c>
      <c r="F83" s="152">
        <v>0</v>
      </c>
      <c r="G83" s="261">
        <f t="shared" si="2"/>
        <v>1235536</v>
      </c>
      <c r="H83" s="152">
        <v>0</v>
      </c>
      <c r="I83" s="152">
        <v>0</v>
      </c>
      <c r="J83" s="152">
        <f t="shared" si="0"/>
        <v>0</v>
      </c>
      <c r="K83" s="261">
        <f t="shared" si="1"/>
        <v>1235536</v>
      </c>
    </row>
    <row r="84" spans="1:11" ht="30.75" x14ac:dyDescent="0.25">
      <c r="A84" s="140" t="s">
        <v>160</v>
      </c>
      <c r="B84" s="139" t="s">
        <v>161</v>
      </c>
      <c r="C84" s="139">
        <v>358</v>
      </c>
      <c r="D84" s="139" t="s">
        <v>55</v>
      </c>
      <c r="E84" s="261">
        <v>3939475</v>
      </c>
      <c r="F84" s="152">
        <v>0</v>
      </c>
      <c r="G84" s="261">
        <f t="shared" si="2"/>
        <v>3939475</v>
      </c>
      <c r="H84" s="152">
        <v>0</v>
      </c>
      <c r="I84" s="152">
        <v>0</v>
      </c>
      <c r="J84" s="152">
        <f t="shared" si="0"/>
        <v>0</v>
      </c>
      <c r="K84" s="261">
        <f t="shared" si="1"/>
        <v>3939475</v>
      </c>
    </row>
    <row r="85" spans="1:11" ht="30.75" x14ac:dyDescent="0.25">
      <c r="A85" s="140" t="s">
        <v>160</v>
      </c>
      <c r="B85" s="139" t="s">
        <v>161</v>
      </c>
      <c r="C85" s="139">
        <v>358</v>
      </c>
      <c r="D85" s="139" t="s">
        <v>58</v>
      </c>
      <c r="E85" s="261">
        <v>7218556</v>
      </c>
      <c r="F85" s="152">
        <v>0</v>
      </c>
      <c r="G85" s="261">
        <f t="shared" si="2"/>
        <v>7218556</v>
      </c>
      <c r="H85" s="152">
        <v>0</v>
      </c>
      <c r="I85" s="152">
        <v>0</v>
      </c>
      <c r="J85" s="152">
        <f t="shared" si="0"/>
        <v>0</v>
      </c>
      <c r="K85" s="261">
        <f t="shared" si="1"/>
        <v>7218556</v>
      </c>
    </row>
    <row r="86" spans="1:11" ht="30.75" x14ac:dyDescent="0.25">
      <c r="A86" s="140" t="s">
        <v>160</v>
      </c>
      <c r="B86" s="139" t="s">
        <v>161</v>
      </c>
      <c r="C86" s="139">
        <v>358</v>
      </c>
      <c r="D86" s="139" t="s">
        <v>37</v>
      </c>
      <c r="E86" s="261">
        <v>7015470</v>
      </c>
      <c r="F86" s="152">
        <v>0</v>
      </c>
      <c r="G86" s="261">
        <f t="shared" si="2"/>
        <v>7015470</v>
      </c>
      <c r="H86" s="152">
        <v>0</v>
      </c>
      <c r="I86" s="152">
        <v>0</v>
      </c>
      <c r="J86" s="152">
        <f t="shared" si="0"/>
        <v>0</v>
      </c>
      <c r="K86" s="261">
        <f t="shared" si="1"/>
        <v>7015470</v>
      </c>
    </row>
    <row r="87" spans="1:11" ht="30.75" x14ac:dyDescent="0.25">
      <c r="A87" s="140" t="s">
        <v>160</v>
      </c>
      <c r="B87" s="139" t="s">
        <v>161</v>
      </c>
      <c r="C87" s="139">
        <v>358</v>
      </c>
      <c r="D87" s="139" t="s">
        <v>105</v>
      </c>
      <c r="E87" s="261">
        <v>5667286</v>
      </c>
      <c r="F87" s="152">
        <v>0</v>
      </c>
      <c r="G87" s="261">
        <f t="shared" si="2"/>
        <v>5667286</v>
      </c>
      <c r="H87" s="152">
        <v>0</v>
      </c>
      <c r="I87" s="152">
        <v>0</v>
      </c>
      <c r="J87" s="152">
        <f t="shared" si="0"/>
        <v>0</v>
      </c>
      <c r="K87" s="261">
        <f t="shared" si="1"/>
        <v>5667286</v>
      </c>
    </row>
    <row r="88" spans="1:11" ht="30.75" x14ac:dyDescent="0.25">
      <c r="A88" s="140" t="s">
        <v>160</v>
      </c>
      <c r="B88" s="139" t="s">
        <v>161</v>
      </c>
      <c r="C88" s="139">
        <v>358</v>
      </c>
      <c r="D88" s="139" t="s">
        <v>116</v>
      </c>
      <c r="E88" s="261">
        <v>5031327</v>
      </c>
      <c r="F88" s="152">
        <v>0</v>
      </c>
      <c r="G88" s="261">
        <f t="shared" si="2"/>
        <v>5031327</v>
      </c>
      <c r="H88" s="152">
        <v>0</v>
      </c>
      <c r="I88" s="152">
        <v>0</v>
      </c>
      <c r="J88" s="152">
        <f t="shared" si="0"/>
        <v>0</v>
      </c>
      <c r="K88" s="261">
        <f t="shared" si="1"/>
        <v>5031327</v>
      </c>
    </row>
    <row r="89" spans="1:11" ht="30.75" x14ac:dyDescent="0.25">
      <c r="A89" s="140" t="s">
        <v>160</v>
      </c>
      <c r="B89" s="139" t="s">
        <v>161</v>
      </c>
      <c r="C89" s="139">
        <v>358</v>
      </c>
      <c r="D89" s="139" t="s">
        <v>121</v>
      </c>
      <c r="E89" s="261">
        <v>4489524</v>
      </c>
      <c r="F89" s="152">
        <v>0</v>
      </c>
      <c r="G89" s="261">
        <f t="shared" si="2"/>
        <v>4489524</v>
      </c>
      <c r="H89" s="152">
        <v>0</v>
      </c>
      <c r="I89" s="152">
        <v>0</v>
      </c>
      <c r="J89" s="152">
        <f t="shared" si="0"/>
        <v>0</v>
      </c>
      <c r="K89" s="261">
        <f t="shared" si="1"/>
        <v>4489524</v>
      </c>
    </row>
    <row r="90" spans="1:11" ht="30.75" x14ac:dyDescent="0.25">
      <c r="A90" s="140" t="s">
        <v>160</v>
      </c>
      <c r="B90" s="139" t="s">
        <v>161</v>
      </c>
      <c r="C90" s="139">
        <v>358</v>
      </c>
      <c r="D90" s="139" t="s">
        <v>122</v>
      </c>
      <c r="E90" s="261">
        <v>4188945</v>
      </c>
      <c r="F90" s="152">
        <v>0</v>
      </c>
      <c r="G90" s="261">
        <f t="shared" si="2"/>
        <v>4188945</v>
      </c>
      <c r="H90" s="152">
        <v>0</v>
      </c>
      <c r="I90" s="152">
        <v>0</v>
      </c>
      <c r="J90" s="152">
        <f t="shared" ref="J90:J137" si="3">H90-I90</f>
        <v>0</v>
      </c>
      <c r="K90" s="261">
        <f t="shared" ref="K90:K137" si="4">G90-J90</f>
        <v>4188945</v>
      </c>
    </row>
    <row r="91" spans="1:11" ht="30.75" x14ac:dyDescent="0.25">
      <c r="A91" s="140" t="s">
        <v>160</v>
      </c>
      <c r="B91" s="139" t="s">
        <v>161</v>
      </c>
      <c r="C91" s="139">
        <v>358</v>
      </c>
      <c r="D91" s="139" t="s">
        <v>123</v>
      </c>
      <c r="E91" s="261">
        <v>4009240</v>
      </c>
      <c r="F91" s="152">
        <v>0</v>
      </c>
      <c r="G91" s="261">
        <f t="shared" si="2"/>
        <v>4009240</v>
      </c>
      <c r="H91" s="152">
        <v>0</v>
      </c>
      <c r="I91" s="152">
        <v>0</v>
      </c>
      <c r="J91" s="152">
        <f t="shared" si="3"/>
        <v>0</v>
      </c>
      <c r="K91" s="261">
        <f t="shared" si="4"/>
        <v>4009240</v>
      </c>
    </row>
    <row r="92" spans="1:11" ht="30.75" x14ac:dyDescent="0.25">
      <c r="A92" s="140" t="s">
        <v>160</v>
      </c>
      <c r="B92" s="139" t="s">
        <v>161</v>
      </c>
      <c r="C92" s="139">
        <v>358</v>
      </c>
      <c r="D92" s="139" t="s">
        <v>36</v>
      </c>
      <c r="E92" s="261">
        <v>3716419</v>
      </c>
      <c r="F92" s="152">
        <v>0</v>
      </c>
      <c r="G92" s="261">
        <f t="shared" si="2"/>
        <v>3716419</v>
      </c>
      <c r="H92" s="152">
        <v>0</v>
      </c>
      <c r="I92" s="152">
        <v>0</v>
      </c>
      <c r="J92" s="152">
        <f t="shared" si="3"/>
        <v>0</v>
      </c>
      <c r="K92" s="261">
        <f t="shared" si="4"/>
        <v>3716419</v>
      </c>
    </row>
    <row r="93" spans="1:11" ht="30.75" x14ac:dyDescent="0.25">
      <c r="A93" s="140" t="s">
        <v>160</v>
      </c>
      <c r="B93" s="139" t="s">
        <v>161</v>
      </c>
      <c r="C93" s="139">
        <v>358</v>
      </c>
      <c r="D93" s="139" t="s">
        <v>124</v>
      </c>
      <c r="E93" s="261">
        <v>3361804</v>
      </c>
      <c r="F93" s="152">
        <v>0</v>
      </c>
      <c r="G93" s="261">
        <f t="shared" si="2"/>
        <v>3361804</v>
      </c>
      <c r="H93" s="152">
        <v>0</v>
      </c>
      <c r="I93" s="152">
        <v>0</v>
      </c>
      <c r="J93" s="152">
        <f t="shared" si="3"/>
        <v>0</v>
      </c>
      <c r="K93" s="261">
        <f t="shared" si="4"/>
        <v>3361804</v>
      </c>
    </row>
    <row r="94" spans="1:11" ht="30.75" x14ac:dyDescent="0.25">
      <c r="A94" s="140" t="s">
        <v>160</v>
      </c>
      <c r="B94" s="139" t="s">
        <v>161</v>
      </c>
      <c r="C94" s="139">
        <v>358</v>
      </c>
      <c r="D94" s="139" t="s">
        <v>125</v>
      </c>
      <c r="E94" s="261">
        <v>3002529</v>
      </c>
      <c r="F94" s="152">
        <v>0</v>
      </c>
      <c r="G94" s="261">
        <f t="shared" si="2"/>
        <v>3002529</v>
      </c>
      <c r="H94" s="152">
        <v>0</v>
      </c>
      <c r="I94" s="152">
        <v>0</v>
      </c>
      <c r="J94" s="152">
        <f t="shared" si="3"/>
        <v>0</v>
      </c>
      <c r="K94" s="261">
        <f t="shared" si="4"/>
        <v>3002529</v>
      </c>
    </row>
    <row r="95" spans="1:11" ht="30.75" x14ac:dyDescent="0.25">
      <c r="A95" s="140" t="s">
        <v>160</v>
      </c>
      <c r="B95" s="139" t="s">
        <v>161</v>
      </c>
      <c r="C95" s="139">
        <v>358</v>
      </c>
      <c r="D95" s="139" t="s">
        <v>128</v>
      </c>
      <c r="E95" s="261">
        <v>2845338</v>
      </c>
      <c r="F95" s="152">
        <v>0</v>
      </c>
      <c r="G95" s="261">
        <f t="shared" si="2"/>
        <v>2845338</v>
      </c>
      <c r="H95" s="152">
        <v>0</v>
      </c>
      <c r="I95" s="152">
        <v>0</v>
      </c>
      <c r="J95" s="152">
        <f t="shared" si="3"/>
        <v>0</v>
      </c>
      <c r="K95" s="261">
        <f t="shared" si="4"/>
        <v>2845338</v>
      </c>
    </row>
    <row r="96" spans="1:11" ht="30.75" x14ac:dyDescent="0.25">
      <c r="A96" s="140" t="s">
        <v>160</v>
      </c>
      <c r="B96" s="139" t="s">
        <v>161</v>
      </c>
      <c r="C96" s="139">
        <v>358</v>
      </c>
      <c r="D96" s="139" t="s">
        <v>129</v>
      </c>
      <c r="E96" s="261">
        <v>2607566</v>
      </c>
      <c r="F96" s="152">
        <v>0</v>
      </c>
      <c r="G96" s="261">
        <f t="shared" si="2"/>
        <v>2607566</v>
      </c>
      <c r="H96" s="152">
        <v>0</v>
      </c>
      <c r="I96" s="152">
        <v>0</v>
      </c>
      <c r="J96" s="152">
        <f t="shared" si="3"/>
        <v>0</v>
      </c>
      <c r="K96" s="261">
        <f t="shared" si="4"/>
        <v>2607566</v>
      </c>
    </row>
    <row r="97" spans="1:11" ht="15.75" x14ac:dyDescent="0.25">
      <c r="A97" s="140" t="s">
        <v>162</v>
      </c>
      <c r="B97" s="139" t="s">
        <v>163</v>
      </c>
      <c r="C97" s="139">
        <v>259</v>
      </c>
      <c r="D97" s="139" t="s">
        <v>55</v>
      </c>
      <c r="E97" s="261">
        <v>1840</v>
      </c>
      <c r="F97" s="152">
        <v>0</v>
      </c>
      <c r="G97" s="261">
        <f t="shared" si="2"/>
        <v>1840</v>
      </c>
      <c r="H97" s="152">
        <v>0</v>
      </c>
      <c r="I97" s="152">
        <v>0</v>
      </c>
      <c r="J97" s="152">
        <f t="shared" si="3"/>
        <v>0</v>
      </c>
      <c r="K97" s="261">
        <f t="shared" si="4"/>
        <v>1840</v>
      </c>
    </row>
    <row r="98" spans="1:11" ht="15.75" x14ac:dyDescent="0.25">
      <c r="A98" s="140" t="s">
        <v>162</v>
      </c>
      <c r="B98" s="139" t="s">
        <v>163</v>
      </c>
      <c r="C98" s="139">
        <v>259</v>
      </c>
      <c r="D98" s="139" t="s">
        <v>58</v>
      </c>
      <c r="E98" s="261">
        <v>3550</v>
      </c>
      <c r="F98" s="152">
        <v>0</v>
      </c>
      <c r="G98" s="261">
        <f t="shared" si="2"/>
        <v>3550</v>
      </c>
      <c r="H98" s="152">
        <v>0</v>
      </c>
      <c r="I98" s="152">
        <v>0</v>
      </c>
      <c r="J98" s="152">
        <f t="shared" si="3"/>
        <v>0</v>
      </c>
      <c r="K98" s="261">
        <f t="shared" si="4"/>
        <v>3550</v>
      </c>
    </row>
    <row r="99" spans="1:11" s="39" customFormat="1" x14ac:dyDescent="0.2">
      <c r="A99" s="147" t="s">
        <v>164</v>
      </c>
      <c r="B99" s="146" t="s">
        <v>165</v>
      </c>
      <c r="C99" s="146">
        <v>298</v>
      </c>
      <c r="D99" s="146" t="s">
        <v>371</v>
      </c>
      <c r="E99" s="264">
        <v>2447580</v>
      </c>
      <c r="F99" s="154">
        <v>0</v>
      </c>
      <c r="G99" s="264">
        <v>2447580</v>
      </c>
      <c r="H99" s="154">
        <v>0</v>
      </c>
      <c r="I99" s="154">
        <v>0</v>
      </c>
      <c r="J99" s="154">
        <v>0</v>
      </c>
      <c r="K99" s="264">
        <v>2447580</v>
      </c>
    </row>
    <row r="100" spans="1:11" ht="15.75" x14ac:dyDescent="0.25">
      <c r="A100" s="140" t="s">
        <v>164</v>
      </c>
      <c r="B100" s="139" t="s">
        <v>165</v>
      </c>
      <c r="C100" s="139">
        <v>298</v>
      </c>
      <c r="D100" s="139" t="s">
        <v>184</v>
      </c>
      <c r="E100" s="261">
        <v>2223241</v>
      </c>
      <c r="F100" s="152">
        <v>0</v>
      </c>
      <c r="G100" s="261">
        <v>2223241</v>
      </c>
      <c r="H100" s="152">
        <v>0</v>
      </c>
      <c r="I100" s="152">
        <v>0</v>
      </c>
      <c r="J100" s="152">
        <v>0</v>
      </c>
      <c r="K100" s="261">
        <v>2223241</v>
      </c>
    </row>
    <row r="101" spans="1:11" ht="15.75" x14ac:dyDescent="0.25">
      <c r="A101" s="140" t="s">
        <v>164</v>
      </c>
      <c r="B101" s="139" t="s">
        <v>165</v>
      </c>
      <c r="C101" s="139">
        <v>298</v>
      </c>
      <c r="D101" s="139" t="s">
        <v>177</v>
      </c>
      <c r="E101" s="261">
        <v>1909081</v>
      </c>
      <c r="F101" s="152">
        <v>0</v>
      </c>
      <c r="G101" s="261">
        <v>1909081</v>
      </c>
      <c r="H101" s="152">
        <v>0</v>
      </c>
      <c r="I101" s="152">
        <v>0</v>
      </c>
      <c r="J101" s="152">
        <v>0</v>
      </c>
      <c r="K101" s="261">
        <v>1909081</v>
      </c>
    </row>
    <row r="102" spans="1:11" ht="15.75" x14ac:dyDescent="0.25">
      <c r="A102" s="140" t="s">
        <v>164</v>
      </c>
      <c r="B102" s="139" t="s">
        <v>165</v>
      </c>
      <c r="C102" s="139">
        <v>298</v>
      </c>
      <c r="D102" s="139" t="s">
        <v>22</v>
      </c>
      <c r="E102" s="261">
        <v>1645132</v>
      </c>
      <c r="F102" s="152">
        <v>0</v>
      </c>
      <c r="G102" s="261">
        <v>1645132</v>
      </c>
      <c r="H102" s="152">
        <v>0</v>
      </c>
      <c r="I102" s="152">
        <v>0</v>
      </c>
      <c r="J102" s="152">
        <v>0</v>
      </c>
      <c r="K102" s="261">
        <v>1645132</v>
      </c>
    </row>
    <row r="103" spans="1:11" ht="15.75" x14ac:dyDescent="0.25">
      <c r="A103" s="140" t="s">
        <v>164</v>
      </c>
      <c r="B103" s="139" t="s">
        <v>165</v>
      </c>
      <c r="C103" s="139">
        <v>298</v>
      </c>
      <c r="D103" s="139" t="s">
        <v>2</v>
      </c>
      <c r="E103" s="261">
        <v>1718804</v>
      </c>
      <c r="F103" s="152">
        <v>0</v>
      </c>
      <c r="G103" s="261">
        <v>1718804</v>
      </c>
      <c r="H103" s="152">
        <v>0</v>
      </c>
      <c r="I103" s="152">
        <v>0</v>
      </c>
      <c r="J103" s="152">
        <v>0</v>
      </c>
      <c r="K103" s="261">
        <v>1718804</v>
      </c>
    </row>
    <row r="104" spans="1:11" ht="15.75" x14ac:dyDescent="0.25">
      <c r="A104" s="140" t="s">
        <v>164</v>
      </c>
      <c r="B104" s="139" t="s">
        <v>165</v>
      </c>
      <c r="C104" s="139">
        <v>298</v>
      </c>
      <c r="D104" s="139" t="s">
        <v>3</v>
      </c>
      <c r="E104" s="261">
        <v>1484786</v>
      </c>
      <c r="F104" s="152">
        <v>0</v>
      </c>
      <c r="G104" s="261">
        <v>1484786</v>
      </c>
      <c r="H104" s="152">
        <v>0</v>
      </c>
      <c r="I104" s="152">
        <v>0</v>
      </c>
      <c r="J104" s="152">
        <v>0</v>
      </c>
      <c r="K104" s="261">
        <v>1484786</v>
      </c>
    </row>
    <row r="105" spans="1:11" ht="15.75" x14ac:dyDescent="0.25">
      <c r="A105" s="140" t="s">
        <v>164</v>
      </c>
      <c r="B105" s="139" t="s">
        <v>165</v>
      </c>
      <c r="C105" s="139">
        <v>298</v>
      </c>
      <c r="D105" s="139" t="s">
        <v>24</v>
      </c>
      <c r="E105" s="261">
        <v>1416419</v>
      </c>
      <c r="F105" s="152">
        <v>0</v>
      </c>
      <c r="G105" s="261">
        <v>1416419</v>
      </c>
      <c r="H105" s="152">
        <v>0</v>
      </c>
      <c r="I105" s="152">
        <v>0</v>
      </c>
      <c r="J105" s="152">
        <v>0</v>
      </c>
      <c r="K105" s="261">
        <v>1416419</v>
      </c>
    </row>
    <row r="106" spans="1:11" ht="15.75" x14ac:dyDescent="0.25">
      <c r="A106" s="140" t="s">
        <v>164</v>
      </c>
      <c r="B106" s="139" t="s">
        <v>165</v>
      </c>
      <c r="C106" s="139">
        <v>298</v>
      </c>
      <c r="D106" s="139" t="s">
        <v>39</v>
      </c>
      <c r="E106" s="261">
        <v>1726995</v>
      </c>
      <c r="F106" s="152">
        <v>0</v>
      </c>
      <c r="G106" s="261">
        <v>1726995</v>
      </c>
      <c r="H106" s="152">
        <v>0</v>
      </c>
      <c r="I106" s="152">
        <v>0</v>
      </c>
      <c r="J106" s="152">
        <v>0</v>
      </c>
      <c r="K106" s="261">
        <v>1726995</v>
      </c>
    </row>
    <row r="107" spans="1:11" ht="15.75" x14ac:dyDescent="0.25">
      <c r="A107" s="140" t="s">
        <v>164</v>
      </c>
      <c r="B107" s="139" t="s">
        <v>165</v>
      </c>
      <c r="C107" s="139">
        <v>298</v>
      </c>
      <c r="D107" s="139" t="s">
        <v>38</v>
      </c>
      <c r="E107" s="261">
        <v>1662687</v>
      </c>
      <c r="F107" s="152">
        <v>0</v>
      </c>
      <c r="G107" s="261">
        <v>1662687</v>
      </c>
      <c r="H107" s="152">
        <v>0</v>
      </c>
      <c r="I107" s="152">
        <v>0</v>
      </c>
      <c r="J107" s="152">
        <v>0</v>
      </c>
      <c r="K107" s="261">
        <v>1662687</v>
      </c>
    </row>
    <row r="108" spans="1:11" ht="15.75" x14ac:dyDescent="0.25">
      <c r="A108" s="140" t="s">
        <v>164</v>
      </c>
      <c r="B108" s="139" t="s">
        <v>165</v>
      </c>
      <c r="C108" s="139">
        <v>298</v>
      </c>
      <c r="D108" s="139" t="s">
        <v>53</v>
      </c>
      <c r="E108" s="261">
        <v>2324012</v>
      </c>
      <c r="F108" s="152">
        <v>0</v>
      </c>
      <c r="G108" s="261">
        <v>2324012</v>
      </c>
      <c r="H108" s="152">
        <v>0</v>
      </c>
      <c r="I108" s="152">
        <v>0</v>
      </c>
      <c r="J108" s="152">
        <v>0</v>
      </c>
      <c r="K108" s="261">
        <v>2324012</v>
      </c>
    </row>
    <row r="109" spans="1:11" ht="15.75" x14ac:dyDescent="0.25">
      <c r="A109" s="140" t="s">
        <v>164</v>
      </c>
      <c r="B109" s="139" t="s">
        <v>165</v>
      </c>
      <c r="C109" s="139">
        <v>298</v>
      </c>
      <c r="D109" s="139" t="s">
        <v>54</v>
      </c>
      <c r="E109" s="261">
        <v>1932028</v>
      </c>
      <c r="F109" s="152">
        <v>0</v>
      </c>
      <c r="G109" s="261">
        <v>1932028</v>
      </c>
      <c r="H109" s="152">
        <v>0</v>
      </c>
      <c r="I109" s="152">
        <v>0</v>
      </c>
      <c r="J109" s="152">
        <v>0</v>
      </c>
      <c r="K109" s="261">
        <v>1932028</v>
      </c>
    </row>
    <row r="110" spans="1:11" ht="15.75" x14ac:dyDescent="0.25">
      <c r="A110" s="140" t="s">
        <v>164</v>
      </c>
      <c r="B110" s="139" t="s">
        <v>165</v>
      </c>
      <c r="C110" s="139">
        <v>298</v>
      </c>
      <c r="D110" s="139" t="s">
        <v>55</v>
      </c>
      <c r="E110" s="261">
        <v>1436215</v>
      </c>
      <c r="F110" s="152">
        <v>0</v>
      </c>
      <c r="G110" s="261">
        <v>1436215</v>
      </c>
      <c r="H110" s="152">
        <v>0</v>
      </c>
      <c r="I110" s="152">
        <v>0</v>
      </c>
      <c r="J110" s="152">
        <v>0</v>
      </c>
      <c r="K110" s="261">
        <v>1436215</v>
      </c>
    </row>
    <row r="111" spans="1:11" ht="15.75" x14ac:dyDescent="0.25">
      <c r="A111" s="140" t="s">
        <v>164</v>
      </c>
      <c r="B111" s="139" t="s">
        <v>165</v>
      </c>
      <c r="C111" s="139">
        <v>298</v>
      </c>
      <c r="D111" s="139" t="s">
        <v>58</v>
      </c>
      <c r="E111" s="261">
        <v>1138086</v>
      </c>
      <c r="F111" s="152">
        <v>0</v>
      </c>
      <c r="G111" s="261">
        <v>1138086</v>
      </c>
      <c r="H111" s="152">
        <v>0</v>
      </c>
      <c r="I111" s="152">
        <v>0</v>
      </c>
      <c r="J111" s="152">
        <v>0</v>
      </c>
      <c r="K111" s="261">
        <v>1138086</v>
      </c>
    </row>
    <row r="112" spans="1:11" ht="15.75" x14ac:dyDescent="0.25">
      <c r="A112" s="140" t="s">
        <v>164</v>
      </c>
      <c r="B112" s="139" t="s">
        <v>165</v>
      </c>
      <c r="C112" s="139">
        <v>298</v>
      </c>
      <c r="D112" s="139" t="s">
        <v>37</v>
      </c>
      <c r="E112" s="261">
        <v>696362</v>
      </c>
      <c r="F112" s="152">
        <v>0</v>
      </c>
      <c r="G112" s="261">
        <v>696362</v>
      </c>
      <c r="H112" s="152">
        <v>0</v>
      </c>
      <c r="I112" s="152">
        <v>0</v>
      </c>
      <c r="J112" s="152">
        <v>0</v>
      </c>
      <c r="K112" s="261">
        <v>696362</v>
      </c>
    </row>
    <row r="113" spans="1:11" ht="15.75" x14ac:dyDescent="0.25">
      <c r="A113" s="140" t="s">
        <v>164</v>
      </c>
      <c r="B113" s="139" t="s">
        <v>165</v>
      </c>
      <c r="C113" s="139">
        <v>298</v>
      </c>
      <c r="D113" s="139" t="s">
        <v>105</v>
      </c>
      <c r="E113" s="261">
        <v>826282</v>
      </c>
      <c r="F113" s="152">
        <v>0</v>
      </c>
      <c r="G113" s="261">
        <v>826282</v>
      </c>
      <c r="H113" s="152">
        <v>0</v>
      </c>
      <c r="I113" s="152">
        <v>0</v>
      </c>
      <c r="J113" s="152">
        <v>0</v>
      </c>
      <c r="K113" s="261">
        <v>826282</v>
      </c>
    </row>
    <row r="114" spans="1:11" ht="15.75" x14ac:dyDescent="0.25">
      <c r="A114" s="140" t="s">
        <v>164</v>
      </c>
      <c r="B114" s="139" t="s">
        <v>165</v>
      </c>
      <c r="C114" s="139">
        <v>298</v>
      </c>
      <c r="D114" s="139" t="s">
        <v>116</v>
      </c>
      <c r="E114" s="261">
        <v>1579014</v>
      </c>
      <c r="F114" s="152">
        <v>0</v>
      </c>
      <c r="G114" s="261">
        <v>1579014</v>
      </c>
      <c r="H114" s="152">
        <v>0</v>
      </c>
      <c r="I114" s="152">
        <v>0</v>
      </c>
      <c r="J114" s="152">
        <v>0</v>
      </c>
      <c r="K114" s="261">
        <v>1579014</v>
      </c>
    </row>
    <row r="115" spans="1:11" ht="15.75" x14ac:dyDescent="0.25">
      <c r="A115" s="140" t="s">
        <v>164</v>
      </c>
      <c r="B115" s="139" t="s">
        <v>165</v>
      </c>
      <c r="C115" s="139">
        <v>298</v>
      </c>
      <c r="D115" s="139" t="s">
        <v>121</v>
      </c>
      <c r="E115" s="261">
        <v>1483364</v>
      </c>
      <c r="F115" s="152">
        <v>0</v>
      </c>
      <c r="G115" s="261">
        <v>1483364</v>
      </c>
      <c r="H115" s="152">
        <v>0</v>
      </c>
      <c r="I115" s="152">
        <v>0</v>
      </c>
      <c r="J115" s="152">
        <v>0</v>
      </c>
      <c r="K115" s="261">
        <v>1483364</v>
      </c>
    </row>
    <row r="116" spans="1:11" ht="15.75" x14ac:dyDescent="0.25">
      <c r="A116" s="140" t="s">
        <v>164</v>
      </c>
      <c r="B116" s="139" t="s">
        <v>165</v>
      </c>
      <c r="C116" s="139">
        <v>298</v>
      </c>
      <c r="D116" s="139" t="s">
        <v>122</v>
      </c>
      <c r="E116" s="261">
        <v>603417</v>
      </c>
      <c r="F116" s="152">
        <v>0</v>
      </c>
      <c r="G116" s="261">
        <v>603417</v>
      </c>
      <c r="H116" s="152">
        <v>0</v>
      </c>
      <c r="I116" s="152">
        <v>0</v>
      </c>
      <c r="J116" s="152">
        <v>0</v>
      </c>
      <c r="K116" s="261">
        <v>603417</v>
      </c>
    </row>
    <row r="117" spans="1:11" ht="15.75" x14ac:dyDescent="0.25">
      <c r="A117" s="140" t="s">
        <v>164</v>
      </c>
      <c r="B117" s="139" t="s">
        <v>165</v>
      </c>
      <c r="C117" s="139">
        <v>298</v>
      </c>
      <c r="D117" s="139" t="s">
        <v>123</v>
      </c>
      <c r="E117" s="261">
        <v>567345</v>
      </c>
      <c r="F117" s="152">
        <v>0</v>
      </c>
      <c r="G117" s="261">
        <v>567345</v>
      </c>
      <c r="H117" s="152">
        <v>0</v>
      </c>
      <c r="I117" s="152">
        <v>0</v>
      </c>
      <c r="J117" s="152">
        <v>0</v>
      </c>
      <c r="K117" s="261">
        <v>567345</v>
      </c>
    </row>
    <row r="118" spans="1:11" ht="15.75" x14ac:dyDescent="0.25">
      <c r="A118" s="140" t="s">
        <v>164</v>
      </c>
      <c r="B118" s="139" t="s">
        <v>165</v>
      </c>
      <c r="C118" s="139">
        <v>298</v>
      </c>
      <c r="D118" s="139" t="s">
        <v>36</v>
      </c>
      <c r="E118" s="261">
        <v>278272</v>
      </c>
      <c r="F118" s="152">
        <v>0</v>
      </c>
      <c r="G118" s="261">
        <v>278272</v>
      </c>
      <c r="H118" s="152">
        <v>0</v>
      </c>
      <c r="I118" s="152">
        <v>0</v>
      </c>
      <c r="J118" s="152">
        <v>0</v>
      </c>
      <c r="K118" s="261">
        <v>278272</v>
      </c>
    </row>
    <row r="119" spans="1:11" ht="15.75" x14ac:dyDescent="0.25">
      <c r="A119" s="140" t="s">
        <v>164</v>
      </c>
      <c r="B119" s="139" t="s">
        <v>165</v>
      </c>
      <c r="C119" s="139">
        <v>298</v>
      </c>
      <c r="D119" s="139" t="s">
        <v>124</v>
      </c>
      <c r="E119" s="261">
        <v>211658</v>
      </c>
      <c r="F119" s="152">
        <v>0</v>
      </c>
      <c r="G119" s="261">
        <v>211658</v>
      </c>
      <c r="H119" s="152">
        <v>0</v>
      </c>
      <c r="I119" s="152">
        <v>0</v>
      </c>
      <c r="J119" s="152">
        <v>0</v>
      </c>
      <c r="K119" s="261">
        <v>211658</v>
      </c>
    </row>
    <row r="120" spans="1:11" ht="15.75" x14ac:dyDescent="0.25">
      <c r="A120" s="140" t="s">
        <v>164</v>
      </c>
      <c r="B120" s="139" t="s">
        <v>165</v>
      </c>
      <c r="C120" s="139">
        <v>298</v>
      </c>
      <c r="D120" s="139" t="s">
        <v>125</v>
      </c>
      <c r="E120" s="261">
        <v>188729</v>
      </c>
      <c r="F120" s="152">
        <v>0</v>
      </c>
      <c r="G120" s="261">
        <v>188729</v>
      </c>
      <c r="H120" s="152">
        <v>0</v>
      </c>
      <c r="I120" s="152">
        <v>0</v>
      </c>
      <c r="J120" s="152">
        <v>0</v>
      </c>
      <c r="K120" s="261">
        <v>188729</v>
      </c>
    </row>
    <row r="121" spans="1:11" ht="15.75" customHeight="1" x14ac:dyDescent="0.25">
      <c r="A121" s="140" t="s">
        <v>166</v>
      </c>
      <c r="B121" s="139" t="s">
        <v>167</v>
      </c>
      <c r="C121" s="139">
        <v>281</v>
      </c>
      <c r="D121" s="139" t="s">
        <v>37</v>
      </c>
      <c r="E121" s="261">
        <v>17935</v>
      </c>
      <c r="F121" s="152">
        <v>0</v>
      </c>
      <c r="G121" s="261">
        <f t="shared" ref="G121:G137" si="5">E121-F121</f>
        <v>17935</v>
      </c>
      <c r="H121" s="152">
        <v>0</v>
      </c>
      <c r="I121" s="152">
        <v>0</v>
      </c>
      <c r="J121" s="152">
        <f t="shared" si="3"/>
        <v>0</v>
      </c>
      <c r="K121" s="261">
        <f t="shared" si="4"/>
        <v>17935</v>
      </c>
    </row>
    <row r="122" spans="1:11" ht="30.75" x14ac:dyDescent="0.25">
      <c r="A122" s="140" t="s">
        <v>166</v>
      </c>
      <c r="B122" s="139" t="s">
        <v>167</v>
      </c>
      <c r="C122" s="139">
        <v>281</v>
      </c>
      <c r="D122" s="139" t="s">
        <v>105</v>
      </c>
      <c r="E122" s="261">
        <v>383293</v>
      </c>
      <c r="F122" s="152">
        <v>0</v>
      </c>
      <c r="G122" s="261">
        <f t="shared" si="5"/>
        <v>383293</v>
      </c>
      <c r="H122" s="152">
        <v>0</v>
      </c>
      <c r="I122" s="152">
        <v>0</v>
      </c>
      <c r="J122" s="152">
        <f t="shared" si="3"/>
        <v>0</v>
      </c>
      <c r="K122" s="261">
        <f t="shared" si="4"/>
        <v>383293</v>
      </c>
    </row>
    <row r="123" spans="1:11" ht="30.75" x14ac:dyDescent="0.25">
      <c r="A123" s="140" t="s">
        <v>166</v>
      </c>
      <c r="B123" s="139" t="s">
        <v>167</v>
      </c>
      <c r="C123" s="139">
        <v>281</v>
      </c>
      <c r="D123" s="139" t="s">
        <v>116</v>
      </c>
      <c r="E123" s="261">
        <v>681608</v>
      </c>
      <c r="F123" s="152">
        <v>0</v>
      </c>
      <c r="G123" s="261">
        <f t="shared" si="5"/>
        <v>681608</v>
      </c>
      <c r="H123" s="152">
        <v>0</v>
      </c>
      <c r="I123" s="152">
        <v>0</v>
      </c>
      <c r="J123" s="152">
        <f t="shared" si="3"/>
        <v>0</v>
      </c>
      <c r="K123" s="261">
        <f t="shared" si="4"/>
        <v>681608</v>
      </c>
    </row>
    <row r="124" spans="1:11" ht="30.75" x14ac:dyDescent="0.25">
      <c r="A124" s="140" t="s">
        <v>166</v>
      </c>
      <c r="B124" s="139" t="s">
        <v>167</v>
      </c>
      <c r="C124" s="139">
        <v>281</v>
      </c>
      <c r="D124" s="139" t="s">
        <v>121</v>
      </c>
      <c r="E124" s="261">
        <v>649974</v>
      </c>
      <c r="F124" s="152">
        <v>0</v>
      </c>
      <c r="G124" s="261">
        <f t="shared" si="5"/>
        <v>649974</v>
      </c>
      <c r="H124" s="152">
        <v>0</v>
      </c>
      <c r="I124" s="152">
        <v>0</v>
      </c>
      <c r="J124" s="152">
        <f t="shared" si="3"/>
        <v>0</v>
      </c>
      <c r="K124" s="261">
        <f t="shared" si="4"/>
        <v>649974</v>
      </c>
    </row>
    <row r="125" spans="1:11" ht="30.75" x14ac:dyDescent="0.25">
      <c r="A125" s="140" t="s">
        <v>166</v>
      </c>
      <c r="B125" s="139" t="s">
        <v>167</v>
      </c>
      <c r="C125" s="139">
        <v>281</v>
      </c>
      <c r="D125" s="139" t="s">
        <v>122</v>
      </c>
      <c r="E125" s="261">
        <v>680286</v>
      </c>
      <c r="F125" s="152">
        <v>0</v>
      </c>
      <c r="G125" s="261">
        <f t="shared" si="5"/>
        <v>680286</v>
      </c>
      <c r="H125" s="152">
        <v>0</v>
      </c>
      <c r="I125" s="152">
        <v>0</v>
      </c>
      <c r="J125" s="152">
        <f t="shared" si="3"/>
        <v>0</v>
      </c>
      <c r="K125" s="261">
        <f t="shared" si="4"/>
        <v>680286</v>
      </c>
    </row>
    <row r="126" spans="1:11" ht="30.75" x14ac:dyDescent="0.25">
      <c r="A126" s="140" t="s">
        <v>166</v>
      </c>
      <c r="B126" s="139" t="s">
        <v>167</v>
      </c>
      <c r="C126" s="139">
        <v>281</v>
      </c>
      <c r="D126" s="139" t="s">
        <v>123</v>
      </c>
      <c r="E126" s="261">
        <v>427477</v>
      </c>
      <c r="F126" s="152">
        <v>0</v>
      </c>
      <c r="G126" s="261">
        <f t="shared" si="5"/>
        <v>427477</v>
      </c>
      <c r="H126" s="152">
        <v>0</v>
      </c>
      <c r="I126" s="152">
        <v>0</v>
      </c>
      <c r="J126" s="152">
        <f t="shared" si="3"/>
        <v>0</v>
      </c>
      <c r="K126" s="261">
        <f t="shared" si="4"/>
        <v>427477</v>
      </c>
    </row>
    <row r="127" spans="1:11" ht="30.75" x14ac:dyDescent="0.25">
      <c r="A127" s="140" t="s">
        <v>166</v>
      </c>
      <c r="B127" s="139" t="s">
        <v>167</v>
      </c>
      <c r="C127" s="139">
        <v>281</v>
      </c>
      <c r="D127" s="139" t="s">
        <v>36</v>
      </c>
      <c r="E127" s="261">
        <v>446868</v>
      </c>
      <c r="F127" s="152">
        <v>0</v>
      </c>
      <c r="G127" s="261">
        <f t="shared" si="5"/>
        <v>446868</v>
      </c>
      <c r="H127" s="152">
        <v>0</v>
      </c>
      <c r="I127" s="152">
        <v>0</v>
      </c>
      <c r="J127" s="152">
        <f t="shared" si="3"/>
        <v>0</v>
      </c>
      <c r="K127" s="261">
        <f t="shared" si="4"/>
        <v>446868</v>
      </c>
    </row>
    <row r="128" spans="1:11" ht="30.75" x14ac:dyDescent="0.25">
      <c r="A128" s="140" t="s">
        <v>166</v>
      </c>
      <c r="B128" s="139" t="s">
        <v>167</v>
      </c>
      <c r="C128" s="139">
        <v>281</v>
      </c>
      <c r="D128" s="139" t="s">
        <v>124</v>
      </c>
      <c r="E128" s="261">
        <v>821319</v>
      </c>
      <c r="F128" s="152">
        <v>0</v>
      </c>
      <c r="G128" s="261">
        <f t="shared" si="5"/>
        <v>821319</v>
      </c>
      <c r="H128" s="152">
        <v>0</v>
      </c>
      <c r="I128" s="152">
        <v>0</v>
      </c>
      <c r="J128" s="152">
        <f t="shared" si="3"/>
        <v>0</v>
      </c>
      <c r="K128" s="261">
        <f t="shared" si="4"/>
        <v>821319</v>
      </c>
    </row>
    <row r="129" spans="1:11" ht="30.75" x14ac:dyDescent="0.25">
      <c r="A129" s="140" t="s">
        <v>166</v>
      </c>
      <c r="B129" s="139" t="s">
        <v>167</v>
      </c>
      <c r="C129" s="139">
        <v>281</v>
      </c>
      <c r="D129" s="139" t="s">
        <v>125</v>
      </c>
      <c r="E129" s="261">
        <v>565634</v>
      </c>
      <c r="F129" s="152">
        <v>0</v>
      </c>
      <c r="G129" s="261">
        <f t="shared" si="5"/>
        <v>565634</v>
      </c>
      <c r="H129" s="152">
        <v>0</v>
      </c>
      <c r="I129" s="152">
        <v>0</v>
      </c>
      <c r="J129" s="152">
        <f t="shared" si="3"/>
        <v>0</v>
      </c>
      <c r="K129" s="261">
        <f t="shared" si="4"/>
        <v>565634</v>
      </c>
    </row>
    <row r="130" spans="1:11" ht="30.75" x14ac:dyDescent="0.25">
      <c r="A130" s="140" t="s">
        <v>166</v>
      </c>
      <c r="B130" s="139" t="s">
        <v>167</v>
      </c>
      <c r="C130" s="139">
        <v>281</v>
      </c>
      <c r="D130" s="139" t="s">
        <v>128</v>
      </c>
      <c r="E130" s="261">
        <v>235446</v>
      </c>
      <c r="F130" s="152">
        <v>0</v>
      </c>
      <c r="G130" s="261">
        <f t="shared" si="5"/>
        <v>235446</v>
      </c>
      <c r="H130" s="152">
        <v>0</v>
      </c>
      <c r="I130" s="152">
        <v>0</v>
      </c>
      <c r="J130" s="152">
        <f t="shared" si="3"/>
        <v>0</v>
      </c>
      <c r="K130" s="261">
        <f t="shared" si="4"/>
        <v>235446</v>
      </c>
    </row>
    <row r="131" spans="1:11" ht="15.75" x14ac:dyDescent="0.25">
      <c r="A131" s="140" t="s">
        <v>168</v>
      </c>
      <c r="B131" s="139" t="s">
        <v>169</v>
      </c>
      <c r="C131" s="139">
        <v>323</v>
      </c>
      <c r="D131" s="139" t="s">
        <v>55</v>
      </c>
      <c r="E131" s="261">
        <v>630042</v>
      </c>
      <c r="F131" s="152">
        <v>0</v>
      </c>
      <c r="G131" s="261">
        <f t="shared" si="5"/>
        <v>630042</v>
      </c>
      <c r="H131" s="152">
        <v>0</v>
      </c>
      <c r="I131" s="152">
        <v>0</v>
      </c>
      <c r="J131" s="152">
        <f t="shared" si="3"/>
        <v>0</v>
      </c>
      <c r="K131" s="261">
        <f t="shared" si="4"/>
        <v>630042</v>
      </c>
    </row>
    <row r="132" spans="1:11" ht="15.75" x14ac:dyDescent="0.25">
      <c r="A132" s="140" t="s">
        <v>168</v>
      </c>
      <c r="B132" s="139" t="s">
        <v>169</v>
      </c>
      <c r="C132" s="139">
        <v>323</v>
      </c>
      <c r="D132" s="139" t="s">
        <v>58</v>
      </c>
      <c r="E132" s="261">
        <v>2509</v>
      </c>
      <c r="F132" s="152">
        <v>0</v>
      </c>
      <c r="G132" s="261">
        <f t="shared" si="5"/>
        <v>2509</v>
      </c>
      <c r="H132" s="152">
        <v>0</v>
      </c>
      <c r="I132" s="152">
        <v>0</v>
      </c>
      <c r="J132" s="152">
        <f t="shared" si="3"/>
        <v>0</v>
      </c>
      <c r="K132" s="261">
        <f t="shared" si="4"/>
        <v>2509</v>
      </c>
    </row>
    <row r="133" spans="1:11" ht="15.75" x14ac:dyDescent="0.25">
      <c r="A133" s="140" t="s">
        <v>168</v>
      </c>
      <c r="B133" s="139" t="s">
        <v>169</v>
      </c>
      <c r="C133" s="139">
        <v>323</v>
      </c>
      <c r="D133" s="139" t="s">
        <v>37</v>
      </c>
      <c r="E133" s="261">
        <v>468288</v>
      </c>
      <c r="F133" s="152">
        <v>0</v>
      </c>
      <c r="G133" s="261">
        <f t="shared" si="5"/>
        <v>468288</v>
      </c>
      <c r="H133" s="152">
        <v>0</v>
      </c>
      <c r="I133" s="152">
        <v>0</v>
      </c>
      <c r="J133" s="152">
        <f t="shared" si="3"/>
        <v>0</v>
      </c>
      <c r="K133" s="261">
        <f t="shared" si="4"/>
        <v>468288</v>
      </c>
    </row>
    <row r="134" spans="1:11" ht="15.75" x14ac:dyDescent="0.25">
      <c r="A134" s="140" t="s">
        <v>168</v>
      </c>
      <c r="B134" s="139" t="s">
        <v>169</v>
      </c>
      <c r="C134" s="139">
        <v>323</v>
      </c>
      <c r="D134" s="139" t="s">
        <v>116</v>
      </c>
      <c r="E134" s="261">
        <v>321317</v>
      </c>
      <c r="F134" s="152">
        <v>0</v>
      </c>
      <c r="G134" s="261">
        <f t="shared" si="5"/>
        <v>321317</v>
      </c>
      <c r="H134" s="152">
        <v>0</v>
      </c>
      <c r="I134" s="152">
        <v>0</v>
      </c>
      <c r="J134" s="152">
        <f t="shared" si="3"/>
        <v>0</v>
      </c>
      <c r="K134" s="261">
        <f t="shared" si="4"/>
        <v>321317</v>
      </c>
    </row>
    <row r="135" spans="1:11" ht="15.75" x14ac:dyDescent="0.25">
      <c r="A135" s="140" t="s">
        <v>168</v>
      </c>
      <c r="B135" s="139" t="s">
        <v>169</v>
      </c>
      <c r="C135" s="139">
        <v>323</v>
      </c>
      <c r="D135" s="139" t="s">
        <v>122</v>
      </c>
      <c r="E135" s="261">
        <v>224217</v>
      </c>
      <c r="F135" s="152">
        <v>0</v>
      </c>
      <c r="G135" s="261">
        <f t="shared" si="5"/>
        <v>224217</v>
      </c>
      <c r="H135" s="152">
        <v>0</v>
      </c>
      <c r="I135" s="152">
        <v>0</v>
      </c>
      <c r="J135" s="152">
        <f t="shared" si="3"/>
        <v>0</v>
      </c>
      <c r="K135" s="261">
        <f t="shared" si="4"/>
        <v>224217</v>
      </c>
    </row>
    <row r="136" spans="1:11" ht="15.75" x14ac:dyDescent="0.25">
      <c r="A136" s="140" t="s">
        <v>168</v>
      </c>
      <c r="B136" s="139" t="s">
        <v>169</v>
      </c>
      <c r="C136" s="139">
        <v>323</v>
      </c>
      <c r="D136" s="139" t="s">
        <v>36</v>
      </c>
      <c r="E136" s="261">
        <v>138065</v>
      </c>
      <c r="F136" s="152">
        <v>0</v>
      </c>
      <c r="G136" s="261">
        <f t="shared" si="5"/>
        <v>138065</v>
      </c>
      <c r="H136" s="152">
        <v>0</v>
      </c>
      <c r="I136" s="152">
        <v>0</v>
      </c>
      <c r="J136" s="152">
        <f t="shared" si="3"/>
        <v>0</v>
      </c>
      <c r="K136" s="261">
        <f t="shared" si="4"/>
        <v>138065</v>
      </c>
    </row>
    <row r="137" spans="1:11" ht="15.75" x14ac:dyDescent="0.25">
      <c r="A137" s="140" t="s">
        <v>168</v>
      </c>
      <c r="B137" s="139" t="s">
        <v>169</v>
      </c>
      <c r="C137" s="139">
        <v>323</v>
      </c>
      <c r="D137" s="139" t="s">
        <v>125</v>
      </c>
      <c r="E137" s="261">
        <v>32181</v>
      </c>
      <c r="F137" s="152">
        <v>0</v>
      </c>
      <c r="G137" s="261">
        <f t="shared" si="5"/>
        <v>32181</v>
      </c>
      <c r="H137" s="152">
        <v>0</v>
      </c>
      <c r="I137" s="152">
        <v>0</v>
      </c>
      <c r="J137" s="152">
        <f t="shared" si="3"/>
        <v>0</v>
      </c>
      <c r="K137" s="261">
        <f t="shared" si="4"/>
        <v>32181</v>
      </c>
    </row>
    <row r="138" spans="1:11" ht="15.75" x14ac:dyDescent="0.25">
      <c r="A138" s="140" t="s">
        <v>170</v>
      </c>
      <c r="B138" s="139" t="s">
        <v>52</v>
      </c>
      <c r="C138" s="139">
        <v>356</v>
      </c>
      <c r="D138" s="139" t="s">
        <v>371</v>
      </c>
      <c r="E138" s="261">
        <v>788765</v>
      </c>
      <c r="F138" s="152">
        <v>0</v>
      </c>
      <c r="G138" s="261">
        <v>788765</v>
      </c>
      <c r="H138" s="152">
        <v>0</v>
      </c>
      <c r="I138" s="152">
        <v>0</v>
      </c>
      <c r="J138" s="152">
        <v>0</v>
      </c>
      <c r="K138" s="261">
        <v>788765</v>
      </c>
    </row>
    <row r="139" spans="1:11" ht="15.75" x14ac:dyDescent="0.25">
      <c r="A139" s="140" t="s">
        <v>170</v>
      </c>
      <c r="B139" s="139" t="s">
        <v>52</v>
      </c>
      <c r="C139" s="139">
        <v>356</v>
      </c>
      <c r="D139" s="139" t="s">
        <v>184</v>
      </c>
      <c r="E139" s="261">
        <v>771658</v>
      </c>
      <c r="F139" s="152">
        <v>0</v>
      </c>
      <c r="G139" s="261">
        <v>771658</v>
      </c>
      <c r="H139" s="152">
        <v>0</v>
      </c>
      <c r="I139" s="152">
        <v>0</v>
      </c>
      <c r="J139" s="152">
        <v>0</v>
      </c>
      <c r="K139" s="261">
        <v>771658</v>
      </c>
    </row>
    <row r="140" spans="1:11" ht="15.75" x14ac:dyDescent="0.25">
      <c r="A140" s="140" t="s">
        <v>170</v>
      </c>
      <c r="B140" s="139" t="s">
        <v>52</v>
      </c>
      <c r="C140" s="139">
        <v>356</v>
      </c>
      <c r="D140" s="139" t="s">
        <v>177</v>
      </c>
      <c r="E140" s="261">
        <v>756164</v>
      </c>
      <c r="F140" s="152">
        <v>0</v>
      </c>
      <c r="G140" s="261">
        <v>756164</v>
      </c>
      <c r="H140" s="152">
        <v>0</v>
      </c>
      <c r="I140" s="152">
        <v>0</v>
      </c>
      <c r="J140" s="152">
        <v>0</v>
      </c>
      <c r="K140" s="261">
        <v>756164</v>
      </c>
    </row>
    <row r="141" spans="1:11" ht="15.75" x14ac:dyDescent="0.25">
      <c r="A141" s="140" t="s">
        <v>170</v>
      </c>
      <c r="B141" s="139" t="s">
        <v>52</v>
      </c>
      <c r="C141" s="139">
        <v>356</v>
      </c>
      <c r="D141" s="139" t="s">
        <v>22</v>
      </c>
      <c r="E141" s="261">
        <v>639275</v>
      </c>
      <c r="F141" s="152">
        <v>0</v>
      </c>
      <c r="G141" s="261">
        <v>639275</v>
      </c>
      <c r="H141" s="152">
        <v>0</v>
      </c>
      <c r="I141" s="152">
        <v>0</v>
      </c>
      <c r="J141" s="152">
        <v>0</v>
      </c>
      <c r="K141" s="261">
        <v>639275</v>
      </c>
    </row>
    <row r="142" spans="1:11" ht="15.75" x14ac:dyDescent="0.25">
      <c r="A142" s="140" t="s">
        <v>170</v>
      </c>
      <c r="B142" s="139" t="s">
        <v>52</v>
      </c>
      <c r="C142" s="139">
        <v>356</v>
      </c>
      <c r="D142" s="139" t="s">
        <v>2</v>
      </c>
      <c r="E142" s="261">
        <v>663952</v>
      </c>
      <c r="F142" s="152">
        <v>0</v>
      </c>
      <c r="G142" s="261">
        <v>663952</v>
      </c>
      <c r="H142" s="152">
        <v>0</v>
      </c>
      <c r="I142" s="152">
        <v>0</v>
      </c>
      <c r="J142" s="152">
        <v>0</v>
      </c>
      <c r="K142" s="261">
        <v>663952</v>
      </c>
    </row>
    <row r="143" spans="1:11" ht="15.75" x14ac:dyDescent="0.25">
      <c r="A143" s="140" t="s">
        <v>170</v>
      </c>
      <c r="B143" s="139" t="s">
        <v>52</v>
      </c>
      <c r="C143" s="139">
        <v>356</v>
      </c>
      <c r="D143" s="139" t="s">
        <v>3</v>
      </c>
      <c r="E143" s="261">
        <v>669653</v>
      </c>
      <c r="F143" s="152">
        <v>0</v>
      </c>
      <c r="G143" s="261">
        <v>669653</v>
      </c>
      <c r="H143" s="152">
        <v>0</v>
      </c>
      <c r="I143" s="152">
        <v>0</v>
      </c>
      <c r="J143" s="152">
        <v>0</v>
      </c>
      <c r="K143" s="261">
        <v>669653</v>
      </c>
    </row>
    <row r="144" spans="1:11" ht="15.75" x14ac:dyDescent="0.25">
      <c r="A144" s="140" t="s">
        <v>170</v>
      </c>
      <c r="B144" s="139" t="s">
        <v>52</v>
      </c>
      <c r="C144" s="139">
        <v>356</v>
      </c>
      <c r="D144" s="139" t="s">
        <v>24</v>
      </c>
      <c r="E144" s="261">
        <v>618356</v>
      </c>
      <c r="F144" s="152">
        <v>0</v>
      </c>
      <c r="G144" s="261">
        <v>618356</v>
      </c>
      <c r="H144" s="152">
        <v>0</v>
      </c>
      <c r="I144" s="152">
        <v>0</v>
      </c>
      <c r="J144" s="152">
        <v>0</v>
      </c>
      <c r="K144" s="261">
        <v>618356</v>
      </c>
    </row>
    <row r="145" spans="1:11" ht="15.75" x14ac:dyDescent="0.25">
      <c r="A145" s="140" t="s">
        <v>170</v>
      </c>
      <c r="B145" s="139" t="s">
        <v>52</v>
      </c>
      <c r="C145" s="139">
        <v>356</v>
      </c>
      <c r="D145" s="139" t="s">
        <v>39</v>
      </c>
      <c r="E145" s="261">
        <v>538204</v>
      </c>
      <c r="F145" s="152">
        <v>0</v>
      </c>
      <c r="G145" s="261">
        <v>538204</v>
      </c>
      <c r="H145" s="152">
        <v>0</v>
      </c>
      <c r="I145" s="152">
        <v>0</v>
      </c>
      <c r="J145" s="152">
        <v>0</v>
      </c>
      <c r="K145" s="261">
        <v>538204</v>
      </c>
    </row>
    <row r="146" spans="1:11" ht="15.75" x14ac:dyDescent="0.25">
      <c r="A146" s="140" t="s">
        <v>170</v>
      </c>
      <c r="B146" s="139" t="s">
        <v>52</v>
      </c>
      <c r="C146" s="139">
        <v>356</v>
      </c>
      <c r="D146" s="139" t="s">
        <v>38</v>
      </c>
      <c r="E146" s="261">
        <v>501396</v>
      </c>
      <c r="F146" s="152">
        <v>0</v>
      </c>
      <c r="G146" s="261">
        <v>501396</v>
      </c>
      <c r="H146" s="152">
        <v>0</v>
      </c>
      <c r="I146" s="152">
        <v>0</v>
      </c>
      <c r="J146" s="152">
        <v>0</v>
      </c>
      <c r="K146" s="261">
        <v>501396</v>
      </c>
    </row>
    <row r="147" spans="1:11" ht="15.75" x14ac:dyDescent="0.25">
      <c r="A147" s="140" t="s">
        <v>170</v>
      </c>
      <c r="B147" s="139" t="s">
        <v>52</v>
      </c>
      <c r="C147" s="139">
        <v>356</v>
      </c>
      <c r="D147" s="139" t="s">
        <v>53</v>
      </c>
      <c r="E147" s="261">
        <v>517346</v>
      </c>
      <c r="F147" s="152">
        <v>0</v>
      </c>
      <c r="G147" s="261">
        <v>517346</v>
      </c>
      <c r="H147" s="152">
        <v>0</v>
      </c>
      <c r="I147" s="152">
        <v>0</v>
      </c>
      <c r="J147" s="152">
        <v>0</v>
      </c>
      <c r="K147" s="261">
        <v>517346</v>
      </c>
    </row>
    <row r="148" spans="1:11" ht="15.75" x14ac:dyDescent="0.25">
      <c r="A148" s="140" t="s">
        <v>170</v>
      </c>
      <c r="B148" s="139" t="s">
        <v>52</v>
      </c>
      <c r="C148" s="139">
        <v>356</v>
      </c>
      <c r="D148" s="139" t="s">
        <v>54</v>
      </c>
      <c r="E148" s="261">
        <v>411975</v>
      </c>
      <c r="F148" s="152">
        <v>0</v>
      </c>
      <c r="G148" s="261">
        <v>411975</v>
      </c>
      <c r="H148" s="152">
        <v>0</v>
      </c>
      <c r="I148" s="152">
        <v>0</v>
      </c>
      <c r="J148" s="152">
        <v>0</v>
      </c>
      <c r="K148" s="261">
        <v>411975</v>
      </c>
    </row>
    <row r="149" spans="1:11" ht="15.75" x14ac:dyDescent="0.25">
      <c r="A149" s="140" t="s">
        <v>170</v>
      </c>
      <c r="B149" s="139" t="s">
        <v>52</v>
      </c>
      <c r="C149" s="139">
        <v>356</v>
      </c>
      <c r="D149" s="139" t="s">
        <v>55</v>
      </c>
      <c r="E149" s="261">
        <v>369012</v>
      </c>
      <c r="F149" s="152">
        <v>0</v>
      </c>
      <c r="G149" s="261">
        <v>369012</v>
      </c>
      <c r="H149" s="152">
        <v>0</v>
      </c>
      <c r="I149" s="152">
        <v>0</v>
      </c>
      <c r="J149" s="152">
        <v>0</v>
      </c>
      <c r="K149" s="261">
        <v>369012</v>
      </c>
    </row>
    <row r="150" spans="1:11" ht="15.75" x14ac:dyDescent="0.25">
      <c r="A150" s="140" t="s">
        <v>170</v>
      </c>
      <c r="B150" s="139" t="s">
        <v>52</v>
      </c>
      <c r="C150" s="139">
        <v>356</v>
      </c>
      <c r="D150" s="139" t="s">
        <v>58</v>
      </c>
      <c r="E150" s="261">
        <v>339391</v>
      </c>
      <c r="F150" s="152">
        <v>0</v>
      </c>
      <c r="G150" s="261">
        <v>339391</v>
      </c>
      <c r="H150" s="152">
        <v>0</v>
      </c>
      <c r="I150" s="152">
        <v>0</v>
      </c>
      <c r="J150" s="152">
        <v>0</v>
      </c>
      <c r="K150" s="261">
        <v>339391</v>
      </c>
    </row>
    <row r="151" spans="1:11" ht="15.75" x14ac:dyDescent="0.25">
      <c r="A151" s="140" t="s">
        <v>170</v>
      </c>
      <c r="B151" s="139" t="s">
        <v>52</v>
      </c>
      <c r="C151" s="139">
        <v>356</v>
      </c>
      <c r="D151" s="139" t="s">
        <v>37</v>
      </c>
      <c r="E151" s="261">
        <v>418145</v>
      </c>
      <c r="F151" s="152">
        <v>0</v>
      </c>
      <c r="G151" s="261">
        <v>418145</v>
      </c>
      <c r="H151" s="152">
        <v>0</v>
      </c>
      <c r="I151" s="152">
        <v>0</v>
      </c>
      <c r="J151" s="152">
        <v>0</v>
      </c>
      <c r="K151" s="261">
        <v>418145</v>
      </c>
    </row>
    <row r="152" spans="1:11" ht="15.75" x14ac:dyDescent="0.25">
      <c r="A152" s="140" t="s">
        <v>170</v>
      </c>
      <c r="B152" s="139" t="s">
        <v>52</v>
      </c>
      <c r="C152" s="139">
        <v>356</v>
      </c>
      <c r="D152" s="139" t="s">
        <v>105</v>
      </c>
      <c r="E152" s="261">
        <v>361937</v>
      </c>
      <c r="F152" s="152">
        <v>0</v>
      </c>
      <c r="G152" s="261">
        <v>361937</v>
      </c>
      <c r="H152" s="152">
        <v>0</v>
      </c>
      <c r="I152" s="152">
        <v>0</v>
      </c>
      <c r="J152" s="152">
        <v>0</v>
      </c>
      <c r="K152" s="261">
        <v>361937</v>
      </c>
    </row>
    <row r="153" spans="1:11" ht="15.75" x14ac:dyDescent="0.25">
      <c r="A153" s="140" t="s">
        <v>170</v>
      </c>
      <c r="B153" s="139" t="s">
        <v>52</v>
      </c>
      <c r="C153" s="139">
        <v>356</v>
      </c>
      <c r="D153" s="139" t="s">
        <v>116</v>
      </c>
      <c r="E153" s="261">
        <v>268931</v>
      </c>
      <c r="F153" s="152">
        <v>0</v>
      </c>
      <c r="G153" s="261">
        <v>268931</v>
      </c>
      <c r="H153" s="152">
        <v>0</v>
      </c>
      <c r="I153" s="152">
        <v>0</v>
      </c>
      <c r="J153" s="152">
        <v>0</v>
      </c>
      <c r="K153" s="261">
        <v>268931</v>
      </c>
    </row>
    <row r="154" spans="1:11" ht="15.75" x14ac:dyDescent="0.25">
      <c r="A154" s="140" t="s">
        <v>170</v>
      </c>
      <c r="B154" s="139" t="s">
        <v>52</v>
      </c>
      <c r="C154" s="139">
        <v>356</v>
      </c>
      <c r="D154" s="139" t="s">
        <v>121</v>
      </c>
      <c r="E154" s="261">
        <v>361066</v>
      </c>
      <c r="F154" s="152">
        <v>0</v>
      </c>
      <c r="G154" s="261">
        <v>361066</v>
      </c>
      <c r="H154" s="152">
        <v>0</v>
      </c>
      <c r="I154" s="152">
        <v>0</v>
      </c>
      <c r="J154" s="152">
        <v>0</v>
      </c>
      <c r="K154" s="261">
        <v>361066</v>
      </c>
    </row>
    <row r="155" spans="1:11" ht="15.75" x14ac:dyDescent="0.25">
      <c r="A155" s="140" t="s">
        <v>170</v>
      </c>
      <c r="B155" s="139" t="s">
        <v>52</v>
      </c>
      <c r="C155" s="139">
        <v>356</v>
      </c>
      <c r="D155" s="139" t="s">
        <v>122</v>
      </c>
      <c r="E155" s="261">
        <v>271154</v>
      </c>
      <c r="F155" s="152">
        <v>0</v>
      </c>
      <c r="G155" s="261">
        <v>271154</v>
      </c>
      <c r="H155" s="152">
        <v>0</v>
      </c>
      <c r="I155" s="152">
        <v>0</v>
      </c>
      <c r="J155" s="152">
        <v>0</v>
      </c>
      <c r="K155" s="261">
        <v>271154</v>
      </c>
    </row>
    <row r="156" spans="1:11" ht="15.75" x14ac:dyDescent="0.25">
      <c r="A156" s="140" t="s">
        <v>170</v>
      </c>
      <c r="B156" s="139" t="s">
        <v>52</v>
      </c>
      <c r="C156" s="139">
        <v>356</v>
      </c>
      <c r="D156" s="139" t="s">
        <v>123</v>
      </c>
      <c r="E156" s="261">
        <v>298172</v>
      </c>
      <c r="F156" s="152">
        <v>0</v>
      </c>
      <c r="G156" s="261">
        <v>298172</v>
      </c>
      <c r="H156" s="152">
        <v>0</v>
      </c>
      <c r="I156" s="152">
        <v>0</v>
      </c>
      <c r="J156" s="152">
        <v>0</v>
      </c>
      <c r="K156" s="261">
        <v>298172</v>
      </c>
    </row>
    <row r="157" spans="1:11" ht="15.75" x14ac:dyDescent="0.25">
      <c r="A157" s="140" t="s">
        <v>170</v>
      </c>
      <c r="B157" s="139" t="s">
        <v>52</v>
      </c>
      <c r="C157" s="139">
        <v>356</v>
      </c>
      <c r="D157" s="139" t="s">
        <v>36</v>
      </c>
      <c r="E157" s="261">
        <v>241835</v>
      </c>
      <c r="F157" s="152">
        <v>0</v>
      </c>
      <c r="G157" s="261">
        <v>241835</v>
      </c>
      <c r="H157" s="152">
        <v>0</v>
      </c>
      <c r="I157" s="152">
        <v>0</v>
      </c>
      <c r="J157" s="152">
        <v>0</v>
      </c>
      <c r="K157" s="261">
        <v>241835</v>
      </c>
    </row>
    <row r="158" spans="1:11" ht="15.75" x14ac:dyDescent="0.25">
      <c r="A158" s="140" t="s">
        <v>170</v>
      </c>
      <c r="B158" s="139" t="s">
        <v>52</v>
      </c>
      <c r="C158" s="139">
        <v>356</v>
      </c>
      <c r="D158" s="139" t="s">
        <v>124</v>
      </c>
      <c r="E158" s="261">
        <v>224328</v>
      </c>
      <c r="F158" s="152">
        <v>0</v>
      </c>
      <c r="G158" s="261">
        <v>224328</v>
      </c>
      <c r="H158" s="152">
        <v>0</v>
      </c>
      <c r="I158" s="152">
        <v>0</v>
      </c>
      <c r="J158" s="152">
        <v>0</v>
      </c>
      <c r="K158" s="261">
        <v>224328</v>
      </c>
    </row>
    <row r="159" spans="1:11" ht="15.75" x14ac:dyDescent="0.25">
      <c r="A159" s="140" t="s">
        <v>171</v>
      </c>
      <c r="B159" s="139" t="s">
        <v>172</v>
      </c>
      <c r="C159" s="139">
        <v>324</v>
      </c>
      <c r="D159" s="139" t="s">
        <v>54</v>
      </c>
      <c r="E159" s="261">
        <v>5284437</v>
      </c>
      <c r="F159" s="152">
        <v>0</v>
      </c>
      <c r="G159" s="261">
        <f t="shared" ref="G159:G187" si="6">E159-F159</f>
        <v>5284437</v>
      </c>
      <c r="H159" s="152">
        <v>0</v>
      </c>
      <c r="I159" s="152">
        <v>0</v>
      </c>
      <c r="J159" s="152">
        <f t="shared" ref="J159:J187" si="7">H159-I159</f>
        <v>0</v>
      </c>
      <c r="K159" s="261">
        <f t="shared" ref="K159:K187" si="8">G159-J159</f>
        <v>5284437</v>
      </c>
    </row>
    <row r="160" spans="1:11" ht="15.75" x14ac:dyDescent="0.25">
      <c r="A160" s="140" t="s">
        <v>171</v>
      </c>
      <c r="B160" s="139" t="s">
        <v>172</v>
      </c>
      <c r="C160" s="139">
        <v>324</v>
      </c>
      <c r="D160" s="139" t="s">
        <v>55</v>
      </c>
      <c r="E160" s="261">
        <v>4156834</v>
      </c>
      <c r="F160" s="152">
        <v>0</v>
      </c>
      <c r="G160" s="261">
        <f t="shared" si="6"/>
        <v>4156834</v>
      </c>
      <c r="H160" s="152">
        <v>0</v>
      </c>
      <c r="I160" s="152">
        <v>0</v>
      </c>
      <c r="J160" s="152">
        <f t="shared" si="7"/>
        <v>0</v>
      </c>
      <c r="K160" s="261">
        <f t="shared" si="8"/>
        <v>4156834</v>
      </c>
    </row>
    <row r="161" spans="1:11" ht="15.75" x14ac:dyDescent="0.25">
      <c r="A161" s="140" t="s">
        <v>171</v>
      </c>
      <c r="B161" s="139" t="s">
        <v>172</v>
      </c>
      <c r="C161" s="139">
        <v>324</v>
      </c>
      <c r="D161" s="139" t="s">
        <v>58</v>
      </c>
      <c r="E161" s="261">
        <v>2038396</v>
      </c>
      <c r="F161" s="152">
        <v>0</v>
      </c>
      <c r="G161" s="261">
        <f t="shared" si="6"/>
        <v>2038396</v>
      </c>
      <c r="H161" s="152">
        <v>0</v>
      </c>
      <c r="I161" s="152">
        <v>0</v>
      </c>
      <c r="J161" s="152">
        <f t="shared" si="7"/>
        <v>0</v>
      </c>
      <c r="K161" s="261">
        <f t="shared" si="8"/>
        <v>2038396</v>
      </c>
    </row>
    <row r="162" spans="1:11" ht="15.75" x14ac:dyDescent="0.25">
      <c r="A162" s="140" t="s">
        <v>171</v>
      </c>
      <c r="B162" s="139" t="s">
        <v>172</v>
      </c>
      <c r="C162" s="139">
        <v>324</v>
      </c>
      <c r="D162" s="139" t="s">
        <v>37</v>
      </c>
      <c r="E162" s="261">
        <v>121578</v>
      </c>
      <c r="F162" s="152">
        <v>0</v>
      </c>
      <c r="G162" s="261">
        <f t="shared" si="6"/>
        <v>121578</v>
      </c>
      <c r="H162" s="152">
        <v>0</v>
      </c>
      <c r="I162" s="152">
        <v>0</v>
      </c>
      <c r="J162" s="152">
        <f t="shared" si="7"/>
        <v>0</v>
      </c>
      <c r="K162" s="261">
        <f t="shared" si="8"/>
        <v>121578</v>
      </c>
    </row>
    <row r="163" spans="1:11" ht="15.75" x14ac:dyDescent="0.25">
      <c r="A163" s="140" t="s">
        <v>171</v>
      </c>
      <c r="B163" s="139" t="s">
        <v>172</v>
      </c>
      <c r="C163" s="139">
        <v>324</v>
      </c>
      <c r="D163" s="139" t="s">
        <v>105</v>
      </c>
      <c r="E163" s="261">
        <v>191573</v>
      </c>
      <c r="F163" s="152">
        <v>0</v>
      </c>
      <c r="G163" s="261">
        <f t="shared" si="6"/>
        <v>191573</v>
      </c>
      <c r="H163" s="152">
        <v>0</v>
      </c>
      <c r="I163" s="152">
        <v>0</v>
      </c>
      <c r="J163" s="152">
        <f t="shared" si="7"/>
        <v>0</v>
      </c>
      <c r="K163" s="261">
        <f t="shared" si="8"/>
        <v>191573</v>
      </c>
    </row>
    <row r="164" spans="1:11" ht="15.75" x14ac:dyDescent="0.25">
      <c r="A164" s="140" t="s">
        <v>171</v>
      </c>
      <c r="B164" s="139" t="s">
        <v>172</v>
      </c>
      <c r="C164" s="139">
        <v>324</v>
      </c>
      <c r="D164" s="139" t="s">
        <v>116</v>
      </c>
      <c r="E164" s="261">
        <v>18688</v>
      </c>
      <c r="F164" s="152">
        <v>0</v>
      </c>
      <c r="G164" s="261">
        <f t="shared" si="6"/>
        <v>18688</v>
      </c>
      <c r="H164" s="152">
        <v>0</v>
      </c>
      <c r="I164" s="152">
        <v>0</v>
      </c>
      <c r="J164" s="152">
        <f t="shared" si="7"/>
        <v>0</v>
      </c>
      <c r="K164" s="261">
        <f t="shared" si="8"/>
        <v>18688</v>
      </c>
    </row>
    <row r="165" spans="1:11" ht="15.75" x14ac:dyDescent="0.25">
      <c r="A165" s="140" t="s">
        <v>171</v>
      </c>
      <c r="B165" s="139" t="s">
        <v>172</v>
      </c>
      <c r="C165" s="139">
        <v>324</v>
      </c>
      <c r="D165" s="139" t="s">
        <v>121</v>
      </c>
      <c r="E165" s="261">
        <v>24807</v>
      </c>
      <c r="F165" s="152">
        <v>0</v>
      </c>
      <c r="G165" s="261">
        <f t="shared" si="6"/>
        <v>24807</v>
      </c>
      <c r="H165" s="152">
        <v>0</v>
      </c>
      <c r="I165" s="152">
        <v>0</v>
      </c>
      <c r="J165" s="152">
        <f t="shared" si="7"/>
        <v>0</v>
      </c>
      <c r="K165" s="261">
        <f t="shared" si="8"/>
        <v>24807</v>
      </c>
    </row>
    <row r="166" spans="1:11" ht="15.75" x14ac:dyDescent="0.25">
      <c r="A166" s="140" t="s">
        <v>171</v>
      </c>
      <c r="B166" s="139" t="s">
        <v>172</v>
      </c>
      <c r="C166" s="139">
        <v>324</v>
      </c>
      <c r="D166" s="139" t="s">
        <v>122</v>
      </c>
      <c r="E166" s="261">
        <v>21868</v>
      </c>
      <c r="F166" s="152">
        <v>0</v>
      </c>
      <c r="G166" s="261">
        <f t="shared" si="6"/>
        <v>21868</v>
      </c>
      <c r="H166" s="152">
        <v>0</v>
      </c>
      <c r="I166" s="152">
        <v>0</v>
      </c>
      <c r="J166" s="152">
        <f t="shared" si="7"/>
        <v>0</v>
      </c>
      <c r="K166" s="261">
        <f t="shared" si="8"/>
        <v>21868</v>
      </c>
    </row>
    <row r="167" spans="1:11" ht="15.75" x14ac:dyDescent="0.25">
      <c r="A167" s="140" t="s">
        <v>171</v>
      </c>
      <c r="B167" s="139" t="s">
        <v>172</v>
      </c>
      <c r="C167" s="139">
        <v>324</v>
      </c>
      <c r="D167" s="139" t="s">
        <v>123</v>
      </c>
      <c r="E167" s="261">
        <v>24382</v>
      </c>
      <c r="F167" s="152">
        <v>0</v>
      </c>
      <c r="G167" s="261">
        <f t="shared" si="6"/>
        <v>24382</v>
      </c>
      <c r="H167" s="152">
        <v>0</v>
      </c>
      <c r="I167" s="152">
        <v>0</v>
      </c>
      <c r="J167" s="152">
        <f t="shared" si="7"/>
        <v>0</v>
      </c>
      <c r="K167" s="261">
        <f t="shared" si="8"/>
        <v>24382</v>
      </c>
    </row>
    <row r="168" spans="1:11" ht="15.75" x14ac:dyDescent="0.25">
      <c r="A168" s="140" t="s">
        <v>171</v>
      </c>
      <c r="B168" s="139" t="s">
        <v>172</v>
      </c>
      <c r="C168" s="139">
        <v>324</v>
      </c>
      <c r="D168" s="139" t="s">
        <v>36</v>
      </c>
      <c r="E168" s="261">
        <v>14834</v>
      </c>
      <c r="F168" s="152">
        <v>0</v>
      </c>
      <c r="G168" s="261">
        <f t="shared" si="6"/>
        <v>14834</v>
      </c>
      <c r="H168" s="152">
        <v>0</v>
      </c>
      <c r="I168" s="152">
        <v>0</v>
      </c>
      <c r="J168" s="152">
        <f t="shared" si="7"/>
        <v>0</v>
      </c>
      <c r="K168" s="261">
        <f t="shared" si="8"/>
        <v>14834</v>
      </c>
    </row>
    <row r="169" spans="1:11" ht="15.75" x14ac:dyDescent="0.25">
      <c r="A169" s="140" t="s">
        <v>171</v>
      </c>
      <c r="B169" s="139" t="s">
        <v>172</v>
      </c>
      <c r="C169" s="139">
        <v>324</v>
      </c>
      <c r="D169" s="139" t="s">
        <v>124</v>
      </c>
      <c r="E169" s="261">
        <v>9310</v>
      </c>
      <c r="F169" s="152">
        <v>0</v>
      </c>
      <c r="G169" s="261">
        <f t="shared" si="6"/>
        <v>9310</v>
      </c>
      <c r="H169" s="152">
        <v>0</v>
      </c>
      <c r="I169" s="152">
        <v>0</v>
      </c>
      <c r="J169" s="152">
        <f t="shared" si="7"/>
        <v>0</v>
      </c>
      <c r="K169" s="261">
        <f t="shared" si="8"/>
        <v>9310</v>
      </c>
    </row>
    <row r="170" spans="1:11" ht="15.75" customHeight="1" x14ac:dyDescent="0.25">
      <c r="A170" s="140" t="s">
        <v>178</v>
      </c>
      <c r="B170" s="139" t="s">
        <v>18</v>
      </c>
      <c r="C170" s="139">
        <v>376</v>
      </c>
      <c r="D170" s="139" t="s">
        <v>3</v>
      </c>
      <c r="E170" s="261">
        <v>9599472</v>
      </c>
      <c r="F170" s="152">
        <v>0</v>
      </c>
      <c r="G170" s="261">
        <v>9599472</v>
      </c>
      <c r="H170" s="152">
        <v>0</v>
      </c>
      <c r="I170" s="152">
        <v>0</v>
      </c>
      <c r="J170" s="152">
        <v>0</v>
      </c>
      <c r="K170" s="261">
        <v>9599472</v>
      </c>
    </row>
    <row r="171" spans="1:11" ht="30.75" x14ac:dyDescent="0.25">
      <c r="A171" s="140" t="s">
        <v>178</v>
      </c>
      <c r="B171" s="139" t="s">
        <v>18</v>
      </c>
      <c r="C171" s="139">
        <v>376</v>
      </c>
      <c r="D171" s="139" t="s">
        <v>24</v>
      </c>
      <c r="E171" s="261">
        <v>8463281</v>
      </c>
      <c r="F171" s="152">
        <v>0</v>
      </c>
      <c r="G171" s="261">
        <v>8463281</v>
      </c>
      <c r="H171" s="152">
        <v>0</v>
      </c>
      <c r="I171" s="152">
        <v>0</v>
      </c>
      <c r="J171" s="152">
        <v>0</v>
      </c>
      <c r="K171" s="261">
        <v>8463281</v>
      </c>
    </row>
    <row r="172" spans="1:11" ht="30.75" x14ac:dyDescent="0.25">
      <c r="A172" s="140" t="s">
        <v>178</v>
      </c>
      <c r="B172" s="139" t="s">
        <v>18</v>
      </c>
      <c r="C172" s="139">
        <v>376</v>
      </c>
      <c r="D172" s="139" t="s">
        <v>39</v>
      </c>
      <c r="E172" s="261">
        <v>8426175</v>
      </c>
      <c r="F172" s="152">
        <v>0</v>
      </c>
      <c r="G172" s="261">
        <v>8426175</v>
      </c>
      <c r="H172" s="152">
        <v>0</v>
      </c>
      <c r="I172" s="152">
        <v>0</v>
      </c>
      <c r="J172" s="152">
        <v>0</v>
      </c>
      <c r="K172" s="261">
        <v>8426175</v>
      </c>
    </row>
    <row r="173" spans="1:11" ht="30.75" x14ac:dyDescent="0.25">
      <c r="A173" s="140" t="s">
        <v>178</v>
      </c>
      <c r="B173" s="139" t="s">
        <v>18</v>
      </c>
      <c r="C173" s="139">
        <v>376</v>
      </c>
      <c r="D173" s="139" t="s">
        <v>38</v>
      </c>
      <c r="E173" s="261">
        <v>7898914</v>
      </c>
      <c r="F173" s="152">
        <v>0</v>
      </c>
      <c r="G173" s="261">
        <v>7898914</v>
      </c>
      <c r="H173" s="152">
        <v>0</v>
      </c>
      <c r="I173" s="152">
        <v>0</v>
      </c>
      <c r="J173" s="152">
        <v>0</v>
      </c>
      <c r="K173" s="261">
        <v>7898914</v>
      </c>
    </row>
    <row r="174" spans="1:11" ht="30.75" x14ac:dyDescent="0.25">
      <c r="A174" s="140" t="s">
        <v>178</v>
      </c>
      <c r="B174" s="139" t="s">
        <v>18</v>
      </c>
      <c r="C174" s="139">
        <v>376</v>
      </c>
      <c r="D174" s="139" t="s">
        <v>53</v>
      </c>
      <c r="E174" s="261">
        <v>9713457</v>
      </c>
      <c r="F174" s="152">
        <v>0</v>
      </c>
      <c r="G174" s="261">
        <v>9713457</v>
      </c>
      <c r="H174" s="152">
        <v>0</v>
      </c>
      <c r="I174" s="152">
        <v>0</v>
      </c>
      <c r="J174" s="152">
        <v>0</v>
      </c>
      <c r="K174" s="261">
        <v>9713457</v>
      </c>
    </row>
    <row r="175" spans="1:11" ht="30.75" x14ac:dyDescent="0.25">
      <c r="A175" s="140" t="s">
        <v>178</v>
      </c>
      <c r="B175" s="139" t="s">
        <v>18</v>
      </c>
      <c r="C175" s="139">
        <v>376</v>
      </c>
      <c r="D175" s="139" t="s">
        <v>54</v>
      </c>
      <c r="E175" s="261">
        <v>11922587</v>
      </c>
      <c r="F175" s="152">
        <v>0</v>
      </c>
      <c r="G175" s="261">
        <v>11922587</v>
      </c>
      <c r="H175" s="152">
        <v>0</v>
      </c>
      <c r="I175" s="152">
        <v>0</v>
      </c>
      <c r="J175" s="152">
        <v>0</v>
      </c>
      <c r="K175" s="261">
        <v>11922587</v>
      </c>
    </row>
    <row r="176" spans="1:11" ht="30.75" x14ac:dyDescent="0.25">
      <c r="A176" s="140" t="s">
        <v>178</v>
      </c>
      <c r="B176" s="139" t="s">
        <v>18</v>
      </c>
      <c r="C176" s="139">
        <v>376</v>
      </c>
      <c r="D176" s="139" t="s">
        <v>55</v>
      </c>
      <c r="E176" s="261">
        <v>11631943</v>
      </c>
      <c r="F176" s="152">
        <v>0</v>
      </c>
      <c r="G176" s="261">
        <v>11631943</v>
      </c>
      <c r="H176" s="152">
        <v>0</v>
      </c>
      <c r="I176" s="152">
        <v>0</v>
      </c>
      <c r="J176" s="152">
        <v>0</v>
      </c>
      <c r="K176" s="261">
        <v>11631943</v>
      </c>
    </row>
    <row r="177" spans="1:11" ht="15.75" x14ac:dyDescent="0.25">
      <c r="A177" s="140" t="s">
        <v>175</v>
      </c>
      <c r="B177" s="139" t="s">
        <v>176</v>
      </c>
      <c r="C177" s="139">
        <v>331</v>
      </c>
      <c r="D177" s="139" t="s">
        <v>54</v>
      </c>
      <c r="E177" s="261">
        <v>2500091</v>
      </c>
      <c r="F177" s="152">
        <v>0</v>
      </c>
      <c r="G177" s="261">
        <f t="shared" si="6"/>
        <v>2500091</v>
      </c>
      <c r="H177" s="152">
        <v>0</v>
      </c>
      <c r="I177" s="152">
        <v>0</v>
      </c>
      <c r="J177" s="152">
        <f t="shared" si="7"/>
        <v>0</v>
      </c>
      <c r="K177" s="261">
        <f t="shared" si="8"/>
        <v>2500091</v>
      </c>
    </row>
    <row r="178" spans="1:11" ht="15.75" x14ac:dyDescent="0.25">
      <c r="A178" s="140" t="s">
        <v>175</v>
      </c>
      <c r="B178" s="139" t="s">
        <v>176</v>
      </c>
      <c r="C178" s="139">
        <v>331</v>
      </c>
      <c r="D178" s="139" t="s">
        <v>55</v>
      </c>
      <c r="E178" s="261">
        <v>649325</v>
      </c>
      <c r="F178" s="152">
        <v>0</v>
      </c>
      <c r="G178" s="261">
        <f t="shared" si="6"/>
        <v>649325</v>
      </c>
      <c r="H178" s="152">
        <v>0</v>
      </c>
      <c r="I178" s="152">
        <v>0</v>
      </c>
      <c r="J178" s="152">
        <f t="shared" si="7"/>
        <v>0</v>
      </c>
      <c r="K178" s="261">
        <f t="shared" si="8"/>
        <v>649325</v>
      </c>
    </row>
    <row r="179" spans="1:11" ht="15.75" x14ac:dyDescent="0.25">
      <c r="A179" s="140" t="s">
        <v>175</v>
      </c>
      <c r="B179" s="139" t="s">
        <v>176</v>
      </c>
      <c r="C179" s="139">
        <v>331</v>
      </c>
      <c r="D179" s="139" t="s">
        <v>58</v>
      </c>
      <c r="E179" s="261">
        <v>1484457</v>
      </c>
      <c r="F179" s="152">
        <v>0</v>
      </c>
      <c r="G179" s="261">
        <f t="shared" si="6"/>
        <v>1484457</v>
      </c>
      <c r="H179" s="152">
        <v>0</v>
      </c>
      <c r="I179" s="152">
        <v>0</v>
      </c>
      <c r="J179" s="152">
        <f t="shared" si="7"/>
        <v>0</v>
      </c>
      <c r="K179" s="261">
        <f t="shared" si="8"/>
        <v>1484457</v>
      </c>
    </row>
    <row r="180" spans="1:11" ht="15.75" x14ac:dyDescent="0.25">
      <c r="A180" s="140" t="s">
        <v>175</v>
      </c>
      <c r="B180" s="139" t="s">
        <v>176</v>
      </c>
      <c r="C180" s="139">
        <v>331</v>
      </c>
      <c r="D180" s="139" t="s">
        <v>37</v>
      </c>
      <c r="E180" s="261">
        <v>467811</v>
      </c>
      <c r="F180" s="152">
        <v>0</v>
      </c>
      <c r="G180" s="261">
        <f t="shared" si="6"/>
        <v>467811</v>
      </c>
      <c r="H180" s="152">
        <v>0</v>
      </c>
      <c r="I180" s="152">
        <v>0</v>
      </c>
      <c r="J180" s="152">
        <f t="shared" si="7"/>
        <v>0</v>
      </c>
      <c r="K180" s="261">
        <f t="shared" si="8"/>
        <v>467811</v>
      </c>
    </row>
    <row r="181" spans="1:11" ht="15.75" x14ac:dyDescent="0.25">
      <c r="A181" s="140" t="s">
        <v>175</v>
      </c>
      <c r="B181" s="139" t="s">
        <v>176</v>
      </c>
      <c r="C181" s="139">
        <v>331</v>
      </c>
      <c r="D181" s="139" t="s">
        <v>105</v>
      </c>
      <c r="E181" s="261">
        <v>1361366</v>
      </c>
      <c r="F181" s="152">
        <v>0</v>
      </c>
      <c r="G181" s="261">
        <f t="shared" si="6"/>
        <v>1361366</v>
      </c>
      <c r="H181" s="152">
        <v>0</v>
      </c>
      <c r="I181" s="152">
        <v>0</v>
      </c>
      <c r="J181" s="152">
        <f t="shared" si="7"/>
        <v>0</v>
      </c>
      <c r="K181" s="261">
        <f t="shared" si="8"/>
        <v>1361366</v>
      </c>
    </row>
    <row r="182" spans="1:11" ht="15.75" x14ac:dyDescent="0.25">
      <c r="A182" s="140" t="s">
        <v>175</v>
      </c>
      <c r="B182" s="139" t="s">
        <v>176</v>
      </c>
      <c r="C182" s="139">
        <v>331</v>
      </c>
      <c r="D182" s="139" t="s">
        <v>116</v>
      </c>
      <c r="E182" s="261">
        <v>418990</v>
      </c>
      <c r="F182" s="152">
        <v>0</v>
      </c>
      <c r="G182" s="261">
        <f t="shared" si="6"/>
        <v>418990</v>
      </c>
      <c r="H182" s="152">
        <v>0</v>
      </c>
      <c r="I182" s="152">
        <v>0</v>
      </c>
      <c r="J182" s="152">
        <f t="shared" si="7"/>
        <v>0</v>
      </c>
      <c r="K182" s="261">
        <f t="shared" si="8"/>
        <v>418990</v>
      </c>
    </row>
    <row r="183" spans="1:11" ht="15.75" x14ac:dyDescent="0.25">
      <c r="A183" s="140" t="s">
        <v>175</v>
      </c>
      <c r="B183" s="139" t="s">
        <v>176</v>
      </c>
      <c r="C183" s="139">
        <v>331</v>
      </c>
      <c r="D183" s="139" t="s">
        <v>121</v>
      </c>
      <c r="E183" s="261">
        <v>695563</v>
      </c>
      <c r="F183" s="152">
        <v>0</v>
      </c>
      <c r="G183" s="261">
        <f t="shared" si="6"/>
        <v>695563</v>
      </c>
      <c r="H183" s="152">
        <v>0</v>
      </c>
      <c r="I183" s="152">
        <v>0</v>
      </c>
      <c r="J183" s="152">
        <f t="shared" si="7"/>
        <v>0</v>
      </c>
      <c r="K183" s="261">
        <f t="shared" si="8"/>
        <v>695563</v>
      </c>
    </row>
    <row r="184" spans="1:11" ht="15.75" x14ac:dyDescent="0.25">
      <c r="A184" s="140" t="s">
        <v>175</v>
      </c>
      <c r="B184" s="139" t="s">
        <v>176</v>
      </c>
      <c r="C184" s="139">
        <v>331</v>
      </c>
      <c r="D184" s="139" t="s">
        <v>122</v>
      </c>
      <c r="E184" s="261">
        <v>427478</v>
      </c>
      <c r="F184" s="152">
        <v>0</v>
      </c>
      <c r="G184" s="261">
        <f t="shared" si="6"/>
        <v>427478</v>
      </c>
      <c r="H184" s="152">
        <v>0</v>
      </c>
      <c r="I184" s="152">
        <v>0</v>
      </c>
      <c r="J184" s="152">
        <f t="shared" si="7"/>
        <v>0</v>
      </c>
      <c r="K184" s="261">
        <f t="shared" si="8"/>
        <v>427478</v>
      </c>
    </row>
    <row r="185" spans="1:11" ht="15.75" x14ac:dyDescent="0.25">
      <c r="A185" s="140" t="s">
        <v>175</v>
      </c>
      <c r="B185" s="139" t="s">
        <v>176</v>
      </c>
      <c r="C185" s="139">
        <v>331</v>
      </c>
      <c r="D185" s="139" t="s">
        <v>123</v>
      </c>
      <c r="E185" s="261">
        <v>1088135</v>
      </c>
      <c r="F185" s="152">
        <v>0</v>
      </c>
      <c r="G185" s="261">
        <f t="shared" si="6"/>
        <v>1088135</v>
      </c>
      <c r="H185" s="152">
        <v>0</v>
      </c>
      <c r="I185" s="152">
        <v>0</v>
      </c>
      <c r="J185" s="152">
        <f t="shared" si="7"/>
        <v>0</v>
      </c>
      <c r="K185" s="261">
        <f t="shared" si="8"/>
        <v>1088135</v>
      </c>
    </row>
    <row r="186" spans="1:11" ht="15.75" x14ac:dyDescent="0.25">
      <c r="A186" s="140" t="s">
        <v>175</v>
      </c>
      <c r="B186" s="139" t="s">
        <v>176</v>
      </c>
      <c r="C186" s="139">
        <v>331</v>
      </c>
      <c r="D186" s="139" t="s">
        <v>36</v>
      </c>
      <c r="E186" s="261">
        <v>514260</v>
      </c>
      <c r="F186" s="152">
        <v>0</v>
      </c>
      <c r="G186" s="261">
        <f t="shared" si="6"/>
        <v>514260</v>
      </c>
      <c r="H186" s="152">
        <v>0</v>
      </c>
      <c r="I186" s="152">
        <v>0</v>
      </c>
      <c r="J186" s="152">
        <f t="shared" si="7"/>
        <v>0</v>
      </c>
      <c r="K186" s="261">
        <f t="shared" si="8"/>
        <v>514260</v>
      </c>
    </row>
    <row r="187" spans="1:11" ht="15.75" x14ac:dyDescent="0.25">
      <c r="A187" s="140" t="s">
        <v>175</v>
      </c>
      <c r="B187" s="139" t="s">
        <v>176</v>
      </c>
      <c r="C187" s="139">
        <v>331</v>
      </c>
      <c r="D187" s="139" t="s">
        <v>124</v>
      </c>
      <c r="E187" s="261">
        <v>467915</v>
      </c>
      <c r="F187" s="152">
        <v>0</v>
      </c>
      <c r="G187" s="261">
        <f t="shared" si="6"/>
        <v>467915</v>
      </c>
      <c r="H187" s="152">
        <v>0</v>
      </c>
      <c r="I187" s="152">
        <v>0</v>
      </c>
      <c r="J187" s="152">
        <f t="shared" si="7"/>
        <v>0</v>
      </c>
      <c r="K187" s="261">
        <f t="shared" si="8"/>
        <v>467915</v>
      </c>
    </row>
    <row r="188" spans="1:11" ht="18.75" x14ac:dyDescent="0.25">
      <c r="A188" s="350" t="s">
        <v>526</v>
      </c>
      <c r="B188" s="351" t="s">
        <v>574</v>
      </c>
      <c r="C188" s="351" t="s">
        <v>480</v>
      </c>
      <c r="D188" s="351" t="s">
        <v>480</v>
      </c>
      <c r="E188" s="263">
        <f>SUBTOTAL(107,unfundedlocal[Program
Costs])</f>
        <v>3401683.7522766721</v>
      </c>
      <c r="F188" s="183">
        <f>SUBTOTAL(109,unfundedlocal[Less: Net Payments and Offsets])</f>
        <v>0</v>
      </c>
      <c r="G188" s="263">
        <f>SUBTOTAL(109,unfundedlocal[Account Payable
 Balance])</f>
        <v>405984100</v>
      </c>
      <c r="H188" s="183">
        <f>SUBTOTAL(109,unfundedlocal[Established
Account Receivable])</f>
        <v>0</v>
      </c>
      <c r="I188" s="183">
        <f>SUBTOTAL(109,unfundedlocal[Less: Recovered Amount])</f>
        <v>0</v>
      </c>
      <c r="J188" s="183">
        <f>SUBTOTAL(109,unfundedlocal[Account Receivable
Balance])</f>
        <v>0</v>
      </c>
      <c r="K188" s="352">
        <f>SUBTOTAL(109,unfundedlocal[Net
Balance])</f>
        <v>405984100</v>
      </c>
    </row>
    <row r="189" spans="1:11" ht="15.75" customHeight="1" x14ac:dyDescent="0.25">
      <c r="A189" s="378" t="s">
        <v>575</v>
      </c>
      <c r="B189" s="319"/>
      <c r="C189" s="319"/>
      <c r="D189" s="319"/>
      <c r="E189" s="319"/>
      <c r="F189" s="319"/>
      <c r="G189" s="319"/>
      <c r="H189" s="319"/>
      <c r="I189" s="319"/>
      <c r="J189" s="319"/>
      <c r="K189" s="319"/>
    </row>
    <row r="190" spans="1:11" ht="18.75" x14ac:dyDescent="0.25">
      <c r="A190" s="185" t="s">
        <v>512</v>
      </c>
    </row>
  </sheetData>
  <hyperlinks>
    <hyperlink ref="A188" location="'Schedule B2-Local Agencies'!A189" display="Total Unfunded Mandates8"/>
  </hyperlinks>
  <printOptions horizontalCentered="1" gridLines="1"/>
  <pageMargins left="0.3" right="0.3" top="1" bottom="0.75" header="0.3" footer="0.3"/>
  <pageSetup scale="52" firstPageNumber="41" fitToHeight="0" orientation="landscape" r:id="rId1"/>
  <headerFooter>
    <oddFooter>&amp;L&amp;"Arial,Regular"&amp;12  Schedule B2: Detail of Unfunded State-Mandated Programs 
  Local Agencies&amp;R&amp;"Arial,Regular"&amp;12Page &amp;P of &amp;N</oddFooter>
  </headerFooter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"/>
  <sheetViews>
    <sheetView zoomScaleNormal="100" zoomScaleSheetLayoutView="115" workbookViewId="0">
      <selection sqref="A1:L1"/>
    </sheetView>
  </sheetViews>
  <sheetFormatPr defaultColWidth="9.140625" defaultRowHeight="15" x14ac:dyDescent="0.2"/>
  <cols>
    <col min="1" max="1" width="37.85546875" style="29" customWidth="1"/>
    <col min="2" max="2" width="11.85546875" style="25" bestFit="1" customWidth="1"/>
    <col min="3" max="3" width="16.5703125" style="25" bestFit="1" customWidth="1"/>
    <col min="4" max="4" width="14.85546875" style="28" customWidth="1"/>
    <col min="5" max="5" width="26.42578125" style="27" customWidth="1"/>
    <col min="6" max="6" width="19.42578125" style="25" customWidth="1"/>
    <col min="7" max="7" width="29.7109375" style="25" customWidth="1"/>
    <col min="8" max="8" width="21.5703125" style="25" customWidth="1"/>
    <col min="9" max="9" width="16.140625" style="25" bestFit="1" customWidth="1"/>
    <col min="10" max="10" width="27.28515625" style="25" customWidth="1"/>
    <col min="11" max="11" width="8.7109375" style="25" bestFit="1" customWidth="1"/>
    <col min="12" max="12" width="16.7109375" style="26" customWidth="1"/>
    <col min="13" max="13" width="16.28515625" style="25" customWidth="1"/>
    <col min="14" max="14" width="18.42578125" style="25" customWidth="1"/>
    <col min="15" max="16384" width="9.140625" style="25"/>
  </cols>
  <sheetData>
    <row r="1" spans="1:12" s="30" customFormat="1" ht="54" x14ac:dyDescent="0.25">
      <c r="A1" s="369" t="s">
        <v>500</v>
      </c>
      <c r="B1" s="162"/>
      <c r="C1" s="162"/>
      <c r="D1" s="370"/>
      <c r="E1" s="371"/>
      <c r="F1" s="162"/>
      <c r="G1" s="162"/>
      <c r="H1" s="162"/>
      <c r="I1" s="162"/>
      <c r="J1" s="162"/>
      <c r="K1" s="162"/>
      <c r="L1" s="372"/>
    </row>
    <row r="2" spans="1:12" s="30" customFormat="1" ht="47.45" customHeight="1" x14ac:dyDescent="0.25">
      <c r="A2" s="188" t="s">
        <v>501</v>
      </c>
      <c r="B2" s="113" t="s">
        <v>388</v>
      </c>
      <c r="C2" s="113" t="s">
        <v>387</v>
      </c>
      <c r="D2" s="189" t="s">
        <v>386</v>
      </c>
      <c r="E2" s="189" t="s">
        <v>385</v>
      </c>
      <c r="F2" s="113" t="s">
        <v>384</v>
      </c>
      <c r="G2" s="113" t="s">
        <v>383</v>
      </c>
      <c r="H2" s="113" t="s">
        <v>461</v>
      </c>
      <c r="I2" s="113" t="s">
        <v>382</v>
      </c>
      <c r="J2" s="113" t="s">
        <v>381</v>
      </c>
      <c r="K2" s="113" t="s">
        <v>380</v>
      </c>
      <c r="L2" s="190" t="s">
        <v>379</v>
      </c>
    </row>
    <row r="3" spans="1:12" s="31" customFormat="1" ht="48" customHeight="1" x14ac:dyDescent="0.2">
      <c r="A3" s="187">
        <v>1</v>
      </c>
      <c r="B3" s="186" t="s">
        <v>480</v>
      </c>
      <c r="C3" s="68" t="s">
        <v>378</v>
      </c>
      <c r="D3" s="35">
        <v>44916</v>
      </c>
      <c r="E3" s="34" t="s">
        <v>377</v>
      </c>
      <c r="F3" s="32" t="s">
        <v>376</v>
      </c>
      <c r="G3" s="33" t="s">
        <v>375</v>
      </c>
      <c r="H3" s="33" t="s">
        <v>462</v>
      </c>
      <c r="I3" s="265">
        <v>2295922</v>
      </c>
      <c r="J3" s="33" t="s">
        <v>187</v>
      </c>
      <c r="K3" s="32" t="s">
        <v>374</v>
      </c>
      <c r="L3" s="35">
        <v>45562</v>
      </c>
    </row>
    <row r="4" spans="1:12" ht="47.25" x14ac:dyDescent="0.25">
      <c r="A4" s="346" t="s">
        <v>463</v>
      </c>
      <c r="B4" s="347" t="s">
        <v>480</v>
      </c>
      <c r="C4" s="347" t="s">
        <v>480</v>
      </c>
      <c r="D4" s="347" t="s">
        <v>480</v>
      </c>
      <c r="E4" s="347" t="s">
        <v>480</v>
      </c>
      <c r="F4" s="347" t="s">
        <v>480</v>
      </c>
      <c r="G4" s="347" t="s">
        <v>480</v>
      </c>
      <c r="H4" s="347" t="s">
        <v>480</v>
      </c>
      <c r="I4" s="348">
        <f>SUBTOTAL(109,schedulec[Amount
of Claim])</f>
        <v>2295922</v>
      </c>
      <c r="J4" s="347" t="s">
        <v>480</v>
      </c>
      <c r="K4" s="347" t="s">
        <v>480</v>
      </c>
      <c r="L4" s="349" t="s">
        <v>480</v>
      </c>
    </row>
  </sheetData>
  <printOptions horizontalCentered="1" gridLines="1"/>
  <pageMargins left="0.25" right="0.25" top="1" bottom="0.75" header="0.3" footer="0.3"/>
  <pageSetup scale="54" firstPageNumber="46" fitToHeight="0" orientation="landscape" r:id="rId1"/>
  <headerFooter>
    <oddFooter>&amp;L&amp;"Arial,Regular"&amp;12Schedule C : Outstanding Incorrect Reduction Claims Filed with Commission on State Mandates&amp;R&amp;"Arial,Regular"&amp;12Page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B26" sqref="B26"/>
    </sheetView>
  </sheetViews>
  <sheetFormatPr defaultRowHeight="15" x14ac:dyDescent="0.25"/>
  <cols>
    <col min="1" max="1" width="20" customWidth="1"/>
    <col min="2" max="2" width="117.42578125" customWidth="1"/>
    <col min="3" max="3" width="10.5703125" customWidth="1"/>
  </cols>
  <sheetData>
    <row r="1" spans="1:3" ht="20.25" x14ac:dyDescent="0.25">
      <c r="A1" s="227" t="s">
        <v>536</v>
      </c>
      <c r="B1" s="228"/>
      <c r="C1" s="228"/>
    </row>
    <row r="2" spans="1:3" ht="20.25" x14ac:dyDescent="0.25">
      <c r="A2" s="227" t="s">
        <v>537</v>
      </c>
      <c r="B2" s="228"/>
      <c r="C2" s="228"/>
    </row>
    <row r="3" spans="1:3" ht="20.25" x14ac:dyDescent="0.25">
      <c r="A3" s="227" t="s">
        <v>538</v>
      </c>
      <c r="B3" s="228"/>
      <c r="C3" s="228"/>
    </row>
    <row r="4" spans="1:3" ht="20.25" x14ac:dyDescent="0.25">
      <c r="A4" s="227" t="s">
        <v>539</v>
      </c>
      <c r="B4" s="228"/>
      <c r="C4" s="228"/>
    </row>
    <row r="5" spans="1:3" ht="18" x14ac:dyDescent="0.25">
      <c r="A5" s="229" t="s">
        <v>535</v>
      </c>
      <c r="B5" s="228"/>
      <c r="C5" s="228"/>
    </row>
    <row r="6" spans="1:3" ht="18" x14ac:dyDescent="0.25">
      <c r="A6" s="230" t="s">
        <v>556</v>
      </c>
      <c r="B6" s="228"/>
      <c r="C6" s="228"/>
    </row>
    <row r="7" spans="1:3" ht="18" x14ac:dyDescent="0.25">
      <c r="A7" s="231" t="s">
        <v>540</v>
      </c>
      <c r="B7" s="232" t="s">
        <v>541</v>
      </c>
      <c r="C7" s="233" t="s">
        <v>542</v>
      </c>
    </row>
    <row r="8" spans="1:3" ht="18" x14ac:dyDescent="0.25">
      <c r="A8" s="231" t="s">
        <v>543</v>
      </c>
      <c r="B8" s="232" t="s">
        <v>544</v>
      </c>
      <c r="C8" s="233" t="s">
        <v>562</v>
      </c>
    </row>
    <row r="9" spans="1:3" ht="18" x14ac:dyDescent="0.25">
      <c r="A9" s="230" t="s">
        <v>557</v>
      </c>
      <c r="B9" s="228"/>
      <c r="C9" s="234"/>
    </row>
    <row r="10" spans="1:3" ht="18" x14ac:dyDescent="0.25">
      <c r="A10" s="231" t="s">
        <v>545</v>
      </c>
      <c r="B10" s="232" t="s">
        <v>546</v>
      </c>
      <c r="C10" s="235" t="s">
        <v>594</v>
      </c>
    </row>
    <row r="11" spans="1:3" ht="18" x14ac:dyDescent="0.25">
      <c r="A11" s="231" t="s">
        <v>547</v>
      </c>
      <c r="B11" s="232" t="s">
        <v>548</v>
      </c>
      <c r="C11" s="235" t="s">
        <v>549</v>
      </c>
    </row>
    <row r="12" spans="1:3" ht="18" x14ac:dyDescent="0.25">
      <c r="A12" s="231" t="s">
        <v>550</v>
      </c>
      <c r="B12" s="232" t="s">
        <v>551</v>
      </c>
      <c r="C12" s="235" t="s">
        <v>555</v>
      </c>
    </row>
    <row r="13" spans="1:3" ht="18" x14ac:dyDescent="0.25">
      <c r="A13" s="230" t="s">
        <v>552</v>
      </c>
      <c r="B13" s="228"/>
      <c r="C13" s="236"/>
    </row>
    <row r="14" spans="1:3" ht="18" x14ac:dyDescent="0.25">
      <c r="A14" s="237" t="s">
        <v>553</v>
      </c>
      <c r="B14" s="238" t="s">
        <v>554</v>
      </c>
      <c r="C14" s="235" t="s">
        <v>595</v>
      </c>
    </row>
  </sheetData>
  <printOptions horizontalCentered="1"/>
  <pageMargins left="0.7" right="0.7" top="1" bottom="0.75" header="0.3" footer="0.3"/>
  <pageSetup scale="75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topLeftCell="A22" zoomScale="85" zoomScaleNormal="85" zoomScalePageLayoutView="80" workbookViewId="0">
      <selection activeCell="C49" sqref="C49"/>
    </sheetView>
  </sheetViews>
  <sheetFormatPr defaultColWidth="9.140625" defaultRowHeight="14.25" x14ac:dyDescent="0.2"/>
  <cols>
    <col min="1" max="1" width="57.7109375" style="40" customWidth="1"/>
    <col min="2" max="2" width="30.28515625" style="40" customWidth="1"/>
    <col min="3" max="3" width="18.7109375" style="41" customWidth="1"/>
    <col min="4" max="4" width="22" style="41" customWidth="1"/>
    <col min="5" max="5" width="14" style="41" customWidth="1"/>
    <col min="6" max="6" width="21.28515625" style="51" customWidth="1"/>
    <col min="7" max="7" width="17.85546875" style="51" customWidth="1"/>
    <col min="8" max="8" width="1.7109375" style="281" customWidth="1"/>
    <col min="9" max="9" width="19.140625" style="51" customWidth="1"/>
    <col min="10" max="10" width="22.85546875" style="51" customWidth="1"/>
    <col min="11" max="11" width="30.85546875" style="51" customWidth="1"/>
    <col min="12" max="12" width="19.28515625" style="51" customWidth="1"/>
    <col min="13" max="13" width="20.140625" style="40" customWidth="1"/>
    <col min="14" max="16384" width="9.140625" style="40"/>
  </cols>
  <sheetData>
    <row r="1" spans="1:15" s="7" customFormat="1" ht="54" x14ac:dyDescent="0.25">
      <c r="A1" s="160" t="s">
        <v>482</v>
      </c>
      <c r="B1" s="161"/>
      <c r="C1" s="162"/>
      <c r="D1" s="162"/>
      <c r="E1" s="162"/>
      <c r="F1" s="163"/>
      <c r="G1" s="163"/>
      <c r="H1" s="267"/>
      <c r="I1" s="163"/>
      <c r="J1" s="163"/>
      <c r="K1" s="163"/>
      <c r="L1" s="164"/>
      <c r="M1" s="156"/>
      <c r="N1" s="156"/>
      <c r="O1" s="157"/>
    </row>
    <row r="2" spans="1:15" s="66" customFormat="1" ht="65.099999999999994" customHeight="1" x14ac:dyDescent="0.25">
      <c r="A2" s="112" t="s">
        <v>468</v>
      </c>
      <c r="B2" s="113" t="s">
        <v>458</v>
      </c>
      <c r="C2" s="113" t="s">
        <v>0</v>
      </c>
      <c r="D2" s="113" t="s">
        <v>457</v>
      </c>
      <c r="E2" s="113" t="s">
        <v>456</v>
      </c>
      <c r="F2" s="114" t="s">
        <v>455</v>
      </c>
      <c r="G2" s="115" t="s">
        <v>483</v>
      </c>
      <c r="H2" s="266" t="s">
        <v>563</v>
      </c>
      <c r="I2" s="116" t="s">
        <v>454</v>
      </c>
      <c r="J2" s="117" t="s">
        <v>453</v>
      </c>
      <c r="K2" s="117" t="s">
        <v>452</v>
      </c>
      <c r="L2" s="118" t="s">
        <v>451</v>
      </c>
      <c r="M2" s="119" t="s">
        <v>450</v>
      </c>
    </row>
    <row r="3" spans="1:15" ht="15" customHeight="1" x14ac:dyDescent="0.2">
      <c r="A3" s="93" t="s">
        <v>469</v>
      </c>
      <c r="B3" s="64" t="s">
        <v>424</v>
      </c>
      <c r="C3" s="55" t="s">
        <v>431</v>
      </c>
      <c r="D3" s="65" t="s">
        <v>443</v>
      </c>
      <c r="E3" s="59">
        <v>46568</v>
      </c>
      <c r="F3" s="239">
        <v>130256000</v>
      </c>
      <c r="G3" s="239">
        <v>130256000</v>
      </c>
      <c r="H3" s="268" t="s">
        <v>480</v>
      </c>
      <c r="I3" s="83">
        <v>0</v>
      </c>
      <c r="J3" s="239">
        <v>12504831</v>
      </c>
      <c r="K3" s="239">
        <v>86592978</v>
      </c>
      <c r="L3" s="84">
        <v>0</v>
      </c>
      <c r="M3" s="243">
        <f t="shared" ref="M3:M9" si="0">G3+I3+J3-K3-L3</f>
        <v>56167853</v>
      </c>
    </row>
    <row r="4" spans="1:15" ht="15" customHeight="1" x14ac:dyDescent="0.2">
      <c r="A4" s="93" t="s">
        <v>469</v>
      </c>
      <c r="B4" s="64" t="s">
        <v>412</v>
      </c>
      <c r="C4" s="55" t="s">
        <v>429</v>
      </c>
      <c r="D4" s="63" t="s">
        <v>449</v>
      </c>
      <c r="E4" s="59">
        <v>46203</v>
      </c>
      <c r="F4" s="239">
        <v>141391000</v>
      </c>
      <c r="G4" s="239">
        <v>21315604</v>
      </c>
      <c r="H4" s="268" t="s">
        <v>480</v>
      </c>
      <c r="I4" s="83">
        <v>0</v>
      </c>
      <c r="J4" s="239">
        <v>1605791</v>
      </c>
      <c r="K4" s="245">
        <v>8195312</v>
      </c>
      <c r="L4" s="84">
        <v>0</v>
      </c>
      <c r="M4" s="243">
        <f t="shared" si="0"/>
        <v>14726083</v>
      </c>
    </row>
    <row r="5" spans="1:15" ht="15" customHeight="1" x14ac:dyDescent="0.2">
      <c r="A5" s="93" t="s">
        <v>469</v>
      </c>
      <c r="B5" s="64" t="s">
        <v>448</v>
      </c>
      <c r="C5" s="55" t="s">
        <v>429</v>
      </c>
      <c r="D5" s="104" t="s">
        <v>480</v>
      </c>
      <c r="E5" s="59">
        <v>46203</v>
      </c>
      <c r="F5" s="239">
        <v>17605000</v>
      </c>
      <c r="G5" s="239">
        <v>12546</v>
      </c>
      <c r="H5" s="268" t="s">
        <v>480</v>
      </c>
      <c r="I5" s="83">
        <v>0</v>
      </c>
      <c r="J5" s="83">
        <v>0</v>
      </c>
      <c r="K5" s="84">
        <v>0</v>
      </c>
      <c r="L5" s="84">
        <v>0</v>
      </c>
      <c r="M5" s="243">
        <f t="shared" si="0"/>
        <v>12546</v>
      </c>
    </row>
    <row r="6" spans="1:15" ht="15" customHeight="1" x14ac:dyDescent="0.2">
      <c r="A6" s="93" t="s">
        <v>469</v>
      </c>
      <c r="B6" s="64" t="s">
        <v>404</v>
      </c>
      <c r="C6" s="55" t="s">
        <v>427</v>
      </c>
      <c r="D6" s="63" t="s">
        <v>441</v>
      </c>
      <c r="E6" s="54">
        <v>45838</v>
      </c>
      <c r="F6" s="239">
        <v>66840000</v>
      </c>
      <c r="G6" s="245">
        <v>15760979</v>
      </c>
      <c r="H6" s="269" t="s">
        <v>480</v>
      </c>
      <c r="I6" s="84">
        <v>0</v>
      </c>
      <c r="J6" s="239">
        <v>2200175</v>
      </c>
      <c r="K6" s="245">
        <v>92808</v>
      </c>
      <c r="L6" s="83">
        <v>0</v>
      </c>
      <c r="M6" s="243">
        <f t="shared" si="0"/>
        <v>17868346</v>
      </c>
    </row>
    <row r="7" spans="1:15" s="15" customFormat="1" ht="30.75" customHeight="1" x14ac:dyDescent="0.2">
      <c r="A7" s="93" t="s">
        <v>469</v>
      </c>
      <c r="B7" s="64" t="s">
        <v>447</v>
      </c>
      <c r="C7" s="340" t="s">
        <v>593</v>
      </c>
      <c r="D7" s="104" t="s">
        <v>480</v>
      </c>
      <c r="E7" s="54">
        <v>45473</v>
      </c>
      <c r="F7" s="239">
        <v>45623000</v>
      </c>
      <c r="G7" s="239">
        <v>415689</v>
      </c>
      <c r="H7" s="268" t="s">
        <v>480</v>
      </c>
      <c r="I7" s="84">
        <v>0</v>
      </c>
      <c r="J7" s="239">
        <v>795037</v>
      </c>
      <c r="K7" s="83">
        <v>0</v>
      </c>
      <c r="L7" s="245">
        <v>1210726</v>
      </c>
      <c r="M7" s="110">
        <f t="shared" si="0"/>
        <v>0</v>
      </c>
    </row>
    <row r="8" spans="1:15" s="15" customFormat="1" ht="30.75" customHeight="1" x14ac:dyDescent="0.2">
      <c r="A8" s="93" t="s">
        <v>469</v>
      </c>
      <c r="B8" s="64" t="s">
        <v>446</v>
      </c>
      <c r="C8" s="340" t="s">
        <v>593</v>
      </c>
      <c r="D8" s="104" t="s">
        <v>480</v>
      </c>
      <c r="E8" s="54">
        <v>46203</v>
      </c>
      <c r="F8" s="83">
        <v>0</v>
      </c>
      <c r="G8" s="239">
        <v>728</v>
      </c>
      <c r="H8" s="268" t="s">
        <v>480</v>
      </c>
      <c r="I8" s="84">
        <v>0</v>
      </c>
      <c r="J8" s="83">
        <v>0</v>
      </c>
      <c r="K8" s="83">
        <v>0</v>
      </c>
      <c r="L8" s="84">
        <v>0</v>
      </c>
      <c r="M8" s="243">
        <f t="shared" si="0"/>
        <v>728</v>
      </c>
    </row>
    <row r="9" spans="1:15" s="15" customFormat="1" ht="15" customHeight="1" x14ac:dyDescent="0.2">
      <c r="A9" s="93" t="s">
        <v>469</v>
      </c>
      <c r="B9" s="94" t="s">
        <v>445</v>
      </c>
      <c r="C9" s="95" t="s">
        <v>444</v>
      </c>
      <c r="D9" s="105" t="s">
        <v>480</v>
      </c>
      <c r="E9" s="96">
        <v>46203</v>
      </c>
      <c r="F9" s="240">
        <v>41147000</v>
      </c>
      <c r="G9" s="240">
        <v>759</v>
      </c>
      <c r="H9" s="270" t="s">
        <v>480</v>
      </c>
      <c r="I9" s="98">
        <v>0</v>
      </c>
      <c r="J9" s="240">
        <v>4396</v>
      </c>
      <c r="K9" s="97">
        <v>0</v>
      </c>
      <c r="L9" s="98">
        <v>0</v>
      </c>
      <c r="M9" s="244">
        <f t="shared" si="0"/>
        <v>5155</v>
      </c>
    </row>
    <row r="10" spans="1:15" s="53" customFormat="1" ht="15.75" x14ac:dyDescent="0.25">
      <c r="A10" s="329" t="s">
        <v>592</v>
      </c>
      <c r="B10" s="330" t="s">
        <v>590</v>
      </c>
      <c r="C10" s="330" t="s">
        <v>590</v>
      </c>
      <c r="D10" s="330" t="s">
        <v>590</v>
      </c>
      <c r="E10" s="330" t="s">
        <v>590</v>
      </c>
      <c r="F10" s="331">
        <f>SUBTOTAL(109,localgeneralfund[Original
Appropriation
Amount])</f>
        <v>442862000</v>
      </c>
      <c r="G10" s="331">
        <f>SUBTOTAL(109,localgeneralfund[Appropriation Balances1])</f>
        <v>167762305</v>
      </c>
      <c r="H10" s="330" t="s">
        <v>591</v>
      </c>
      <c r="I10" s="332">
        <f>SUBTOTAL(109,localgeneralfund[Budget
Adjustments])</f>
        <v>0</v>
      </c>
      <c r="J10" s="331">
        <f>SUBTOTAL(109,localgeneralfund[Add: Receipts
and Recovered Amounts])</f>
        <v>17110230</v>
      </c>
      <c r="K10" s="332">
        <f>SUBTOTAL(109,localgeneralfund[Less: Mandated Program Payments, Offsets,
and Interest
(see Schedule A1)])</f>
        <v>94881098</v>
      </c>
      <c r="L10" s="332">
        <f>SUBTOTAL(109,localgeneralfund[Less: Appropriations for Reversion])</f>
        <v>1210726</v>
      </c>
      <c r="M10" s="328">
        <f>SUBTOTAL(109,localgeneralfund[Appropriation Balances
as of 8/31/2024])</f>
        <v>88780711</v>
      </c>
    </row>
    <row r="11" spans="1:15" ht="15.75" customHeight="1" x14ac:dyDescent="0.25">
      <c r="A11" s="333" t="s">
        <v>481</v>
      </c>
      <c r="B11" s="334"/>
      <c r="C11" s="334"/>
      <c r="D11" s="334"/>
      <c r="E11" s="334"/>
      <c r="F11" s="335"/>
      <c r="G11" s="335"/>
      <c r="H11" s="336"/>
      <c r="I11" s="335"/>
      <c r="J11" s="335"/>
      <c r="K11" s="335"/>
      <c r="L11" s="335"/>
      <c r="M11" s="337"/>
    </row>
    <row r="12" spans="1:15" ht="65.099999999999994" customHeight="1" x14ac:dyDescent="0.25">
      <c r="A12" s="112" t="s">
        <v>468</v>
      </c>
      <c r="B12" s="113" t="s">
        <v>458</v>
      </c>
      <c r="C12" s="113" t="s">
        <v>0</v>
      </c>
      <c r="D12" s="113" t="s">
        <v>457</v>
      </c>
      <c r="E12" s="113" t="s">
        <v>456</v>
      </c>
      <c r="F12" s="114" t="s">
        <v>455</v>
      </c>
      <c r="G12" s="123" t="s">
        <v>558</v>
      </c>
      <c r="H12" s="272" t="s">
        <v>564</v>
      </c>
      <c r="I12" s="116" t="s">
        <v>454</v>
      </c>
      <c r="J12" s="117" t="s">
        <v>453</v>
      </c>
      <c r="K12" s="117" t="s">
        <v>452</v>
      </c>
      <c r="L12" s="118" t="s">
        <v>451</v>
      </c>
      <c r="M12" s="119" t="s">
        <v>450</v>
      </c>
    </row>
    <row r="13" spans="1:15" ht="15" x14ac:dyDescent="0.2">
      <c r="A13" s="30" t="s">
        <v>470</v>
      </c>
      <c r="B13" s="64" t="s">
        <v>400</v>
      </c>
      <c r="C13" s="55" t="s">
        <v>431</v>
      </c>
      <c r="D13" s="61" t="s">
        <v>443</v>
      </c>
      <c r="E13" s="59">
        <v>46568</v>
      </c>
      <c r="F13" s="239">
        <v>1869000</v>
      </c>
      <c r="G13" s="248">
        <v>1869000</v>
      </c>
      <c r="H13" s="273" t="s">
        <v>480</v>
      </c>
      <c r="I13" s="83">
        <v>0</v>
      </c>
      <c r="J13" s="239">
        <v>262</v>
      </c>
      <c r="K13" s="239">
        <v>1868992</v>
      </c>
      <c r="L13" s="83">
        <v>0</v>
      </c>
      <c r="M13" s="243">
        <f>G13+I13+J13-K13-L13</f>
        <v>270</v>
      </c>
    </row>
    <row r="14" spans="1:15" ht="15" x14ac:dyDescent="0.2">
      <c r="A14" s="30" t="s">
        <v>470</v>
      </c>
      <c r="B14" s="64" t="s">
        <v>442</v>
      </c>
      <c r="C14" s="55" t="s">
        <v>429</v>
      </c>
      <c r="D14" s="104" t="s">
        <v>480</v>
      </c>
      <c r="E14" s="59">
        <v>46203</v>
      </c>
      <c r="F14" s="239">
        <v>1809000</v>
      </c>
      <c r="G14" s="239">
        <v>4</v>
      </c>
      <c r="H14" s="268" t="s">
        <v>480</v>
      </c>
      <c r="I14" s="83">
        <v>0</v>
      </c>
      <c r="J14" s="239">
        <v>4843</v>
      </c>
      <c r="K14" s="83">
        <v>0</v>
      </c>
      <c r="L14" s="83">
        <v>0</v>
      </c>
      <c r="M14" s="243">
        <f>G14+I14+J14-K14-L14</f>
        <v>4847</v>
      </c>
    </row>
    <row r="15" spans="1:15" s="15" customFormat="1" ht="15" x14ac:dyDescent="0.2">
      <c r="A15" s="30" t="s">
        <v>470</v>
      </c>
      <c r="B15" s="64" t="s">
        <v>399</v>
      </c>
      <c r="C15" s="55" t="s">
        <v>427</v>
      </c>
      <c r="D15" s="61" t="s">
        <v>441</v>
      </c>
      <c r="E15" s="54">
        <v>45838</v>
      </c>
      <c r="F15" s="239">
        <v>1805000</v>
      </c>
      <c r="G15" s="239">
        <v>107342</v>
      </c>
      <c r="H15" s="268" t="s">
        <v>480</v>
      </c>
      <c r="I15" s="83">
        <v>0</v>
      </c>
      <c r="J15" s="83">
        <v>0</v>
      </c>
      <c r="K15" s="239">
        <v>57056</v>
      </c>
      <c r="L15" s="83">
        <v>0</v>
      </c>
      <c r="M15" s="243">
        <f>G15+I15+J15-K15-L15</f>
        <v>50286</v>
      </c>
    </row>
    <row r="16" spans="1:15" s="53" customFormat="1" ht="30.75" customHeight="1" x14ac:dyDescent="0.25">
      <c r="A16" s="30" t="s">
        <v>470</v>
      </c>
      <c r="B16" s="94" t="s">
        <v>440</v>
      </c>
      <c r="C16" s="339" t="s">
        <v>593</v>
      </c>
      <c r="D16" s="105" t="s">
        <v>480</v>
      </c>
      <c r="E16" s="96">
        <v>45473</v>
      </c>
      <c r="F16" s="240">
        <v>2008000</v>
      </c>
      <c r="G16" s="240">
        <v>288437</v>
      </c>
      <c r="H16" s="270" t="s">
        <v>480</v>
      </c>
      <c r="I16" s="97">
        <v>0</v>
      </c>
      <c r="J16" s="97">
        <v>0</v>
      </c>
      <c r="K16" s="97">
        <v>0</v>
      </c>
      <c r="L16" s="240">
        <v>288437</v>
      </c>
      <c r="M16" s="111">
        <f>G16+I16+J16-K16-L16</f>
        <v>0</v>
      </c>
    </row>
    <row r="17" spans="1:13" ht="15.75" customHeight="1" x14ac:dyDescent="0.25">
      <c r="A17" s="338" t="s">
        <v>471</v>
      </c>
      <c r="B17" s="343" t="s">
        <v>590</v>
      </c>
      <c r="C17" s="343" t="s">
        <v>590</v>
      </c>
      <c r="D17" s="343" t="s">
        <v>590</v>
      </c>
      <c r="E17" s="343" t="s">
        <v>590</v>
      </c>
      <c r="F17" s="344">
        <f>SUBTOTAL(109,mvnongeneralfund[Original
Appropriation
Amount])</f>
        <v>7491000</v>
      </c>
      <c r="G17" s="344">
        <f>SUBTOTAL(109,mvnongeneralfund[Appropriation Balances1])</f>
        <v>2264783</v>
      </c>
      <c r="H17" s="343" t="s">
        <v>590</v>
      </c>
      <c r="I17" s="345">
        <f>SUBTOTAL(109,mvnongeneralfund[Budget
Adjustments])</f>
        <v>0</v>
      </c>
      <c r="J17" s="345">
        <f>SUBTOTAL(109,mvnongeneralfund[Add: Receipts
and Recovered Amounts])</f>
        <v>5105</v>
      </c>
      <c r="K17" s="345">
        <f>SUBTOTAL(109,mvnongeneralfund[Less: Mandated Program Payments, Offsets,
and Interest
(see Schedule A1)])</f>
        <v>1926048</v>
      </c>
      <c r="L17" s="345">
        <f>SUBTOTAL(109,mvnongeneralfund[Less: Appropriations for Reversion])</f>
        <v>288437</v>
      </c>
      <c r="M17" s="324">
        <f>SUBTOTAL(109,mvnongeneralfund[Appropriation Balances
as of 8/31/2024])</f>
        <v>55403</v>
      </c>
    </row>
    <row r="18" spans="1:13" ht="15.75" customHeight="1" x14ac:dyDescent="0.25">
      <c r="A18" s="109" t="s">
        <v>481</v>
      </c>
      <c r="B18" s="77"/>
      <c r="C18" s="77"/>
      <c r="D18" s="77"/>
      <c r="E18" s="77"/>
      <c r="F18" s="91"/>
      <c r="G18" s="91"/>
      <c r="H18" s="271"/>
      <c r="I18" s="91"/>
      <c r="J18" s="91"/>
      <c r="K18" s="91"/>
      <c r="L18" s="99"/>
      <c r="M18" s="53"/>
    </row>
    <row r="19" spans="1:13" ht="65.099999999999994" customHeight="1" x14ac:dyDescent="0.25">
      <c r="A19" s="112" t="s">
        <v>468</v>
      </c>
      <c r="B19" s="113" t="s">
        <v>458</v>
      </c>
      <c r="C19" s="113" t="s">
        <v>0</v>
      </c>
      <c r="D19" s="113" t="s">
        <v>457</v>
      </c>
      <c r="E19" s="113" t="s">
        <v>456</v>
      </c>
      <c r="F19" s="114" t="s">
        <v>455</v>
      </c>
      <c r="G19" s="120" t="s">
        <v>558</v>
      </c>
      <c r="H19" s="272" t="s">
        <v>564</v>
      </c>
      <c r="I19" s="116" t="s">
        <v>454</v>
      </c>
      <c r="J19" s="117" t="s">
        <v>453</v>
      </c>
      <c r="K19" s="117" t="s">
        <v>452</v>
      </c>
      <c r="L19" s="118" t="s">
        <v>451</v>
      </c>
      <c r="M19" s="119" t="s">
        <v>450</v>
      </c>
    </row>
    <row r="20" spans="1:13" ht="15" x14ac:dyDescent="0.2">
      <c r="A20" s="30" t="s">
        <v>472</v>
      </c>
      <c r="B20" s="58" t="s">
        <v>398</v>
      </c>
      <c r="C20" s="58" t="s">
        <v>431</v>
      </c>
      <c r="D20" s="62" t="s">
        <v>439</v>
      </c>
      <c r="E20" s="59">
        <v>46568</v>
      </c>
      <c r="F20" s="239">
        <v>102000</v>
      </c>
      <c r="G20" s="248">
        <v>102000</v>
      </c>
      <c r="H20" s="273" t="s">
        <v>480</v>
      </c>
      <c r="I20" s="83">
        <v>0</v>
      </c>
      <c r="J20" s="83">
        <v>0</v>
      </c>
      <c r="K20" s="239">
        <v>72344</v>
      </c>
      <c r="L20" s="83">
        <v>0</v>
      </c>
      <c r="M20" s="243">
        <f>G20+I20+J20-K20-L20</f>
        <v>29656</v>
      </c>
    </row>
    <row r="21" spans="1:13" s="15" customFormat="1" ht="15" x14ac:dyDescent="0.2">
      <c r="A21" s="30" t="s">
        <v>472</v>
      </c>
      <c r="B21" s="58" t="s">
        <v>438</v>
      </c>
      <c r="C21" s="58" t="s">
        <v>429</v>
      </c>
      <c r="D21" s="104" t="s">
        <v>480</v>
      </c>
      <c r="E21" s="59">
        <v>46203</v>
      </c>
      <c r="F21" s="239">
        <v>99000</v>
      </c>
      <c r="G21" s="83">
        <v>0</v>
      </c>
      <c r="H21" s="274" t="s">
        <v>480</v>
      </c>
      <c r="I21" s="83">
        <v>0</v>
      </c>
      <c r="J21" s="83">
        <v>0</v>
      </c>
      <c r="K21" s="83">
        <v>0</v>
      </c>
      <c r="L21" s="83">
        <v>0</v>
      </c>
      <c r="M21" s="110">
        <f>G21+I21+J21-K21-L21</f>
        <v>0</v>
      </c>
    </row>
    <row r="22" spans="1:13" s="53" customFormat="1" ht="15" customHeight="1" x14ac:dyDescent="0.25">
      <c r="A22" s="30" t="s">
        <v>472</v>
      </c>
      <c r="B22" s="58" t="s">
        <v>437</v>
      </c>
      <c r="C22" s="58" t="s">
        <v>427</v>
      </c>
      <c r="D22" s="104" t="s">
        <v>480</v>
      </c>
      <c r="E22" s="59">
        <v>45838</v>
      </c>
      <c r="F22" s="239">
        <v>49000</v>
      </c>
      <c r="G22" s="83">
        <v>0</v>
      </c>
      <c r="H22" s="274" t="s">
        <v>480</v>
      </c>
      <c r="I22" s="83">
        <v>0</v>
      </c>
      <c r="J22" s="83">
        <v>0</v>
      </c>
      <c r="K22" s="83">
        <v>0</v>
      </c>
      <c r="L22" s="83">
        <v>0</v>
      </c>
      <c r="M22" s="110">
        <f>G22+I22+J22-K22-L22</f>
        <v>0</v>
      </c>
    </row>
    <row r="23" spans="1:13" s="53" customFormat="1" ht="30.75" customHeight="1" x14ac:dyDescent="0.25">
      <c r="A23" s="30" t="s">
        <v>472</v>
      </c>
      <c r="B23" s="100" t="s">
        <v>436</v>
      </c>
      <c r="C23" s="341" t="s">
        <v>593</v>
      </c>
      <c r="D23" s="105" t="s">
        <v>480</v>
      </c>
      <c r="E23" s="101">
        <v>45473</v>
      </c>
      <c r="F23" s="240">
        <v>47000</v>
      </c>
      <c r="G23" s="97">
        <v>0</v>
      </c>
      <c r="H23" s="275" t="s">
        <v>480</v>
      </c>
      <c r="I23" s="97">
        <v>0</v>
      </c>
      <c r="J23" s="97">
        <v>0</v>
      </c>
      <c r="K23" s="97">
        <v>0</v>
      </c>
      <c r="L23" s="97">
        <v>0</v>
      </c>
      <c r="M23" s="111">
        <f>G23+I23+J23-K23-L23</f>
        <v>0</v>
      </c>
    </row>
    <row r="24" spans="1:13" ht="15" customHeight="1" x14ac:dyDescent="0.25">
      <c r="A24" s="338" t="s">
        <v>473</v>
      </c>
      <c r="B24" s="330" t="s">
        <v>590</v>
      </c>
      <c r="C24" s="330" t="s">
        <v>590</v>
      </c>
      <c r="D24" s="330" t="s">
        <v>590</v>
      </c>
      <c r="E24" s="330" t="s">
        <v>590</v>
      </c>
      <c r="F24" s="331">
        <f>SUBTOTAL(109,pestnongeneralfund[Original
Appropriation
Amount])</f>
        <v>297000</v>
      </c>
      <c r="G24" s="331">
        <f>SUBTOTAL(109,pestnongeneralfund[Appropriation Balances1])</f>
        <v>102000</v>
      </c>
      <c r="H24" s="330" t="s">
        <v>590</v>
      </c>
      <c r="I24" s="332">
        <f>SUBTOTAL(109,pestnongeneralfund[Budget
Adjustments])</f>
        <v>0</v>
      </c>
      <c r="J24" s="332">
        <f>SUBTOTAL(109,pestnongeneralfund[Add: Receipts
and Recovered Amounts])</f>
        <v>0</v>
      </c>
      <c r="K24" s="331">
        <f>SUBTOTAL(109,pestnongeneralfund[Less: Mandated Program Payments, Offsets,
and Interest
(see Schedule A1)])</f>
        <v>72344</v>
      </c>
      <c r="L24" s="332">
        <f>SUBTOTAL(109,pestnongeneralfund[Less: Appropriations for Reversion])</f>
        <v>0</v>
      </c>
      <c r="M24" s="328">
        <f>SUBTOTAL(109,pestnongeneralfund[Appropriation Balances
as of 8/31/2024])</f>
        <v>29656</v>
      </c>
    </row>
    <row r="25" spans="1:13" ht="15" customHeight="1" x14ac:dyDescent="0.25">
      <c r="A25" s="333" t="s">
        <v>481</v>
      </c>
      <c r="B25" s="334"/>
      <c r="C25" s="334"/>
      <c r="D25" s="334"/>
      <c r="E25" s="334"/>
      <c r="F25" s="335"/>
      <c r="G25" s="335"/>
      <c r="H25" s="336"/>
      <c r="I25" s="335"/>
      <c r="J25" s="335"/>
      <c r="K25" s="335"/>
      <c r="L25" s="335"/>
      <c r="M25" s="337"/>
    </row>
    <row r="26" spans="1:13" s="15" customFormat="1" ht="65.099999999999994" customHeight="1" x14ac:dyDescent="0.25">
      <c r="A26" s="112" t="s">
        <v>468</v>
      </c>
      <c r="B26" s="113" t="s">
        <v>458</v>
      </c>
      <c r="C26" s="113" t="s">
        <v>0</v>
      </c>
      <c r="D26" s="113" t="s">
        <v>457</v>
      </c>
      <c r="E26" s="113" t="s">
        <v>456</v>
      </c>
      <c r="F26" s="114" t="s">
        <v>455</v>
      </c>
      <c r="G26" s="123" t="s">
        <v>558</v>
      </c>
      <c r="H26" s="272" t="s">
        <v>564</v>
      </c>
      <c r="I26" s="116" t="s">
        <v>454</v>
      </c>
      <c r="J26" s="117" t="s">
        <v>453</v>
      </c>
      <c r="K26" s="117" t="s">
        <v>452</v>
      </c>
      <c r="L26" s="118" t="s">
        <v>451</v>
      </c>
      <c r="M26" s="119" t="s">
        <v>450</v>
      </c>
    </row>
    <row r="27" spans="1:13" s="15" customFormat="1" ht="15" customHeight="1" x14ac:dyDescent="0.2">
      <c r="A27" s="30" t="s">
        <v>474</v>
      </c>
      <c r="B27" s="56" t="s">
        <v>389</v>
      </c>
      <c r="C27" s="55" t="s">
        <v>431</v>
      </c>
      <c r="D27" s="61" t="s">
        <v>371</v>
      </c>
      <c r="E27" s="60">
        <v>46568</v>
      </c>
      <c r="F27" s="239">
        <v>49000</v>
      </c>
      <c r="G27" s="248">
        <v>49000</v>
      </c>
      <c r="H27" s="273" t="s">
        <v>480</v>
      </c>
      <c r="I27" s="83">
        <v>0</v>
      </c>
      <c r="J27" s="83">
        <v>0</v>
      </c>
      <c r="K27" s="239">
        <v>21000</v>
      </c>
      <c r="L27" s="83">
        <v>0</v>
      </c>
      <c r="M27" s="243">
        <f>G27+I27+J27-K27-L27</f>
        <v>28000</v>
      </c>
    </row>
    <row r="28" spans="1:13" s="53" customFormat="1" ht="17.25" customHeight="1" x14ac:dyDescent="0.25">
      <c r="A28" s="30" t="s">
        <v>474</v>
      </c>
      <c r="B28" s="56" t="s">
        <v>435</v>
      </c>
      <c r="C28" s="55" t="s">
        <v>429</v>
      </c>
      <c r="D28" s="104" t="s">
        <v>480</v>
      </c>
      <c r="E28" s="59">
        <v>46203</v>
      </c>
      <c r="F28" s="239">
        <v>49000</v>
      </c>
      <c r="G28" s="239">
        <v>25000</v>
      </c>
      <c r="H28" s="268" t="s">
        <v>480</v>
      </c>
      <c r="I28" s="83">
        <v>0</v>
      </c>
      <c r="J28" s="83">
        <v>0</v>
      </c>
      <c r="K28" s="83">
        <v>0</v>
      </c>
      <c r="L28" s="83">
        <v>0</v>
      </c>
      <c r="M28" s="243">
        <f>G28+I28+J28-K28-L28</f>
        <v>25000</v>
      </c>
    </row>
    <row r="29" spans="1:13" ht="15" customHeight="1" x14ac:dyDescent="0.2">
      <c r="A29" s="30" t="s">
        <v>474</v>
      </c>
      <c r="B29" s="56" t="s">
        <v>434</v>
      </c>
      <c r="C29" s="55" t="s">
        <v>427</v>
      </c>
      <c r="D29" s="104" t="s">
        <v>480</v>
      </c>
      <c r="E29" s="54">
        <v>45838</v>
      </c>
      <c r="F29" s="239">
        <v>49000</v>
      </c>
      <c r="G29" s="239">
        <v>26000</v>
      </c>
      <c r="H29" s="268" t="s">
        <v>480</v>
      </c>
      <c r="I29" s="83">
        <v>0</v>
      </c>
      <c r="J29" s="83">
        <v>0</v>
      </c>
      <c r="K29" s="83">
        <v>0</v>
      </c>
      <c r="L29" s="83">
        <v>0</v>
      </c>
      <c r="M29" s="243">
        <f>G29+I29+J29-K29-L29</f>
        <v>26000</v>
      </c>
    </row>
    <row r="30" spans="1:13" ht="30.75" customHeight="1" x14ac:dyDescent="0.2">
      <c r="A30" s="30" t="s">
        <v>474</v>
      </c>
      <c r="B30" s="102" t="s">
        <v>433</v>
      </c>
      <c r="C30" s="339" t="s">
        <v>593</v>
      </c>
      <c r="D30" s="105" t="s">
        <v>480</v>
      </c>
      <c r="E30" s="96">
        <v>45473</v>
      </c>
      <c r="F30" s="240">
        <v>49000</v>
      </c>
      <c r="G30" s="240">
        <v>23000</v>
      </c>
      <c r="H30" s="270" t="s">
        <v>480</v>
      </c>
      <c r="I30" s="97">
        <v>0</v>
      </c>
      <c r="J30" s="97">
        <v>0</v>
      </c>
      <c r="K30" s="97">
        <v>0</v>
      </c>
      <c r="L30" s="240">
        <v>23000</v>
      </c>
      <c r="M30" s="111">
        <f>G30+I30+J30-K30-L30</f>
        <v>0</v>
      </c>
    </row>
    <row r="31" spans="1:13" ht="14.25" customHeight="1" x14ac:dyDescent="0.25">
      <c r="A31" s="338" t="s">
        <v>475</v>
      </c>
      <c r="B31" s="330" t="s">
        <v>590</v>
      </c>
      <c r="C31" s="330" t="s">
        <v>590</v>
      </c>
      <c r="D31" s="330" t="s">
        <v>590</v>
      </c>
      <c r="E31" s="330" t="s">
        <v>590</v>
      </c>
      <c r="F31" s="331">
        <f>SUBTOTAL(109,sdgeneralfund[Original
Appropriation
Amount])</f>
        <v>196000</v>
      </c>
      <c r="G31" s="331">
        <f>SUBTOTAL(109,sdgeneralfund[Appropriation Balances1])</f>
        <v>123000</v>
      </c>
      <c r="H31" s="330" t="s">
        <v>590</v>
      </c>
      <c r="I31" s="332">
        <f>SUBTOTAL(109,sdgeneralfund[Budget
Adjustments])</f>
        <v>0</v>
      </c>
      <c r="J31" s="332">
        <f>SUBTOTAL(109,sdgeneralfund[Add: Receipts
and Recovered Amounts])</f>
        <v>0</v>
      </c>
      <c r="K31" s="331">
        <f>SUBTOTAL(109,sdgeneralfund[Less: Mandated Program Payments, Offsets,
and Interest
(see Schedule A1)])</f>
        <v>21000</v>
      </c>
      <c r="L31" s="331">
        <f>SUBTOTAL(109,sdgeneralfund[Less: Appropriations for Reversion])</f>
        <v>23000</v>
      </c>
      <c r="M31" s="328">
        <f>SUBTOTAL(109,sdgeneralfund[Appropriation Balances
as of 8/31/2024])</f>
        <v>79000</v>
      </c>
    </row>
    <row r="32" spans="1:13" ht="14.25" customHeight="1" x14ac:dyDescent="0.25">
      <c r="A32" s="109" t="s">
        <v>481</v>
      </c>
      <c r="B32" s="103"/>
      <c r="C32" s="103"/>
      <c r="D32" s="103"/>
      <c r="E32" s="103"/>
      <c r="F32" s="103"/>
      <c r="G32" s="103"/>
      <c r="H32" s="276"/>
      <c r="I32" s="103"/>
      <c r="J32" s="103"/>
      <c r="K32" s="103"/>
      <c r="L32" s="103"/>
    </row>
    <row r="33" spans="1:13" s="15" customFormat="1" ht="65.099999999999994" customHeight="1" x14ac:dyDescent="0.25">
      <c r="A33" s="112" t="s">
        <v>468</v>
      </c>
      <c r="B33" s="113" t="s">
        <v>458</v>
      </c>
      <c r="C33" s="113" t="s">
        <v>0</v>
      </c>
      <c r="D33" s="113" t="s">
        <v>457</v>
      </c>
      <c r="E33" s="113" t="s">
        <v>456</v>
      </c>
      <c r="F33" s="114" t="s">
        <v>455</v>
      </c>
      <c r="G33" s="120" t="s">
        <v>558</v>
      </c>
      <c r="H33" s="272" t="s">
        <v>564</v>
      </c>
      <c r="I33" s="116" t="s">
        <v>454</v>
      </c>
      <c r="J33" s="117" t="s">
        <v>453</v>
      </c>
      <c r="K33" s="117" t="s">
        <v>452</v>
      </c>
      <c r="L33" s="118" t="s">
        <v>451</v>
      </c>
      <c r="M33" s="119" t="s">
        <v>450</v>
      </c>
    </row>
    <row r="34" spans="1:13" s="53" customFormat="1" ht="15.75" x14ac:dyDescent="0.25">
      <c r="A34" s="30" t="s">
        <v>476</v>
      </c>
      <c r="B34" s="56" t="s">
        <v>432</v>
      </c>
      <c r="C34" s="55" t="s">
        <v>431</v>
      </c>
      <c r="D34" s="104" t="s">
        <v>480</v>
      </c>
      <c r="E34" s="54">
        <v>46568</v>
      </c>
      <c r="F34" s="239">
        <v>13000</v>
      </c>
      <c r="G34" s="248">
        <v>13000</v>
      </c>
      <c r="H34" s="273" t="s">
        <v>480</v>
      </c>
      <c r="I34" s="83">
        <v>0</v>
      </c>
      <c r="J34" s="83">
        <v>0</v>
      </c>
      <c r="K34" s="83">
        <v>0</v>
      </c>
      <c r="L34" s="83">
        <v>0</v>
      </c>
      <c r="M34" s="243">
        <f>G34+I34+J34-K34-L34</f>
        <v>13000</v>
      </c>
    </row>
    <row r="35" spans="1:13" s="53" customFormat="1" ht="15.75" x14ac:dyDescent="0.25">
      <c r="A35" s="30" t="s">
        <v>476</v>
      </c>
      <c r="B35" s="56" t="s">
        <v>430</v>
      </c>
      <c r="C35" s="55" t="s">
        <v>429</v>
      </c>
      <c r="D35" s="104" t="s">
        <v>480</v>
      </c>
      <c r="E35" s="54">
        <v>46203</v>
      </c>
      <c r="F35" s="239">
        <v>13000</v>
      </c>
      <c r="G35" s="239">
        <v>13000</v>
      </c>
      <c r="H35" s="268" t="s">
        <v>480</v>
      </c>
      <c r="I35" s="83">
        <v>0</v>
      </c>
      <c r="J35" s="83">
        <v>0</v>
      </c>
      <c r="K35" s="83">
        <v>0</v>
      </c>
      <c r="L35" s="83">
        <v>0</v>
      </c>
      <c r="M35" s="243">
        <f>G35+I35+J35-K35-L35</f>
        <v>13000</v>
      </c>
    </row>
    <row r="36" spans="1:13" s="53" customFormat="1" ht="15.75" customHeight="1" x14ac:dyDescent="0.25">
      <c r="A36" s="30" t="s">
        <v>476</v>
      </c>
      <c r="B36" s="56" t="s">
        <v>428</v>
      </c>
      <c r="C36" s="55" t="s">
        <v>427</v>
      </c>
      <c r="D36" s="104" t="s">
        <v>480</v>
      </c>
      <c r="E36" s="57">
        <v>45838</v>
      </c>
      <c r="F36" s="239">
        <v>13000</v>
      </c>
      <c r="G36" s="239">
        <v>13000</v>
      </c>
      <c r="H36" s="268" t="s">
        <v>480</v>
      </c>
      <c r="I36" s="83">
        <v>0</v>
      </c>
      <c r="J36" s="83">
        <v>0</v>
      </c>
      <c r="K36" s="83">
        <v>0</v>
      </c>
      <c r="L36" s="83">
        <v>0</v>
      </c>
      <c r="M36" s="243">
        <f>G36+I36+J36-K36-L36</f>
        <v>13000</v>
      </c>
    </row>
    <row r="37" spans="1:13" s="52" customFormat="1" ht="30.75" customHeight="1" x14ac:dyDescent="0.25">
      <c r="A37" s="30" t="s">
        <v>476</v>
      </c>
      <c r="B37" s="342" t="s">
        <v>426</v>
      </c>
      <c r="C37" s="339" t="s">
        <v>593</v>
      </c>
      <c r="D37" s="105" t="s">
        <v>480</v>
      </c>
      <c r="E37" s="96">
        <v>45473</v>
      </c>
      <c r="F37" s="240">
        <v>13000</v>
      </c>
      <c r="G37" s="240">
        <v>13000</v>
      </c>
      <c r="H37" s="270" t="s">
        <v>480</v>
      </c>
      <c r="I37" s="97">
        <v>0</v>
      </c>
      <c r="J37" s="97">
        <v>0</v>
      </c>
      <c r="K37" s="97">
        <v>0</v>
      </c>
      <c r="L37" s="240">
        <v>13000</v>
      </c>
      <c r="M37" s="111">
        <f>G37+I37+J37-K37-L37</f>
        <v>0</v>
      </c>
    </row>
    <row r="38" spans="1:13" s="52" customFormat="1" ht="15.75" x14ac:dyDescent="0.25">
      <c r="A38" s="338" t="s">
        <v>477</v>
      </c>
      <c r="B38" s="330" t="s">
        <v>590</v>
      </c>
      <c r="C38" s="330" t="s">
        <v>590</v>
      </c>
      <c r="D38" s="330" t="s">
        <v>590</v>
      </c>
      <c r="E38" s="330" t="s">
        <v>590</v>
      </c>
      <c r="F38" s="331">
        <f>SUBTOTAL(109,ccdgeneralfund[Original
Appropriation
Amount])</f>
        <v>52000</v>
      </c>
      <c r="G38" s="331">
        <f>SUBTOTAL(109,ccdgeneralfund[Appropriation Balances1])</f>
        <v>52000</v>
      </c>
      <c r="H38" s="330" t="s">
        <v>590</v>
      </c>
      <c r="I38" s="332">
        <f>SUBTOTAL(109,ccdgeneralfund[Budget
Adjustments])</f>
        <v>0</v>
      </c>
      <c r="J38" s="332">
        <f>SUBTOTAL(109,ccdgeneralfund[Add: Receipts
and Recovered Amounts])</f>
        <v>0</v>
      </c>
      <c r="K38" s="332">
        <f>SUBTOTAL(109,ccdgeneralfund[Less: Mandated Program Payments, Offsets,
and Interest
(see Schedule A1)])</f>
        <v>0</v>
      </c>
      <c r="L38" s="331">
        <f>SUBTOTAL(109,ccdgeneralfund[Less: Appropriations for Reversion])</f>
        <v>13000</v>
      </c>
      <c r="M38" s="328">
        <f>SUBTOTAL(109,ccdgeneralfund[Appropriation Balances
as of 8/31/2024])</f>
        <v>39000</v>
      </c>
    </row>
    <row r="39" spans="1:13" s="52" customFormat="1" ht="15.75" x14ac:dyDescent="0.25">
      <c r="A39" s="109" t="s">
        <v>481</v>
      </c>
      <c r="B39" s="40"/>
      <c r="C39" s="40"/>
      <c r="D39" s="40"/>
      <c r="E39" s="40"/>
      <c r="F39" s="40"/>
      <c r="G39" s="40"/>
      <c r="H39" s="277"/>
      <c r="I39" s="40"/>
      <c r="J39" s="40"/>
      <c r="K39" s="40"/>
      <c r="L39" s="40"/>
      <c r="M39" s="53"/>
    </row>
    <row r="40" spans="1:13" s="52" customFormat="1" ht="65.099999999999994" customHeight="1" x14ac:dyDescent="0.25">
      <c r="A40" s="112" t="s">
        <v>468</v>
      </c>
      <c r="B40" s="113" t="s">
        <v>458</v>
      </c>
      <c r="C40" s="113" t="s">
        <v>0</v>
      </c>
      <c r="D40" s="113" t="s">
        <v>457</v>
      </c>
      <c r="E40" s="113" t="s">
        <v>456</v>
      </c>
      <c r="F40" s="114" t="s">
        <v>455</v>
      </c>
      <c r="G40" s="120" t="s">
        <v>558</v>
      </c>
      <c r="H40" s="272" t="s">
        <v>564</v>
      </c>
      <c r="I40" s="116" t="s">
        <v>454</v>
      </c>
      <c r="J40" s="117" t="s">
        <v>453</v>
      </c>
      <c r="K40" s="117" t="s">
        <v>452</v>
      </c>
      <c r="L40" s="118" t="s">
        <v>451</v>
      </c>
      <c r="M40" s="114" t="s">
        <v>450</v>
      </c>
    </row>
    <row r="41" spans="1:13" ht="16.5" customHeight="1" x14ac:dyDescent="0.2">
      <c r="A41" s="93" t="s">
        <v>469</v>
      </c>
      <c r="B41" s="104" t="s">
        <v>480</v>
      </c>
      <c r="C41" s="104" t="s">
        <v>480</v>
      </c>
      <c r="D41" s="104" t="s">
        <v>480</v>
      </c>
      <c r="E41" s="104" t="s">
        <v>480</v>
      </c>
      <c r="F41" s="241">
        <v>442862000</v>
      </c>
      <c r="G41" s="249">
        <v>167762305</v>
      </c>
      <c r="H41" s="278" t="s">
        <v>480</v>
      </c>
      <c r="I41" s="106">
        <v>0</v>
      </c>
      <c r="J41" s="241">
        <v>17110230</v>
      </c>
      <c r="K41" s="241">
        <v>94881098</v>
      </c>
      <c r="L41" s="241">
        <v>1210726</v>
      </c>
      <c r="M41" s="246">
        <v>88780711</v>
      </c>
    </row>
    <row r="42" spans="1:13" ht="16.5" customHeight="1" x14ac:dyDescent="0.2">
      <c r="A42" s="30" t="s">
        <v>470</v>
      </c>
      <c r="B42" s="104" t="s">
        <v>480</v>
      </c>
      <c r="C42" s="104" t="s">
        <v>480</v>
      </c>
      <c r="D42" s="104" t="s">
        <v>480</v>
      </c>
      <c r="E42" s="104" t="s">
        <v>480</v>
      </c>
      <c r="F42" s="242">
        <v>7491000</v>
      </c>
      <c r="G42" s="242">
        <v>2264783</v>
      </c>
      <c r="H42" s="279" t="s">
        <v>480</v>
      </c>
      <c r="I42" s="107">
        <v>0</v>
      </c>
      <c r="J42" s="242">
        <v>5105</v>
      </c>
      <c r="K42" s="242">
        <v>1926048</v>
      </c>
      <c r="L42" s="242">
        <v>288437</v>
      </c>
      <c r="M42" s="246">
        <v>55403</v>
      </c>
    </row>
    <row r="43" spans="1:13" ht="15" x14ac:dyDescent="0.2">
      <c r="A43" s="30" t="s">
        <v>472</v>
      </c>
      <c r="B43" s="104" t="s">
        <v>480</v>
      </c>
      <c r="C43" s="104" t="s">
        <v>480</v>
      </c>
      <c r="D43" s="104" t="s">
        <v>480</v>
      </c>
      <c r="E43" s="104" t="s">
        <v>480</v>
      </c>
      <c r="F43" s="242">
        <v>297000</v>
      </c>
      <c r="G43" s="242">
        <v>102000</v>
      </c>
      <c r="H43" s="279" t="s">
        <v>480</v>
      </c>
      <c r="I43" s="107">
        <v>0</v>
      </c>
      <c r="J43" s="107">
        <v>0</v>
      </c>
      <c r="K43" s="242">
        <v>72344</v>
      </c>
      <c r="L43" s="107">
        <v>0</v>
      </c>
      <c r="M43" s="246">
        <v>29656</v>
      </c>
    </row>
    <row r="44" spans="1:13" ht="15" x14ac:dyDescent="0.2">
      <c r="A44" s="30" t="s">
        <v>474</v>
      </c>
      <c r="B44" s="104" t="s">
        <v>480</v>
      </c>
      <c r="C44" s="104" t="s">
        <v>480</v>
      </c>
      <c r="D44" s="104" t="s">
        <v>480</v>
      </c>
      <c r="E44" s="104" t="s">
        <v>480</v>
      </c>
      <c r="F44" s="242">
        <v>196000</v>
      </c>
      <c r="G44" s="242">
        <v>123000</v>
      </c>
      <c r="H44" s="279" t="s">
        <v>480</v>
      </c>
      <c r="I44" s="107">
        <v>0</v>
      </c>
      <c r="J44" s="107">
        <v>0</v>
      </c>
      <c r="K44" s="242">
        <v>21000</v>
      </c>
      <c r="L44" s="242">
        <v>23000</v>
      </c>
      <c r="M44" s="246">
        <v>79000</v>
      </c>
    </row>
    <row r="45" spans="1:13" ht="15" x14ac:dyDescent="0.2">
      <c r="A45" s="30" t="s">
        <v>476</v>
      </c>
      <c r="B45" s="105" t="s">
        <v>480</v>
      </c>
      <c r="C45" s="105" t="s">
        <v>480</v>
      </c>
      <c r="D45" s="105" t="s">
        <v>480</v>
      </c>
      <c r="E45" s="105" t="s">
        <v>480</v>
      </c>
      <c r="F45" s="242">
        <v>52000</v>
      </c>
      <c r="G45" s="242">
        <v>52000</v>
      </c>
      <c r="H45" s="279" t="s">
        <v>480</v>
      </c>
      <c r="I45" s="107">
        <v>0</v>
      </c>
      <c r="J45" s="107">
        <v>0</v>
      </c>
      <c r="K45" s="107">
        <v>0</v>
      </c>
      <c r="L45" s="242">
        <v>13000</v>
      </c>
      <c r="M45" s="247">
        <v>39000</v>
      </c>
    </row>
    <row r="46" spans="1:13" ht="15.75" x14ac:dyDescent="0.25">
      <c r="A46" s="108" t="s">
        <v>479</v>
      </c>
      <c r="B46" s="323" t="s">
        <v>480</v>
      </c>
      <c r="C46" s="323" t="s">
        <v>480</v>
      </c>
      <c r="D46" s="323" t="s">
        <v>480</v>
      </c>
      <c r="E46" s="323" t="s">
        <v>480</v>
      </c>
      <c r="F46" s="325">
        <f>SUBTOTAL(109,grandtotala[Original
Appropriation
Amount])</f>
        <v>450898000</v>
      </c>
      <c r="G46" s="325">
        <f>SUBTOTAL(109,grandtotala[Appropriation Balances1])</f>
        <v>170304088</v>
      </c>
      <c r="H46" s="326" t="s">
        <v>480</v>
      </c>
      <c r="I46" s="327">
        <f>SUBTOTAL(109,grandtotala[Budget
Adjustments])</f>
        <v>0</v>
      </c>
      <c r="J46" s="327">
        <f>SUBTOTAL(109,grandtotala[Add: Receipts
and Recovered Amounts])</f>
        <v>17115335</v>
      </c>
      <c r="K46" s="325">
        <f>SUBTOTAL(109,grandtotala[Less: Mandated Program Payments, Offsets,
and Interest
(see Schedule A1)])</f>
        <v>96900490</v>
      </c>
      <c r="L46" s="325">
        <f>SUBTOTAL(109,grandtotala[Less: Appropriations for Reversion])</f>
        <v>1535163</v>
      </c>
      <c r="M46" s="328">
        <f>SUBTOTAL(109,grandtotala[Appropriation Balances
as of 8/31/2024])</f>
        <v>88983770</v>
      </c>
    </row>
    <row r="47" spans="1:13" ht="15.75" customHeight="1" x14ac:dyDescent="0.2">
      <c r="A47" s="155" t="s">
        <v>565</v>
      </c>
      <c r="B47" s="72" t="s">
        <v>478</v>
      </c>
      <c r="C47" s="72"/>
      <c r="D47" s="72"/>
      <c r="E47" s="72"/>
      <c r="F47" s="72"/>
      <c r="G47" s="72"/>
      <c r="H47" s="280"/>
      <c r="I47" s="72"/>
      <c r="J47" s="72"/>
      <c r="K47" s="72"/>
      <c r="L47" s="72"/>
    </row>
    <row r="48" spans="1:13" ht="18" x14ac:dyDescent="0.2">
      <c r="A48" s="155" t="s">
        <v>566</v>
      </c>
    </row>
  </sheetData>
  <hyperlinks>
    <hyperlink ref="G2" location="'Schedule A-Summary '!A47" display="Appropriation Balances1"/>
  </hyperlinks>
  <printOptions horizontalCentered="1" gridLines="1"/>
  <pageMargins left="0.25" right="0.25" top="1" bottom="0.75" header="0.3" footer="0.3"/>
  <pageSetup scale="45" fitToHeight="0" orientation="landscape" useFirstPageNumber="1" r:id="rId1"/>
  <headerFooter>
    <oddFooter>&amp;L&amp;"Arial,Regular"&amp;12Schedule A: Summary of State-Mandated Program Appropriations, Receipts, and Payments&amp;R&amp;"Arial,Regular"&amp;12Page &amp;P of &amp;N</oddFooter>
  </headerFooter>
  <rowBreaks count="1" manualBreakCount="1">
    <brk id="39" max="12" man="1"/>
  </rowBreaks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5"/>
  <sheetViews>
    <sheetView topLeftCell="A76" zoomScale="85" zoomScaleNormal="85" zoomScaleSheetLayoutView="100" zoomScalePageLayoutView="85" workbookViewId="0">
      <selection activeCell="A98" sqref="A98"/>
    </sheetView>
  </sheetViews>
  <sheetFormatPr defaultRowHeight="14.25" x14ac:dyDescent="0.2"/>
  <cols>
    <col min="1" max="1" width="35.5703125" style="40" customWidth="1"/>
    <col min="2" max="2" width="13.42578125" style="41" customWidth="1"/>
    <col min="3" max="3" width="29.140625" style="41" customWidth="1"/>
    <col min="4" max="4" width="75.7109375" style="40" customWidth="1"/>
    <col min="5" max="5" width="16" style="44" customWidth="1"/>
    <col min="6" max="6" width="13.85546875" style="41" customWidth="1"/>
    <col min="7" max="7" width="38.140625" style="43" customWidth="1"/>
    <col min="8" max="8" width="16.5703125" style="42" customWidth="1"/>
    <col min="9" max="9" width="21" style="42" customWidth="1"/>
    <col min="10" max="10" width="10.140625" style="40" bestFit="1" customWidth="1"/>
    <col min="11" max="11" width="15.7109375" style="40" bestFit="1" customWidth="1"/>
    <col min="12" max="12" width="9.85546875" style="40" bestFit="1" customWidth="1"/>
    <col min="13" max="16384" width="9.140625" style="40"/>
  </cols>
  <sheetData>
    <row r="1" spans="1:9" s="155" customFormat="1" ht="54" x14ac:dyDescent="0.25">
      <c r="A1" s="165" t="s">
        <v>499</v>
      </c>
      <c r="B1" s="166"/>
      <c r="C1" s="166"/>
      <c r="D1" s="167"/>
      <c r="E1" s="167"/>
      <c r="F1" s="167"/>
      <c r="G1" s="168"/>
      <c r="H1" s="167"/>
      <c r="I1" s="169"/>
    </row>
    <row r="2" spans="1:9" s="50" customFormat="1" ht="47.25" x14ac:dyDescent="0.25">
      <c r="A2" s="120" t="s">
        <v>484</v>
      </c>
      <c r="B2" s="92" t="s">
        <v>9</v>
      </c>
      <c r="C2" s="120" t="s">
        <v>485</v>
      </c>
      <c r="D2" s="92" t="s">
        <v>10</v>
      </c>
      <c r="E2" s="92" t="s">
        <v>0</v>
      </c>
      <c r="F2" s="92" t="s">
        <v>393</v>
      </c>
      <c r="G2" s="135" t="s">
        <v>425</v>
      </c>
      <c r="H2" s="135" t="s">
        <v>391</v>
      </c>
      <c r="I2" s="135" t="s">
        <v>390</v>
      </c>
    </row>
    <row r="3" spans="1:9" ht="15" x14ac:dyDescent="0.2">
      <c r="A3" s="25" t="s">
        <v>486</v>
      </c>
      <c r="B3" s="121" t="s">
        <v>371</v>
      </c>
      <c r="C3" s="8" t="s">
        <v>424</v>
      </c>
      <c r="D3" s="25" t="s">
        <v>411</v>
      </c>
      <c r="E3" s="14" t="s">
        <v>410</v>
      </c>
      <c r="F3" s="8">
        <v>152</v>
      </c>
      <c r="G3" s="250">
        <v>666820</v>
      </c>
      <c r="H3" s="88">
        <v>0</v>
      </c>
      <c r="I3" s="251">
        <v>666820</v>
      </c>
    </row>
    <row r="4" spans="1:9" ht="15" x14ac:dyDescent="0.2">
      <c r="A4" s="25" t="s">
        <v>486</v>
      </c>
      <c r="B4" s="8" t="s">
        <v>371</v>
      </c>
      <c r="C4" s="8" t="s">
        <v>424</v>
      </c>
      <c r="D4" s="25" t="s">
        <v>35</v>
      </c>
      <c r="E4" s="14" t="s">
        <v>20</v>
      </c>
      <c r="F4" s="8">
        <v>90</v>
      </c>
      <c r="G4" s="250">
        <v>421741</v>
      </c>
      <c r="H4" s="88">
        <v>0</v>
      </c>
      <c r="I4" s="251">
        <v>421741</v>
      </c>
    </row>
    <row r="5" spans="1:9" ht="15" x14ac:dyDescent="0.2">
      <c r="A5" s="25" t="s">
        <v>486</v>
      </c>
      <c r="B5" s="8" t="s">
        <v>371</v>
      </c>
      <c r="C5" s="8" t="s">
        <v>424</v>
      </c>
      <c r="D5" s="25" t="s">
        <v>26</v>
      </c>
      <c r="E5" s="14" t="s">
        <v>11</v>
      </c>
      <c r="F5" s="8">
        <v>262</v>
      </c>
      <c r="G5" s="250">
        <v>207590</v>
      </c>
      <c r="H5" s="88">
        <v>0</v>
      </c>
      <c r="I5" s="251">
        <v>207590</v>
      </c>
    </row>
    <row r="6" spans="1:9" ht="15" x14ac:dyDescent="0.2">
      <c r="A6" s="25" t="s">
        <v>486</v>
      </c>
      <c r="B6" s="8" t="s">
        <v>371</v>
      </c>
      <c r="C6" s="8" t="s">
        <v>424</v>
      </c>
      <c r="D6" s="25" t="s">
        <v>179</v>
      </c>
      <c r="E6" s="14" t="s">
        <v>181</v>
      </c>
      <c r="F6" s="8">
        <v>13</v>
      </c>
      <c r="G6" s="250">
        <v>9251569</v>
      </c>
      <c r="H6" s="88">
        <v>0</v>
      </c>
      <c r="I6" s="251">
        <v>9251569</v>
      </c>
    </row>
    <row r="7" spans="1:9" ht="15" x14ac:dyDescent="0.2">
      <c r="A7" s="25" t="s">
        <v>486</v>
      </c>
      <c r="B7" s="8" t="s">
        <v>371</v>
      </c>
      <c r="C7" s="8" t="s">
        <v>424</v>
      </c>
      <c r="D7" s="25" t="s">
        <v>27</v>
      </c>
      <c r="E7" s="14" t="s">
        <v>12</v>
      </c>
      <c r="F7" s="8">
        <v>167</v>
      </c>
      <c r="G7" s="250">
        <v>10285669</v>
      </c>
      <c r="H7" s="88">
        <v>0</v>
      </c>
      <c r="I7" s="251">
        <v>10285669</v>
      </c>
    </row>
    <row r="8" spans="1:9" ht="15" x14ac:dyDescent="0.2">
      <c r="A8" s="25" t="s">
        <v>486</v>
      </c>
      <c r="B8" s="8" t="s">
        <v>371</v>
      </c>
      <c r="C8" s="8" t="s">
        <v>424</v>
      </c>
      <c r="D8" s="25" t="s">
        <v>28</v>
      </c>
      <c r="E8" s="14" t="s">
        <v>13</v>
      </c>
      <c r="F8" s="8">
        <v>274</v>
      </c>
      <c r="G8" s="250">
        <v>2471813</v>
      </c>
      <c r="H8" s="88">
        <v>0</v>
      </c>
      <c r="I8" s="251">
        <v>2471813</v>
      </c>
    </row>
    <row r="9" spans="1:9" ht="15.75" customHeight="1" x14ac:dyDescent="0.2">
      <c r="A9" s="25" t="s">
        <v>486</v>
      </c>
      <c r="B9" s="8" t="s">
        <v>371</v>
      </c>
      <c r="C9" s="8" t="s">
        <v>424</v>
      </c>
      <c r="D9" s="1" t="s">
        <v>423</v>
      </c>
      <c r="E9" s="14" t="s">
        <v>422</v>
      </c>
      <c r="F9" s="8">
        <v>177</v>
      </c>
      <c r="G9" s="250">
        <v>2301565</v>
      </c>
      <c r="H9" s="88">
        <v>0</v>
      </c>
      <c r="I9" s="251">
        <v>2301565</v>
      </c>
    </row>
    <row r="10" spans="1:9" ht="15" x14ac:dyDescent="0.2">
      <c r="A10" s="25" t="s">
        <v>486</v>
      </c>
      <c r="B10" s="8" t="s">
        <v>371</v>
      </c>
      <c r="C10" s="8" t="s">
        <v>424</v>
      </c>
      <c r="D10" s="25" t="s">
        <v>180</v>
      </c>
      <c r="E10" s="14" t="s">
        <v>182</v>
      </c>
      <c r="F10" s="8">
        <v>197</v>
      </c>
      <c r="G10" s="250">
        <v>2011961</v>
      </c>
      <c r="H10" s="88">
        <v>0</v>
      </c>
      <c r="I10" s="251">
        <v>2011961</v>
      </c>
    </row>
    <row r="11" spans="1:9" ht="15" x14ac:dyDescent="0.2">
      <c r="A11" s="25" t="s">
        <v>486</v>
      </c>
      <c r="B11" s="8" t="s">
        <v>371</v>
      </c>
      <c r="C11" s="8" t="s">
        <v>424</v>
      </c>
      <c r="D11" s="25" t="s">
        <v>419</v>
      </c>
      <c r="E11" s="14" t="s">
        <v>418</v>
      </c>
      <c r="F11" s="8">
        <v>380</v>
      </c>
      <c r="G11" s="250">
        <v>285192</v>
      </c>
      <c r="H11" s="88">
        <v>0</v>
      </c>
      <c r="I11" s="251">
        <v>285192</v>
      </c>
    </row>
    <row r="12" spans="1:9" ht="15" x14ac:dyDescent="0.2">
      <c r="A12" s="25" t="s">
        <v>486</v>
      </c>
      <c r="B12" s="8" t="s">
        <v>371</v>
      </c>
      <c r="C12" s="8" t="s">
        <v>424</v>
      </c>
      <c r="D12" s="25" t="s">
        <v>29</v>
      </c>
      <c r="E12" s="14" t="s">
        <v>14</v>
      </c>
      <c r="F12" s="8">
        <v>371</v>
      </c>
      <c r="G12" s="250">
        <v>10080</v>
      </c>
      <c r="H12" s="88">
        <v>0</v>
      </c>
      <c r="I12" s="251">
        <v>10080</v>
      </c>
    </row>
    <row r="13" spans="1:9" ht="15" x14ac:dyDescent="0.2">
      <c r="A13" s="25" t="s">
        <v>486</v>
      </c>
      <c r="B13" s="8" t="s">
        <v>371</v>
      </c>
      <c r="C13" s="8" t="s">
        <v>424</v>
      </c>
      <c r="D13" s="25" t="s">
        <v>30</v>
      </c>
      <c r="E13" s="14" t="s">
        <v>15</v>
      </c>
      <c r="F13" s="8">
        <v>334</v>
      </c>
      <c r="G13" s="250">
        <v>11000</v>
      </c>
      <c r="H13" s="88">
        <v>0</v>
      </c>
      <c r="I13" s="251">
        <v>11000</v>
      </c>
    </row>
    <row r="14" spans="1:9" ht="15" x14ac:dyDescent="0.2">
      <c r="A14" s="25" t="s">
        <v>486</v>
      </c>
      <c r="B14" s="8" t="s">
        <v>371</v>
      </c>
      <c r="C14" s="8" t="s">
        <v>424</v>
      </c>
      <c r="D14" s="25" t="s">
        <v>31</v>
      </c>
      <c r="E14" s="14" t="s">
        <v>16</v>
      </c>
      <c r="F14" s="8">
        <v>43</v>
      </c>
      <c r="G14" s="250">
        <v>8724</v>
      </c>
      <c r="H14" s="88">
        <v>0</v>
      </c>
      <c r="I14" s="251">
        <v>8724</v>
      </c>
    </row>
    <row r="15" spans="1:9" ht="15" customHeight="1" x14ac:dyDescent="0.2">
      <c r="A15" s="25" t="s">
        <v>486</v>
      </c>
      <c r="B15" s="8" t="s">
        <v>371</v>
      </c>
      <c r="C15" s="8" t="s">
        <v>424</v>
      </c>
      <c r="D15" s="1" t="s">
        <v>25</v>
      </c>
      <c r="E15" s="14" t="s">
        <v>23</v>
      </c>
      <c r="F15" s="8">
        <v>373</v>
      </c>
      <c r="G15" s="250">
        <v>489114</v>
      </c>
      <c r="H15" s="88">
        <v>0</v>
      </c>
      <c r="I15" s="251">
        <v>489114</v>
      </c>
    </row>
    <row r="16" spans="1:9" ht="15" x14ac:dyDescent="0.2">
      <c r="A16" s="25" t="s">
        <v>486</v>
      </c>
      <c r="B16" s="8" t="s">
        <v>371</v>
      </c>
      <c r="C16" s="8" t="s">
        <v>424</v>
      </c>
      <c r="D16" s="25" t="s">
        <v>32</v>
      </c>
      <c r="E16" s="14" t="s">
        <v>17</v>
      </c>
      <c r="F16" s="8">
        <v>264</v>
      </c>
      <c r="G16" s="250">
        <v>868044</v>
      </c>
      <c r="H16" s="88">
        <v>0</v>
      </c>
      <c r="I16" s="251">
        <v>868044</v>
      </c>
    </row>
    <row r="17" spans="1:9" ht="15" x14ac:dyDescent="0.2">
      <c r="A17" s="25" t="s">
        <v>486</v>
      </c>
      <c r="B17" s="8" t="s">
        <v>371</v>
      </c>
      <c r="C17" s="8" t="s">
        <v>424</v>
      </c>
      <c r="D17" s="25" t="s">
        <v>369</v>
      </c>
      <c r="E17" s="14" t="s">
        <v>370</v>
      </c>
      <c r="F17" s="8">
        <v>375</v>
      </c>
      <c r="G17" s="250">
        <v>22723884</v>
      </c>
      <c r="H17" s="88">
        <v>0</v>
      </c>
      <c r="I17" s="251">
        <v>22723884</v>
      </c>
    </row>
    <row r="18" spans="1:9" ht="15" x14ac:dyDescent="0.2">
      <c r="A18" s="25" t="s">
        <v>486</v>
      </c>
      <c r="B18" s="8" t="s">
        <v>371</v>
      </c>
      <c r="C18" s="8" t="s">
        <v>424</v>
      </c>
      <c r="D18" s="25" t="s">
        <v>417</v>
      </c>
      <c r="E18" s="14" t="s">
        <v>416</v>
      </c>
      <c r="F18" s="8">
        <v>127</v>
      </c>
      <c r="G18" s="250">
        <v>595099</v>
      </c>
      <c r="H18" s="88">
        <v>0</v>
      </c>
      <c r="I18" s="251">
        <v>595099</v>
      </c>
    </row>
    <row r="19" spans="1:9" ht="15" x14ac:dyDescent="0.2">
      <c r="A19" s="25" t="s">
        <v>486</v>
      </c>
      <c r="B19" s="8" t="s">
        <v>371</v>
      </c>
      <c r="C19" s="8" t="s">
        <v>424</v>
      </c>
      <c r="D19" s="25" t="s">
        <v>407</v>
      </c>
      <c r="E19" s="14" t="s">
        <v>406</v>
      </c>
      <c r="F19" s="8">
        <v>378</v>
      </c>
      <c r="G19" s="250">
        <v>11085878</v>
      </c>
      <c r="H19" s="88">
        <v>0</v>
      </c>
      <c r="I19" s="251">
        <v>11085878</v>
      </c>
    </row>
    <row r="20" spans="1:9" ht="15" x14ac:dyDescent="0.2">
      <c r="A20" s="25" t="s">
        <v>486</v>
      </c>
      <c r="B20" s="8" t="s">
        <v>371</v>
      </c>
      <c r="C20" s="8" t="s">
        <v>424</v>
      </c>
      <c r="D20" s="25" t="s">
        <v>33</v>
      </c>
      <c r="E20" s="14" t="s">
        <v>18</v>
      </c>
      <c r="F20" s="8">
        <v>175</v>
      </c>
      <c r="G20" s="250">
        <v>5386423</v>
      </c>
      <c r="H20" s="88">
        <v>0</v>
      </c>
      <c r="I20" s="251">
        <v>5386423</v>
      </c>
    </row>
    <row r="21" spans="1:9" ht="15" x14ac:dyDescent="0.2">
      <c r="A21" s="25" t="s">
        <v>486</v>
      </c>
      <c r="B21" s="8" t="s">
        <v>371</v>
      </c>
      <c r="C21" s="8" t="s">
        <v>424</v>
      </c>
      <c r="D21" s="25" t="s">
        <v>421</v>
      </c>
      <c r="E21" s="14" t="s">
        <v>420</v>
      </c>
      <c r="F21" s="8">
        <v>360</v>
      </c>
      <c r="G21" s="250">
        <v>571923</v>
      </c>
      <c r="H21" s="88">
        <v>0</v>
      </c>
      <c r="I21" s="251">
        <v>571923</v>
      </c>
    </row>
    <row r="22" spans="1:9" ht="15" x14ac:dyDescent="0.2">
      <c r="A22" s="25" t="s">
        <v>486</v>
      </c>
      <c r="B22" s="8" t="s">
        <v>371</v>
      </c>
      <c r="C22" s="8" t="s">
        <v>424</v>
      </c>
      <c r="D22" s="25" t="s">
        <v>415</v>
      </c>
      <c r="E22" s="14" t="s">
        <v>414</v>
      </c>
      <c r="F22" s="8">
        <v>163</v>
      </c>
      <c r="G22" s="250">
        <v>11429</v>
      </c>
      <c r="H22" s="88">
        <v>0</v>
      </c>
      <c r="I22" s="251">
        <v>11429</v>
      </c>
    </row>
    <row r="23" spans="1:9" ht="15" x14ac:dyDescent="0.2">
      <c r="A23" s="25" t="s">
        <v>486</v>
      </c>
      <c r="B23" s="8" t="s">
        <v>371</v>
      </c>
      <c r="C23" s="8" t="s">
        <v>424</v>
      </c>
      <c r="D23" s="25" t="s">
        <v>367</v>
      </c>
      <c r="E23" s="14" t="s">
        <v>368</v>
      </c>
      <c r="F23" s="8">
        <v>345</v>
      </c>
      <c r="G23" s="250">
        <v>111000</v>
      </c>
      <c r="H23" s="88">
        <v>0</v>
      </c>
      <c r="I23" s="251">
        <v>111000</v>
      </c>
    </row>
    <row r="24" spans="1:9" ht="15" x14ac:dyDescent="0.2">
      <c r="A24" s="25" t="s">
        <v>486</v>
      </c>
      <c r="B24" s="8" t="s">
        <v>371</v>
      </c>
      <c r="C24" s="8" t="s">
        <v>424</v>
      </c>
      <c r="D24" s="25" t="s">
        <v>34</v>
      </c>
      <c r="E24" s="14" t="s">
        <v>19</v>
      </c>
      <c r="F24" s="8">
        <v>372</v>
      </c>
      <c r="G24" s="250">
        <v>1953853</v>
      </c>
      <c r="H24" s="88">
        <v>0</v>
      </c>
      <c r="I24" s="251">
        <v>1953853</v>
      </c>
    </row>
    <row r="25" spans="1:9" ht="15" x14ac:dyDescent="0.2">
      <c r="A25" s="25" t="s">
        <v>486</v>
      </c>
      <c r="B25" s="8" t="s">
        <v>371</v>
      </c>
      <c r="C25" s="8" t="s">
        <v>424</v>
      </c>
      <c r="D25" s="25" t="s">
        <v>173</v>
      </c>
      <c r="E25" s="14" t="s">
        <v>174</v>
      </c>
      <c r="F25" s="8">
        <v>377</v>
      </c>
      <c r="G25" s="250">
        <v>2214411</v>
      </c>
      <c r="H25" s="88">
        <v>0</v>
      </c>
      <c r="I25" s="251">
        <v>2214411</v>
      </c>
    </row>
    <row r="26" spans="1:9" ht="15" x14ac:dyDescent="0.2">
      <c r="A26" s="25" t="s">
        <v>486</v>
      </c>
      <c r="B26" s="8" t="s">
        <v>184</v>
      </c>
      <c r="C26" s="8" t="s">
        <v>424</v>
      </c>
      <c r="D26" s="25" t="s">
        <v>411</v>
      </c>
      <c r="E26" s="14" t="s">
        <v>410</v>
      </c>
      <c r="F26" s="8">
        <v>152</v>
      </c>
      <c r="G26" s="250">
        <v>82923</v>
      </c>
      <c r="H26" s="88">
        <v>0</v>
      </c>
      <c r="I26" s="251">
        <v>82923</v>
      </c>
    </row>
    <row r="27" spans="1:9" ht="15" x14ac:dyDescent="0.2">
      <c r="A27" s="25" t="s">
        <v>486</v>
      </c>
      <c r="B27" s="8" t="s">
        <v>184</v>
      </c>
      <c r="C27" s="8" t="s">
        <v>424</v>
      </c>
      <c r="D27" s="25" t="s">
        <v>35</v>
      </c>
      <c r="E27" s="14" t="s">
        <v>20</v>
      </c>
      <c r="F27" s="8">
        <v>90</v>
      </c>
      <c r="G27" s="250">
        <v>4544</v>
      </c>
      <c r="H27" s="88">
        <v>0</v>
      </c>
      <c r="I27" s="251">
        <v>4544</v>
      </c>
    </row>
    <row r="28" spans="1:9" ht="15" x14ac:dyDescent="0.2">
      <c r="A28" s="25" t="s">
        <v>486</v>
      </c>
      <c r="B28" s="8" t="s">
        <v>177</v>
      </c>
      <c r="C28" s="8" t="s">
        <v>424</v>
      </c>
      <c r="D28" s="25" t="s">
        <v>35</v>
      </c>
      <c r="E28" s="14" t="s">
        <v>20</v>
      </c>
      <c r="F28" s="8">
        <v>90</v>
      </c>
      <c r="G28" s="250">
        <v>2715</v>
      </c>
      <c r="H28" s="88">
        <v>0</v>
      </c>
      <c r="I28" s="251">
        <v>2715</v>
      </c>
    </row>
    <row r="29" spans="1:9" ht="15" x14ac:dyDescent="0.2">
      <c r="A29" s="25" t="s">
        <v>486</v>
      </c>
      <c r="B29" s="8" t="s">
        <v>177</v>
      </c>
      <c r="C29" s="8" t="s">
        <v>424</v>
      </c>
      <c r="D29" s="25" t="s">
        <v>26</v>
      </c>
      <c r="E29" s="14" t="s">
        <v>11</v>
      </c>
      <c r="F29" s="8">
        <v>262</v>
      </c>
      <c r="G29" s="250">
        <v>2410</v>
      </c>
      <c r="H29" s="88">
        <v>0</v>
      </c>
      <c r="I29" s="251">
        <v>2410</v>
      </c>
    </row>
    <row r="30" spans="1:9" ht="15" x14ac:dyDescent="0.2">
      <c r="A30" s="25" t="s">
        <v>486</v>
      </c>
      <c r="B30" s="8" t="s">
        <v>184</v>
      </c>
      <c r="C30" s="8" t="s">
        <v>424</v>
      </c>
      <c r="D30" s="25" t="s">
        <v>179</v>
      </c>
      <c r="E30" s="14" t="s">
        <v>181</v>
      </c>
      <c r="F30" s="8">
        <v>13</v>
      </c>
      <c r="G30" s="250">
        <v>253609</v>
      </c>
      <c r="H30" s="88">
        <v>0</v>
      </c>
      <c r="I30" s="251">
        <v>253609</v>
      </c>
    </row>
    <row r="31" spans="1:9" ht="15" x14ac:dyDescent="0.2">
      <c r="A31" s="25" t="s">
        <v>486</v>
      </c>
      <c r="B31" s="8" t="s">
        <v>184</v>
      </c>
      <c r="C31" s="8" t="s">
        <v>424</v>
      </c>
      <c r="D31" s="25" t="s">
        <v>27</v>
      </c>
      <c r="E31" s="14" t="s">
        <v>12</v>
      </c>
      <c r="F31" s="8">
        <v>167</v>
      </c>
      <c r="G31" s="250">
        <v>67448</v>
      </c>
      <c r="H31" s="88">
        <v>0</v>
      </c>
      <c r="I31" s="251">
        <v>67448</v>
      </c>
    </row>
    <row r="32" spans="1:9" ht="15" x14ac:dyDescent="0.2">
      <c r="A32" s="25" t="s">
        <v>486</v>
      </c>
      <c r="B32" s="8" t="s">
        <v>177</v>
      </c>
      <c r="C32" s="8" t="s">
        <v>424</v>
      </c>
      <c r="D32" s="25" t="s">
        <v>27</v>
      </c>
      <c r="E32" s="14" t="s">
        <v>12</v>
      </c>
      <c r="F32" s="8">
        <v>167</v>
      </c>
      <c r="G32" s="250">
        <v>126230</v>
      </c>
      <c r="H32" s="88">
        <v>0</v>
      </c>
      <c r="I32" s="251">
        <v>126230</v>
      </c>
    </row>
    <row r="33" spans="1:9" ht="15" x14ac:dyDescent="0.2">
      <c r="A33" s="25" t="s">
        <v>486</v>
      </c>
      <c r="B33" s="8" t="s">
        <v>184</v>
      </c>
      <c r="C33" s="8" t="s">
        <v>424</v>
      </c>
      <c r="D33" s="25" t="s">
        <v>28</v>
      </c>
      <c r="E33" s="14" t="s">
        <v>13</v>
      </c>
      <c r="F33" s="8">
        <v>274</v>
      </c>
      <c r="G33" s="250">
        <v>24690</v>
      </c>
      <c r="H33" s="88">
        <v>0</v>
      </c>
      <c r="I33" s="251">
        <v>24690</v>
      </c>
    </row>
    <row r="34" spans="1:9" ht="15" x14ac:dyDescent="0.2">
      <c r="A34" s="25" t="s">
        <v>486</v>
      </c>
      <c r="B34" s="8" t="s">
        <v>177</v>
      </c>
      <c r="C34" s="8" t="s">
        <v>424</v>
      </c>
      <c r="D34" s="25" t="s">
        <v>28</v>
      </c>
      <c r="E34" s="14" t="s">
        <v>13</v>
      </c>
      <c r="F34" s="8">
        <v>274</v>
      </c>
      <c r="G34" s="250">
        <v>27862</v>
      </c>
      <c r="H34" s="88">
        <v>0</v>
      </c>
      <c r="I34" s="251">
        <v>27862</v>
      </c>
    </row>
    <row r="35" spans="1:9" ht="15" x14ac:dyDescent="0.2">
      <c r="A35" s="25" t="s">
        <v>486</v>
      </c>
      <c r="B35" s="8" t="s">
        <v>184</v>
      </c>
      <c r="C35" s="8" t="s">
        <v>424</v>
      </c>
      <c r="D35" s="25" t="s">
        <v>180</v>
      </c>
      <c r="E35" s="14" t="s">
        <v>182</v>
      </c>
      <c r="F35" s="8">
        <v>197</v>
      </c>
      <c r="G35" s="250">
        <v>64039</v>
      </c>
      <c r="H35" s="88">
        <v>0</v>
      </c>
      <c r="I35" s="251">
        <v>64039</v>
      </c>
    </row>
    <row r="36" spans="1:9" ht="15" x14ac:dyDescent="0.2">
      <c r="A36" s="25" t="s">
        <v>486</v>
      </c>
      <c r="B36" s="8" t="s">
        <v>184</v>
      </c>
      <c r="C36" s="8" t="s">
        <v>424</v>
      </c>
      <c r="D36" s="25" t="s">
        <v>419</v>
      </c>
      <c r="E36" s="14" t="s">
        <v>418</v>
      </c>
      <c r="F36" s="8">
        <v>380</v>
      </c>
      <c r="G36" s="250">
        <v>108633</v>
      </c>
      <c r="H36" s="88">
        <v>0</v>
      </c>
      <c r="I36" s="251">
        <v>108633</v>
      </c>
    </row>
    <row r="37" spans="1:9" ht="15" x14ac:dyDescent="0.2">
      <c r="A37" s="25" t="s">
        <v>486</v>
      </c>
      <c r="B37" s="8" t="s">
        <v>177</v>
      </c>
      <c r="C37" s="8" t="s">
        <v>424</v>
      </c>
      <c r="D37" s="25" t="s">
        <v>419</v>
      </c>
      <c r="E37" s="14" t="s">
        <v>418</v>
      </c>
      <c r="F37" s="8">
        <v>380</v>
      </c>
      <c r="G37" s="250">
        <v>65430</v>
      </c>
      <c r="H37" s="88">
        <v>0</v>
      </c>
      <c r="I37" s="251">
        <v>65430</v>
      </c>
    </row>
    <row r="38" spans="1:9" ht="15" x14ac:dyDescent="0.2">
      <c r="A38" s="25" t="s">
        <v>486</v>
      </c>
      <c r="B38" s="8" t="s">
        <v>184</v>
      </c>
      <c r="C38" s="8" t="s">
        <v>424</v>
      </c>
      <c r="D38" s="25" t="s">
        <v>29</v>
      </c>
      <c r="E38" s="14" t="s">
        <v>14</v>
      </c>
      <c r="F38" s="8">
        <v>371</v>
      </c>
      <c r="G38" s="250">
        <v>19919</v>
      </c>
      <c r="H38" s="88">
        <v>0</v>
      </c>
      <c r="I38" s="251">
        <v>19919</v>
      </c>
    </row>
    <row r="39" spans="1:9" ht="15" x14ac:dyDescent="0.2">
      <c r="A39" s="25" t="s">
        <v>486</v>
      </c>
      <c r="B39" s="8" t="s">
        <v>177</v>
      </c>
      <c r="C39" s="8" t="s">
        <v>424</v>
      </c>
      <c r="D39" s="25" t="s">
        <v>31</v>
      </c>
      <c r="E39" s="14" t="s">
        <v>16</v>
      </c>
      <c r="F39" s="8">
        <v>43</v>
      </c>
      <c r="G39" s="250">
        <v>4276</v>
      </c>
      <c r="H39" s="88">
        <v>0</v>
      </c>
      <c r="I39" s="251">
        <v>4276</v>
      </c>
    </row>
    <row r="40" spans="1:9" ht="15" x14ac:dyDescent="0.2">
      <c r="A40" s="25" t="s">
        <v>486</v>
      </c>
      <c r="B40" s="8" t="s">
        <v>184</v>
      </c>
      <c r="C40" s="8" t="s">
        <v>424</v>
      </c>
      <c r="D40" s="25" t="s">
        <v>25</v>
      </c>
      <c r="E40" s="14" t="s">
        <v>23</v>
      </c>
      <c r="F40" s="8">
        <v>373</v>
      </c>
      <c r="G40" s="250">
        <v>24886</v>
      </c>
      <c r="H40" s="88">
        <v>0</v>
      </c>
      <c r="I40" s="251">
        <v>24886</v>
      </c>
    </row>
    <row r="41" spans="1:9" ht="15" x14ac:dyDescent="0.2">
      <c r="A41" s="25" t="s">
        <v>486</v>
      </c>
      <c r="B41" s="8" t="s">
        <v>184</v>
      </c>
      <c r="C41" s="8" t="s">
        <v>424</v>
      </c>
      <c r="D41" s="25" t="s">
        <v>32</v>
      </c>
      <c r="E41" s="14" t="s">
        <v>17</v>
      </c>
      <c r="F41" s="8">
        <v>264</v>
      </c>
      <c r="G41" s="250">
        <v>1956</v>
      </c>
      <c r="H41" s="88">
        <v>0</v>
      </c>
      <c r="I41" s="251">
        <v>1956</v>
      </c>
    </row>
    <row r="42" spans="1:9" ht="15" x14ac:dyDescent="0.2">
      <c r="A42" s="25" t="s">
        <v>486</v>
      </c>
      <c r="B42" s="8" t="s">
        <v>184</v>
      </c>
      <c r="C42" s="8" t="s">
        <v>424</v>
      </c>
      <c r="D42" s="25" t="s">
        <v>369</v>
      </c>
      <c r="E42" s="14" t="s">
        <v>370</v>
      </c>
      <c r="F42" s="8">
        <v>375</v>
      </c>
      <c r="G42" s="250">
        <v>399434</v>
      </c>
      <c r="H42" s="88">
        <v>0</v>
      </c>
      <c r="I42" s="251">
        <v>399434</v>
      </c>
    </row>
    <row r="43" spans="1:9" ht="15" x14ac:dyDescent="0.2">
      <c r="A43" s="25" t="s">
        <v>486</v>
      </c>
      <c r="B43" s="8" t="s">
        <v>184</v>
      </c>
      <c r="C43" s="8" t="s">
        <v>424</v>
      </c>
      <c r="D43" s="25" t="s">
        <v>417</v>
      </c>
      <c r="E43" s="14" t="s">
        <v>416</v>
      </c>
      <c r="F43" s="8">
        <v>127</v>
      </c>
      <c r="G43" s="250">
        <v>1471</v>
      </c>
      <c r="H43" s="88">
        <v>0</v>
      </c>
      <c r="I43" s="251">
        <v>1471</v>
      </c>
    </row>
    <row r="44" spans="1:9" ht="15" x14ac:dyDescent="0.2">
      <c r="A44" s="25" t="s">
        <v>486</v>
      </c>
      <c r="B44" s="8" t="s">
        <v>184</v>
      </c>
      <c r="C44" s="8" t="s">
        <v>424</v>
      </c>
      <c r="D44" s="25" t="s">
        <v>407</v>
      </c>
      <c r="E44" s="14" t="s">
        <v>406</v>
      </c>
      <c r="F44" s="8">
        <v>378</v>
      </c>
      <c r="G44" s="250">
        <v>2758</v>
      </c>
      <c r="H44" s="88">
        <v>0</v>
      </c>
      <c r="I44" s="251">
        <v>2758</v>
      </c>
    </row>
    <row r="45" spans="1:9" ht="15" x14ac:dyDescent="0.2">
      <c r="A45" s="25" t="s">
        <v>486</v>
      </c>
      <c r="B45" s="8" t="s">
        <v>184</v>
      </c>
      <c r="C45" s="8" t="s">
        <v>424</v>
      </c>
      <c r="D45" s="25" t="s">
        <v>33</v>
      </c>
      <c r="E45" s="14" t="s">
        <v>18</v>
      </c>
      <c r="F45" s="8">
        <v>175</v>
      </c>
      <c r="G45" s="250">
        <v>257707</v>
      </c>
      <c r="H45" s="88">
        <v>0</v>
      </c>
      <c r="I45" s="251">
        <v>257707</v>
      </c>
    </row>
    <row r="46" spans="1:9" ht="15" x14ac:dyDescent="0.2">
      <c r="A46" s="25" t="s">
        <v>486</v>
      </c>
      <c r="B46" s="8" t="s">
        <v>177</v>
      </c>
      <c r="C46" s="8" t="s">
        <v>424</v>
      </c>
      <c r="D46" s="25" t="s">
        <v>33</v>
      </c>
      <c r="E46" s="14" t="s">
        <v>18</v>
      </c>
      <c r="F46" s="8">
        <v>175</v>
      </c>
      <c r="G46" s="250">
        <v>10808951</v>
      </c>
      <c r="H46" s="88">
        <v>0</v>
      </c>
      <c r="I46" s="251">
        <v>10808951</v>
      </c>
    </row>
    <row r="47" spans="1:9" ht="15" x14ac:dyDescent="0.2">
      <c r="A47" s="25" t="s">
        <v>486</v>
      </c>
      <c r="B47" s="8" t="s">
        <v>3</v>
      </c>
      <c r="C47" s="8" t="s">
        <v>424</v>
      </c>
      <c r="D47" s="25" t="s">
        <v>33</v>
      </c>
      <c r="E47" s="14" t="s">
        <v>18</v>
      </c>
      <c r="F47" s="8">
        <v>175</v>
      </c>
      <c r="G47" s="250">
        <v>65919</v>
      </c>
      <c r="H47" s="88">
        <v>0</v>
      </c>
      <c r="I47" s="251">
        <v>65919</v>
      </c>
    </row>
    <row r="48" spans="1:9" ht="15" x14ac:dyDescent="0.2">
      <c r="A48" s="25" t="s">
        <v>486</v>
      </c>
      <c r="B48" s="8" t="s">
        <v>184</v>
      </c>
      <c r="C48" s="8" t="s">
        <v>424</v>
      </c>
      <c r="D48" s="25" t="s">
        <v>415</v>
      </c>
      <c r="E48" s="14" t="s">
        <v>414</v>
      </c>
      <c r="F48" s="8">
        <v>163</v>
      </c>
      <c r="G48" s="250">
        <v>13242</v>
      </c>
      <c r="H48" s="88">
        <v>0</v>
      </c>
      <c r="I48" s="251">
        <v>13242</v>
      </c>
    </row>
    <row r="49" spans="1:12" ht="15" x14ac:dyDescent="0.2">
      <c r="A49" s="25" t="s">
        <v>486</v>
      </c>
      <c r="B49" s="8" t="s">
        <v>184</v>
      </c>
      <c r="C49" s="8" t="s">
        <v>424</v>
      </c>
      <c r="D49" s="25" t="s">
        <v>34</v>
      </c>
      <c r="E49" s="14" t="s">
        <v>19</v>
      </c>
      <c r="F49" s="8">
        <v>372</v>
      </c>
      <c r="G49" s="250">
        <v>41658</v>
      </c>
      <c r="H49" s="88">
        <v>0</v>
      </c>
      <c r="I49" s="251">
        <v>41658</v>
      </c>
    </row>
    <row r="50" spans="1:12" ht="15" x14ac:dyDescent="0.2">
      <c r="A50" s="25" t="s">
        <v>486</v>
      </c>
      <c r="B50" s="8" t="s">
        <v>177</v>
      </c>
      <c r="C50" s="8" t="s">
        <v>424</v>
      </c>
      <c r="D50" s="25" t="s">
        <v>34</v>
      </c>
      <c r="E50" s="14" t="s">
        <v>19</v>
      </c>
      <c r="F50" s="8">
        <v>372</v>
      </c>
      <c r="G50" s="250">
        <v>175486</v>
      </c>
      <c r="H50" s="88">
        <v>0</v>
      </c>
      <c r="I50" s="251">
        <v>175486</v>
      </c>
    </row>
    <row r="51" spans="1:12" s="15" customFormat="1" ht="15.75" x14ac:dyDescent="0.25">
      <c r="A51" s="108" t="s">
        <v>413</v>
      </c>
      <c r="B51" s="354" t="s">
        <v>480</v>
      </c>
      <c r="C51" s="354" t="s">
        <v>480</v>
      </c>
      <c r="D51" s="354" t="s">
        <v>480</v>
      </c>
      <c r="E51" s="354" t="s">
        <v>480</v>
      </c>
      <c r="F51" s="354" t="s">
        <v>480</v>
      </c>
      <c r="G51" s="355">
        <f>SUBTOTAL(109,localannualclaims23[Program Payments and Offsets])</f>
        <v>86592978</v>
      </c>
      <c r="H51" s="87">
        <f>SUBTOTAL(109,localannualclaims23[Interest
Payments and Offsets])</f>
        <v>0</v>
      </c>
      <c r="I51" s="356">
        <f>SUBTOTAL(109,localannualclaims23[Total
Payments])</f>
        <v>86592978</v>
      </c>
    </row>
    <row r="52" spans="1:12" s="15" customFormat="1" ht="15" x14ac:dyDescent="0.2">
      <c r="A52" s="132" t="s">
        <v>481</v>
      </c>
      <c r="B52" s="16"/>
      <c r="C52" s="16"/>
      <c r="D52" s="16"/>
      <c r="E52" s="75"/>
      <c r="F52" s="16"/>
      <c r="G52" s="130"/>
      <c r="H52" s="130"/>
      <c r="I52" s="131"/>
    </row>
    <row r="53" spans="1:12" s="15" customFormat="1" ht="47.25" x14ac:dyDescent="0.25">
      <c r="A53" s="120" t="s">
        <v>484</v>
      </c>
      <c r="B53" s="92" t="s">
        <v>9</v>
      </c>
      <c r="C53" s="120" t="s">
        <v>485</v>
      </c>
      <c r="D53" s="92" t="s">
        <v>10</v>
      </c>
      <c r="E53" s="92" t="s">
        <v>0</v>
      </c>
      <c r="F53" s="92" t="s">
        <v>393</v>
      </c>
      <c r="G53" s="135" t="s">
        <v>425</v>
      </c>
      <c r="H53" s="135" t="s">
        <v>391</v>
      </c>
      <c r="I53" s="135" t="s">
        <v>390</v>
      </c>
      <c r="L53" s="48"/>
    </row>
    <row r="54" spans="1:12" s="15" customFormat="1" ht="15" x14ac:dyDescent="0.2">
      <c r="A54" s="25" t="s">
        <v>486</v>
      </c>
      <c r="B54" s="46" t="s">
        <v>177</v>
      </c>
      <c r="C54" s="46" t="s">
        <v>412</v>
      </c>
      <c r="D54" s="30" t="s">
        <v>411</v>
      </c>
      <c r="E54" s="75" t="s">
        <v>410</v>
      </c>
      <c r="F54" s="46">
        <v>152</v>
      </c>
      <c r="G54" s="253">
        <v>59405</v>
      </c>
      <c r="H54" s="86">
        <v>0</v>
      </c>
      <c r="I54" s="253">
        <v>59405</v>
      </c>
    </row>
    <row r="55" spans="1:12" s="15" customFormat="1" ht="15" customHeight="1" x14ac:dyDescent="0.2">
      <c r="A55" s="25" t="s">
        <v>486</v>
      </c>
      <c r="B55" s="46" t="s">
        <v>184</v>
      </c>
      <c r="C55" s="46" t="s">
        <v>412</v>
      </c>
      <c r="D55" s="47" t="s">
        <v>409</v>
      </c>
      <c r="E55" s="47" t="s">
        <v>408</v>
      </c>
      <c r="F55" s="46">
        <v>379</v>
      </c>
      <c r="G55" s="253">
        <v>253759</v>
      </c>
      <c r="H55" s="86">
        <v>0</v>
      </c>
      <c r="I55" s="253">
        <v>253759</v>
      </c>
    </row>
    <row r="56" spans="1:12" s="15" customFormat="1" ht="15" customHeight="1" x14ac:dyDescent="0.2">
      <c r="A56" s="25" t="s">
        <v>486</v>
      </c>
      <c r="B56" s="46" t="s">
        <v>177</v>
      </c>
      <c r="C56" s="46" t="s">
        <v>412</v>
      </c>
      <c r="D56" s="47" t="s">
        <v>409</v>
      </c>
      <c r="E56" s="47" t="s">
        <v>408</v>
      </c>
      <c r="F56" s="46">
        <v>379</v>
      </c>
      <c r="G56" s="253">
        <v>765992</v>
      </c>
      <c r="H56" s="86">
        <v>0</v>
      </c>
      <c r="I56" s="253">
        <v>765992</v>
      </c>
      <c r="L56" s="48"/>
    </row>
    <row r="57" spans="1:12" s="15" customFormat="1" ht="15" customHeight="1" x14ac:dyDescent="0.2">
      <c r="A57" s="25" t="s">
        <v>486</v>
      </c>
      <c r="B57" s="46" t="s">
        <v>177</v>
      </c>
      <c r="C57" s="46" t="s">
        <v>412</v>
      </c>
      <c r="D57" s="30" t="s">
        <v>28</v>
      </c>
      <c r="E57" s="75" t="s">
        <v>13</v>
      </c>
      <c r="F57" s="46">
        <v>274</v>
      </c>
      <c r="G57" s="253">
        <v>62807</v>
      </c>
      <c r="H57" s="86">
        <v>0</v>
      </c>
      <c r="I57" s="253">
        <v>62807</v>
      </c>
      <c r="L57" s="48"/>
    </row>
    <row r="58" spans="1:12" s="15" customFormat="1" ht="15" customHeight="1" x14ac:dyDescent="0.2">
      <c r="A58" s="25" t="s">
        <v>486</v>
      </c>
      <c r="B58" s="46" t="s">
        <v>177</v>
      </c>
      <c r="C58" s="46" t="s">
        <v>412</v>
      </c>
      <c r="D58" s="30" t="s">
        <v>30</v>
      </c>
      <c r="E58" s="75" t="s">
        <v>15</v>
      </c>
      <c r="F58" s="46">
        <v>334</v>
      </c>
      <c r="G58" s="253">
        <v>4940</v>
      </c>
      <c r="H58" s="86">
        <v>0</v>
      </c>
      <c r="I58" s="253">
        <v>4940</v>
      </c>
      <c r="L58" s="48"/>
    </row>
    <row r="59" spans="1:12" s="15" customFormat="1" ht="15" customHeight="1" x14ac:dyDescent="0.2">
      <c r="A59" s="25" t="s">
        <v>486</v>
      </c>
      <c r="B59" s="46" t="s">
        <v>177</v>
      </c>
      <c r="C59" s="46" t="s">
        <v>412</v>
      </c>
      <c r="D59" s="30" t="s">
        <v>31</v>
      </c>
      <c r="E59" s="75" t="s">
        <v>16</v>
      </c>
      <c r="F59" s="46">
        <v>43</v>
      </c>
      <c r="G59" s="253">
        <v>3132</v>
      </c>
      <c r="H59" s="86">
        <v>0</v>
      </c>
      <c r="I59" s="253">
        <v>3132</v>
      </c>
      <c r="L59" s="48"/>
    </row>
    <row r="60" spans="1:12" s="15" customFormat="1" ht="15" customHeight="1" x14ac:dyDescent="0.2">
      <c r="A60" s="25" t="s">
        <v>486</v>
      </c>
      <c r="B60" s="46" t="s">
        <v>177</v>
      </c>
      <c r="C60" s="46" t="s">
        <v>412</v>
      </c>
      <c r="D60" s="30" t="s">
        <v>32</v>
      </c>
      <c r="E60" s="75" t="s">
        <v>17</v>
      </c>
      <c r="F60" s="46">
        <v>264</v>
      </c>
      <c r="G60" s="253">
        <v>53165</v>
      </c>
      <c r="H60" s="86">
        <v>0</v>
      </c>
      <c r="I60" s="253">
        <v>53165</v>
      </c>
    </row>
    <row r="61" spans="1:12" s="15" customFormat="1" ht="15" customHeight="1" x14ac:dyDescent="0.2">
      <c r="A61" s="25" t="s">
        <v>486</v>
      </c>
      <c r="B61" s="46" t="s">
        <v>177</v>
      </c>
      <c r="C61" s="46" t="s">
        <v>412</v>
      </c>
      <c r="D61" s="30" t="s">
        <v>407</v>
      </c>
      <c r="E61" s="75" t="s">
        <v>406</v>
      </c>
      <c r="F61" s="46">
        <v>378</v>
      </c>
      <c r="G61" s="253">
        <v>4620025</v>
      </c>
      <c r="H61" s="86">
        <v>0</v>
      </c>
      <c r="I61" s="253">
        <v>4620025</v>
      </c>
    </row>
    <row r="62" spans="1:12" s="15" customFormat="1" ht="15" customHeight="1" x14ac:dyDescent="0.2">
      <c r="A62" s="25" t="s">
        <v>486</v>
      </c>
      <c r="B62" s="46" t="s">
        <v>22</v>
      </c>
      <c r="C62" s="46" t="s">
        <v>412</v>
      </c>
      <c r="D62" s="30" t="s">
        <v>407</v>
      </c>
      <c r="E62" s="75" t="s">
        <v>406</v>
      </c>
      <c r="F62" s="46">
        <v>378</v>
      </c>
      <c r="G62" s="253">
        <v>2302285</v>
      </c>
      <c r="H62" s="86">
        <v>0</v>
      </c>
      <c r="I62" s="253">
        <v>2302285</v>
      </c>
      <c r="L62" s="48"/>
    </row>
    <row r="63" spans="1:12" s="15" customFormat="1" ht="15" customHeight="1" x14ac:dyDescent="0.2">
      <c r="A63" s="25" t="s">
        <v>486</v>
      </c>
      <c r="B63" s="46" t="s">
        <v>177</v>
      </c>
      <c r="C63" s="46" t="s">
        <v>412</v>
      </c>
      <c r="D63" s="47" t="s">
        <v>173</v>
      </c>
      <c r="E63" s="47" t="s">
        <v>174</v>
      </c>
      <c r="F63" s="46">
        <v>377</v>
      </c>
      <c r="G63" s="253">
        <v>59188</v>
      </c>
      <c r="H63" s="86">
        <v>0</v>
      </c>
      <c r="I63" s="253">
        <v>59188</v>
      </c>
      <c r="K63" s="48"/>
    </row>
    <row r="64" spans="1:12" s="15" customFormat="1" ht="15" x14ac:dyDescent="0.2">
      <c r="A64" s="25" t="s">
        <v>486</v>
      </c>
      <c r="B64" s="46" t="s">
        <v>22</v>
      </c>
      <c r="C64" s="46" t="s">
        <v>412</v>
      </c>
      <c r="D64" s="47" t="s">
        <v>173</v>
      </c>
      <c r="E64" s="47" t="s">
        <v>174</v>
      </c>
      <c r="F64" s="46">
        <v>377</v>
      </c>
      <c r="G64" s="253">
        <v>10614</v>
      </c>
      <c r="H64" s="86">
        <v>0</v>
      </c>
      <c r="I64" s="253">
        <v>10614</v>
      </c>
      <c r="K64" s="49"/>
    </row>
    <row r="65" spans="1:11" s="15" customFormat="1" ht="15.75" x14ac:dyDescent="0.25">
      <c r="A65" s="338" t="s">
        <v>405</v>
      </c>
      <c r="B65" s="354" t="s">
        <v>480</v>
      </c>
      <c r="C65" s="354" t="s">
        <v>480</v>
      </c>
      <c r="D65" s="354" t="s">
        <v>480</v>
      </c>
      <c r="E65" s="354" t="s">
        <v>480</v>
      </c>
      <c r="F65" s="354" t="s">
        <v>480</v>
      </c>
      <c r="G65" s="357">
        <f>SUBTOTAL(109,localannualclaims22[Program Payments and Offsets])</f>
        <v>8195312</v>
      </c>
      <c r="H65" s="87">
        <f>SUBTOTAL(109,localannualclaims22[Interest
Payments and Offsets])</f>
        <v>0</v>
      </c>
      <c r="I65" s="252">
        <f>SUBTOTAL(109,localannualclaims22[Total
Payments])</f>
        <v>8195312</v>
      </c>
    </row>
    <row r="66" spans="1:11" s="15" customFormat="1" ht="15" customHeight="1" x14ac:dyDescent="0.25">
      <c r="A66" s="132" t="s">
        <v>481</v>
      </c>
      <c r="B66" s="124"/>
      <c r="C66" s="124"/>
      <c r="D66" s="124"/>
      <c r="E66" s="124"/>
      <c r="F66" s="124"/>
      <c r="G66" s="126"/>
      <c r="H66" s="127"/>
      <c r="I66" s="128"/>
      <c r="K66" s="48"/>
    </row>
    <row r="67" spans="1:11" s="15" customFormat="1" ht="15" customHeight="1" x14ac:dyDescent="0.25">
      <c r="A67" s="120" t="s">
        <v>484</v>
      </c>
      <c r="B67" s="92" t="s">
        <v>9</v>
      </c>
      <c r="C67" s="120" t="s">
        <v>485</v>
      </c>
      <c r="D67" s="92" t="s">
        <v>10</v>
      </c>
      <c r="E67" s="92" t="s">
        <v>0</v>
      </c>
      <c r="F67" s="92" t="s">
        <v>393</v>
      </c>
      <c r="G67" s="135" t="s">
        <v>425</v>
      </c>
      <c r="H67" s="135" t="s">
        <v>391</v>
      </c>
      <c r="I67" s="135" t="s">
        <v>390</v>
      </c>
    </row>
    <row r="68" spans="1:11" s="15" customFormat="1" ht="15" customHeight="1" x14ac:dyDescent="0.2">
      <c r="A68" s="25" t="s">
        <v>486</v>
      </c>
      <c r="B68" s="46" t="s">
        <v>177</v>
      </c>
      <c r="C68" s="46" t="s">
        <v>404</v>
      </c>
      <c r="D68" s="25" t="s">
        <v>180</v>
      </c>
      <c r="E68" s="14" t="s">
        <v>182</v>
      </c>
      <c r="F68" s="46">
        <v>197</v>
      </c>
      <c r="G68" s="253">
        <v>5709</v>
      </c>
      <c r="H68" s="86">
        <v>0</v>
      </c>
      <c r="I68" s="253">
        <v>5709</v>
      </c>
    </row>
    <row r="69" spans="1:11" s="15" customFormat="1" ht="15" customHeight="1" x14ac:dyDescent="0.2">
      <c r="A69" s="25" t="s">
        <v>486</v>
      </c>
      <c r="B69" s="46" t="s">
        <v>55</v>
      </c>
      <c r="C69" s="46" t="s">
        <v>404</v>
      </c>
      <c r="D69" s="47" t="s">
        <v>402</v>
      </c>
      <c r="E69" s="47" t="s">
        <v>183</v>
      </c>
      <c r="F69" s="46">
        <v>314</v>
      </c>
      <c r="G69" s="253">
        <v>8923</v>
      </c>
      <c r="H69" s="86">
        <v>0</v>
      </c>
      <c r="I69" s="253">
        <v>8923</v>
      </c>
    </row>
    <row r="70" spans="1:11" s="15" customFormat="1" ht="15" customHeight="1" x14ac:dyDescent="0.2">
      <c r="A70" s="25" t="s">
        <v>486</v>
      </c>
      <c r="B70" s="46" t="s">
        <v>58</v>
      </c>
      <c r="C70" s="46" t="s">
        <v>404</v>
      </c>
      <c r="D70" s="47" t="s">
        <v>402</v>
      </c>
      <c r="E70" s="47" t="s">
        <v>183</v>
      </c>
      <c r="F70" s="46">
        <v>314</v>
      </c>
      <c r="G70" s="253">
        <v>8487</v>
      </c>
      <c r="H70" s="86">
        <v>0</v>
      </c>
      <c r="I70" s="253">
        <v>8487</v>
      </c>
    </row>
    <row r="71" spans="1:11" s="15" customFormat="1" ht="15" customHeight="1" x14ac:dyDescent="0.2">
      <c r="A71" s="25" t="s">
        <v>486</v>
      </c>
      <c r="B71" s="46" t="s">
        <v>37</v>
      </c>
      <c r="C71" s="46" t="s">
        <v>404</v>
      </c>
      <c r="D71" s="47" t="s">
        <v>402</v>
      </c>
      <c r="E71" s="47" t="s">
        <v>183</v>
      </c>
      <c r="F71" s="46">
        <v>314</v>
      </c>
      <c r="G71" s="253">
        <v>8462</v>
      </c>
      <c r="H71" s="86">
        <v>0</v>
      </c>
      <c r="I71" s="253">
        <v>8462</v>
      </c>
    </row>
    <row r="72" spans="1:11" s="15" customFormat="1" ht="15" customHeight="1" x14ac:dyDescent="0.2">
      <c r="A72" s="25" t="s">
        <v>486</v>
      </c>
      <c r="B72" s="46" t="s">
        <v>105</v>
      </c>
      <c r="C72" s="46" t="s">
        <v>404</v>
      </c>
      <c r="D72" s="47" t="s">
        <v>402</v>
      </c>
      <c r="E72" s="47" t="s">
        <v>183</v>
      </c>
      <c r="F72" s="46">
        <v>314</v>
      </c>
      <c r="G72" s="253">
        <v>8411</v>
      </c>
      <c r="H72" s="86">
        <v>0</v>
      </c>
      <c r="I72" s="253">
        <v>8411</v>
      </c>
    </row>
    <row r="73" spans="1:11" s="15" customFormat="1" ht="15" customHeight="1" x14ac:dyDescent="0.2">
      <c r="A73" s="25" t="s">
        <v>486</v>
      </c>
      <c r="B73" s="46" t="s">
        <v>116</v>
      </c>
      <c r="C73" s="46" t="s">
        <v>404</v>
      </c>
      <c r="D73" s="47" t="s">
        <v>402</v>
      </c>
      <c r="E73" s="47" t="s">
        <v>183</v>
      </c>
      <c r="F73" s="46">
        <v>314</v>
      </c>
      <c r="G73" s="253">
        <v>8411</v>
      </c>
      <c r="H73" s="86">
        <v>0</v>
      </c>
      <c r="I73" s="253">
        <v>8411</v>
      </c>
    </row>
    <row r="74" spans="1:11" s="15" customFormat="1" ht="15" customHeight="1" x14ac:dyDescent="0.2">
      <c r="A74" s="25" t="s">
        <v>486</v>
      </c>
      <c r="B74" s="46" t="s">
        <v>121</v>
      </c>
      <c r="C74" s="46" t="s">
        <v>404</v>
      </c>
      <c r="D74" s="47" t="s">
        <v>402</v>
      </c>
      <c r="E74" s="47" t="s">
        <v>183</v>
      </c>
      <c r="F74" s="46">
        <v>314</v>
      </c>
      <c r="G74" s="253">
        <v>8411</v>
      </c>
      <c r="H74" s="86">
        <v>0</v>
      </c>
      <c r="I74" s="253">
        <v>8411</v>
      </c>
    </row>
    <row r="75" spans="1:11" s="15" customFormat="1" ht="15" customHeight="1" x14ac:dyDescent="0.2">
      <c r="A75" s="25" t="s">
        <v>486</v>
      </c>
      <c r="B75" s="46" t="s">
        <v>122</v>
      </c>
      <c r="C75" s="46" t="s">
        <v>404</v>
      </c>
      <c r="D75" s="47" t="s">
        <v>402</v>
      </c>
      <c r="E75" s="47" t="s">
        <v>183</v>
      </c>
      <c r="F75" s="46">
        <v>314</v>
      </c>
      <c r="G75" s="253">
        <v>8411</v>
      </c>
      <c r="H75" s="86">
        <v>0</v>
      </c>
      <c r="I75" s="253">
        <v>8411</v>
      </c>
    </row>
    <row r="76" spans="1:11" s="15" customFormat="1" ht="15" customHeight="1" x14ac:dyDescent="0.2">
      <c r="A76" s="25" t="s">
        <v>486</v>
      </c>
      <c r="B76" s="46" t="s">
        <v>123</v>
      </c>
      <c r="C76" s="46" t="s">
        <v>404</v>
      </c>
      <c r="D76" s="47" t="s">
        <v>402</v>
      </c>
      <c r="E76" s="47" t="s">
        <v>183</v>
      </c>
      <c r="F76" s="46">
        <v>314</v>
      </c>
      <c r="G76" s="253">
        <v>8411</v>
      </c>
      <c r="H76" s="86">
        <v>0</v>
      </c>
      <c r="I76" s="253">
        <v>8411</v>
      </c>
    </row>
    <row r="77" spans="1:11" s="15" customFormat="1" ht="15" customHeight="1" x14ac:dyDescent="0.2">
      <c r="A77" s="25" t="s">
        <v>486</v>
      </c>
      <c r="B77" s="46" t="s">
        <v>403</v>
      </c>
      <c r="C77" s="46" t="s">
        <v>404</v>
      </c>
      <c r="D77" s="47" t="s">
        <v>402</v>
      </c>
      <c r="E77" s="47" t="s">
        <v>183</v>
      </c>
      <c r="F77" s="46">
        <v>314</v>
      </c>
      <c r="G77" s="253">
        <v>8411</v>
      </c>
      <c r="H77" s="86">
        <v>0</v>
      </c>
      <c r="I77" s="253">
        <v>8411</v>
      </c>
    </row>
    <row r="78" spans="1:11" s="15" customFormat="1" ht="15" x14ac:dyDescent="0.2">
      <c r="A78" s="25" t="s">
        <v>486</v>
      </c>
      <c r="B78" s="46" t="s">
        <v>124</v>
      </c>
      <c r="C78" s="46" t="s">
        <v>404</v>
      </c>
      <c r="D78" s="47" t="s">
        <v>402</v>
      </c>
      <c r="E78" s="47" t="s">
        <v>183</v>
      </c>
      <c r="F78" s="46">
        <v>314</v>
      </c>
      <c r="G78" s="253">
        <v>8411</v>
      </c>
      <c r="H78" s="86">
        <v>0</v>
      </c>
      <c r="I78" s="253">
        <v>8411</v>
      </c>
    </row>
    <row r="79" spans="1:11" s="15" customFormat="1" ht="15" x14ac:dyDescent="0.2">
      <c r="A79" s="25" t="s">
        <v>486</v>
      </c>
      <c r="B79" s="46" t="s">
        <v>177</v>
      </c>
      <c r="C79" s="46" t="s">
        <v>404</v>
      </c>
      <c r="D79" s="25" t="s">
        <v>25</v>
      </c>
      <c r="E79" s="14" t="s">
        <v>23</v>
      </c>
      <c r="F79" s="46">
        <v>373</v>
      </c>
      <c r="G79" s="253">
        <v>2350</v>
      </c>
      <c r="H79" s="86">
        <v>0</v>
      </c>
      <c r="I79" s="253">
        <v>2350</v>
      </c>
    </row>
    <row r="80" spans="1:11" s="15" customFormat="1" ht="15" customHeight="1" x14ac:dyDescent="0.25">
      <c r="A80" s="338" t="s">
        <v>401</v>
      </c>
      <c r="B80" s="354" t="s">
        <v>480</v>
      </c>
      <c r="C80" s="354" t="s">
        <v>480</v>
      </c>
      <c r="D80" s="354" t="s">
        <v>480</v>
      </c>
      <c r="E80" s="354" t="s">
        <v>480</v>
      </c>
      <c r="F80" s="354" t="s">
        <v>480</v>
      </c>
      <c r="G80" s="357">
        <f>SUBTOTAL(109,localannualclaims21[Program Payments and Offsets])</f>
        <v>92808</v>
      </c>
      <c r="H80" s="87">
        <f>SUBTOTAL(109,localannualclaims21[Interest
Payments and Offsets])</f>
        <v>0</v>
      </c>
      <c r="I80" s="252">
        <f>SUBTOTAL(109,localannualclaims21[Total
Payments])</f>
        <v>92808</v>
      </c>
    </row>
    <row r="81" spans="1:9" s="15" customFormat="1" ht="15" customHeight="1" x14ac:dyDescent="0.25">
      <c r="A81" s="132" t="s">
        <v>481</v>
      </c>
      <c r="B81" s="124"/>
      <c r="C81" s="124"/>
      <c r="D81" s="124"/>
      <c r="E81" s="124"/>
      <c r="F81" s="124"/>
      <c r="G81" s="89"/>
      <c r="H81" s="127"/>
      <c r="I81" s="125"/>
    </row>
    <row r="82" spans="1:9" s="15" customFormat="1" ht="15.75" customHeight="1" x14ac:dyDescent="0.25">
      <c r="A82" s="120" t="s">
        <v>484</v>
      </c>
      <c r="B82" s="92" t="s">
        <v>9</v>
      </c>
      <c r="C82" s="120" t="s">
        <v>485</v>
      </c>
      <c r="D82" s="92" t="s">
        <v>10</v>
      </c>
      <c r="E82" s="92" t="s">
        <v>0</v>
      </c>
      <c r="F82" s="92" t="s">
        <v>393</v>
      </c>
      <c r="G82" s="135" t="s">
        <v>425</v>
      </c>
      <c r="H82" s="135" t="s">
        <v>391</v>
      </c>
      <c r="I82" s="135" t="s">
        <v>390</v>
      </c>
    </row>
    <row r="83" spans="1:9" s="15" customFormat="1" ht="15" x14ac:dyDescent="0.2">
      <c r="A83" s="30" t="s">
        <v>487</v>
      </c>
      <c r="B83" s="16" t="s">
        <v>371</v>
      </c>
      <c r="C83" s="16" t="s">
        <v>400</v>
      </c>
      <c r="D83" s="19" t="s">
        <v>40</v>
      </c>
      <c r="E83" s="75" t="s">
        <v>21</v>
      </c>
      <c r="F83" s="16">
        <v>246</v>
      </c>
      <c r="G83" s="253">
        <v>1638140</v>
      </c>
      <c r="H83" s="88">
        <v>0</v>
      </c>
      <c r="I83" s="253">
        <f>G83+H83</f>
        <v>1638140</v>
      </c>
    </row>
    <row r="84" spans="1:9" s="15" customFormat="1" ht="15" x14ac:dyDescent="0.2">
      <c r="A84" s="30" t="s">
        <v>487</v>
      </c>
      <c r="B84" s="16" t="s">
        <v>184</v>
      </c>
      <c r="C84" s="16" t="s">
        <v>400</v>
      </c>
      <c r="D84" s="19" t="s">
        <v>40</v>
      </c>
      <c r="E84" s="75" t="s">
        <v>21</v>
      </c>
      <c r="F84" s="16">
        <v>246</v>
      </c>
      <c r="G84" s="253">
        <v>230852</v>
      </c>
      <c r="H84" s="88">
        <v>0</v>
      </c>
      <c r="I84" s="253">
        <f>G84+H84</f>
        <v>230852</v>
      </c>
    </row>
    <row r="85" spans="1:9" s="15" customFormat="1" ht="15" customHeight="1" x14ac:dyDescent="0.25">
      <c r="A85" s="338" t="s">
        <v>489</v>
      </c>
      <c r="B85" s="354" t="s">
        <v>480</v>
      </c>
      <c r="C85" s="354" t="s">
        <v>480</v>
      </c>
      <c r="D85" s="354" t="s">
        <v>480</v>
      </c>
      <c r="E85" s="354" t="s">
        <v>480</v>
      </c>
      <c r="F85" s="354" t="s">
        <v>480</v>
      </c>
      <c r="G85" s="355">
        <f>SUBTOTAL(109,localmotor23[Program Payments and Offsets])</f>
        <v>1868992</v>
      </c>
      <c r="H85" s="358">
        <f>SUBTOTAL(109,localmotor23[Interest
Payments and Offsets])</f>
        <v>0</v>
      </c>
      <c r="I85" s="356">
        <f>SUBTOTAL(109,localmotor23[Total
Payments])</f>
        <v>1868992</v>
      </c>
    </row>
    <row r="86" spans="1:9" ht="15" customHeight="1" x14ac:dyDescent="0.25">
      <c r="A86" s="132" t="s">
        <v>481</v>
      </c>
      <c r="B86" s="124"/>
      <c r="C86" s="124"/>
      <c r="D86" s="124"/>
      <c r="E86" s="124"/>
      <c r="F86" s="124"/>
      <c r="G86" s="126"/>
      <c r="H86" s="127"/>
      <c r="I86" s="128"/>
    </row>
    <row r="87" spans="1:9" ht="15.75" customHeight="1" x14ac:dyDescent="0.25">
      <c r="A87" s="120" t="s">
        <v>484</v>
      </c>
      <c r="B87" s="92" t="s">
        <v>9</v>
      </c>
      <c r="C87" s="120" t="s">
        <v>485</v>
      </c>
      <c r="D87" s="92" t="s">
        <v>10</v>
      </c>
      <c r="E87" s="92" t="s">
        <v>0</v>
      </c>
      <c r="F87" s="92" t="s">
        <v>393</v>
      </c>
      <c r="G87" s="135" t="s">
        <v>425</v>
      </c>
      <c r="H87" s="135" t="s">
        <v>391</v>
      </c>
      <c r="I87" s="135" t="s">
        <v>390</v>
      </c>
    </row>
    <row r="88" spans="1:9" ht="15" customHeight="1" x14ac:dyDescent="0.2">
      <c r="A88" s="30" t="s">
        <v>487</v>
      </c>
      <c r="B88" s="16" t="s">
        <v>177</v>
      </c>
      <c r="C88" s="45" t="s">
        <v>399</v>
      </c>
      <c r="D88" s="19" t="s">
        <v>40</v>
      </c>
      <c r="E88" s="75" t="s">
        <v>21</v>
      </c>
      <c r="F88" s="45">
        <v>246</v>
      </c>
      <c r="G88" s="253">
        <v>12422</v>
      </c>
      <c r="H88" s="88">
        <v>0</v>
      </c>
      <c r="I88" s="253">
        <v>12422</v>
      </c>
    </row>
    <row r="89" spans="1:9" ht="15" x14ac:dyDescent="0.2">
      <c r="A89" s="30" t="s">
        <v>487</v>
      </c>
      <c r="B89" s="45" t="s">
        <v>22</v>
      </c>
      <c r="C89" s="45" t="s">
        <v>399</v>
      </c>
      <c r="D89" s="19" t="s">
        <v>40</v>
      </c>
      <c r="E89" s="75" t="s">
        <v>21</v>
      </c>
      <c r="F89" s="45">
        <v>246</v>
      </c>
      <c r="G89" s="253">
        <v>25761</v>
      </c>
      <c r="H89" s="88">
        <v>0</v>
      </c>
      <c r="I89" s="253">
        <v>25761</v>
      </c>
    </row>
    <row r="90" spans="1:9" ht="15" customHeight="1" x14ac:dyDescent="0.2">
      <c r="A90" s="30" t="s">
        <v>487</v>
      </c>
      <c r="B90" s="45" t="s">
        <v>2</v>
      </c>
      <c r="C90" s="45" t="s">
        <v>399</v>
      </c>
      <c r="D90" s="19" t="s">
        <v>40</v>
      </c>
      <c r="E90" s="75" t="s">
        <v>21</v>
      </c>
      <c r="F90" s="45">
        <v>246</v>
      </c>
      <c r="G90" s="253">
        <v>18873</v>
      </c>
      <c r="H90" s="88">
        <v>0</v>
      </c>
      <c r="I90" s="253">
        <v>18873</v>
      </c>
    </row>
    <row r="91" spans="1:9" ht="15.75" customHeight="1" x14ac:dyDescent="0.25">
      <c r="A91" s="108" t="s">
        <v>490</v>
      </c>
      <c r="B91" s="354" t="s">
        <v>480</v>
      </c>
      <c r="C91" s="354" t="s">
        <v>480</v>
      </c>
      <c r="D91" s="354" t="s">
        <v>480</v>
      </c>
      <c r="E91" s="354" t="s">
        <v>480</v>
      </c>
      <c r="F91" s="354" t="s">
        <v>480</v>
      </c>
      <c r="G91" s="357">
        <f>SUBTOTAL(109,localmotor21[Program Payments and Offsets])</f>
        <v>57056</v>
      </c>
      <c r="H91" s="87">
        <f>SUBTOTAL(109,localmotor21[Interest
Payments and Offsets])</f>
        <v>0</v>
      </c>
      <c r="I91" s="252">
        <f>SUBTOTAL(109,localmotor21[Total
Payments])</f>
        <v>57056</v>
      </c>
    </row>
    <row r="92" spans="1:9" ht="15" customHeight="1" x14ac:dyDescent="0.25">
      <c r="A92" s="132" t="s">
        <v>481</v>
      </c>
      <c r="B92" s="124"/>
      <c r="C92" s="124"/>
      <c r="D92" s="124"/>
      <c r="E92" s="124"/>
      <c r="F92" s="124"/>
      <c r="G92" s="89"/>
      <c r="H92" s="127"/>
      <c r="I92" s="125"/>
    </row>
    <row r="93" spans="1:9" ht="47.25" x14ac:dyDescent="0.25">
      <c r="A93" s="120" t="s">
        <v>484</v>
      </c>
      <c r="B93" s="92" t="s">
        <v>9</v>
      </c>
      <c r="C93" s="120" t="s">
        <v>485</v>
      </c>
      <c r="D93" s="92" t="s">
        <v>10</v>
      </c>
      <c r="E93" s="92" t="s">
        <v>0</v>
      </c>
      <c r="F93" s="92" t="s">
        <v>393</v>
      </c>
      <c r="G93" s="135" t="s">
        <v>425</v>
      </c>
      <c r="H93" s="135" t="s">
        <v>391</v>
      </c>
      <c r="I93" s="135" t="s">
        <v>390</v>
      </c>
    </row>
    <row r="94" spans="1:9" ht="15" x14ac:dyDescent="0.2">
      <c r="A94" s="30" t="s">
        <v>488</v>
      </c>
      <c r="B94" s="16" t="s">
        <v>397</v>
      </c>
      <c r="C94" s="16" t="s">
        <v>398</v>
      </c>
      <c r="D94" s="30" t="s">
        <v>395</v>
      </c>
      <c r="E94" s="75" t="s">
        <v>394</v>
      </c>
      <c r="F94" s="16">
        <v>121</v>
      </c>
      <c r="G94" s="18">
        <v>58657</v>
      </c>
      <c r="H94" s="88">
        <v>0</v>
      </c>
      <c r="I94" s="18">
        <f>G94+H94</f>
        <v>58657</v>
      </c>
    </row>
    <row r="95" spans="1:9" ht="15" x14ac:dyDescent="0.2">
      <c r="A95" s="30" t="s">
        <v>488</v>
      </c>
      <c r="B95" s="16" t="s">
        <v>396</v>
      </c>
      <c r="C95" s="16" t="s">
        <v>398</v>
      </c>
      <c r="D95" s="30" t="s">
        <v>395</v>
      </c>
      <c r="E95" s="75" t="s">
        <v>394</v>
      </c>
      <c r="F95" s="16">
        <v>121</v>
      </c>
      <c r="G95" s="18">
        <v>13687</v>
      </c>
      <c r="H95" s="88">
        <v>0</v>
      </c>
      <c r="I95" s="18">
        <f>G95+H95</f>
        <v>13687</v>
      </c>
    </row>
    <row r="96" spans="1:9" ht="15.75" x14ac:dyDescent="0.25">
      <c r="A96" s="108" t="s">
        <v>491</v>
      </c>
      <c r="B96" s="354" t="s">
        <v>480</v>
      </c>
      <c r="C96" s="354" t="s">
        <v>480</v>
      </c>
      <c r="D96" s="354" t="s">
        <v>480</v>
      </c>
      <c r="E96" s="354" t="s">
        <v>480</v>
      </c>
      <c r="F96" s="354" t="s">
        <v>480</v>
      </c>
      <c r="G96" s="355">
        <f>SUBTOTAL(109,localpest23[Program Payments and Offsets])</f>
        <v>72344</v>
      </c>
      <c r="H96" s="358">
        <f>SUBTOTAL(109,localpest23[Interest
Payments and Offsets])</f>
        <v>0</v>
      </c>
      <c r="I96" s="356">
        <f>SUBTOTAL(109,localpest23[Total
Payments])</f>
        <v>72344</v>
      </c>
    </row>
    <row r="97" spans="1:9" ht="15" x14ac:dyDescent="0.2">
      <c r="A97" s="132" t="s">
        <v>481</v>
      </c>
    </row>
    <row r="98" spans="1:9" ht="47.25" x14ac:dyDescent="0.25">
      <c r="A98" s="120" t="s">
        <v>484</v>
      </c>
      <c r="B98" s="92" t="s">
        <v>9</v>
      </c>
      <c r="C98" s="120" t="s">
        <v>485</v>
      </c>
      <c r="D98" s="92" t="s">
        <v>10</v>
      </c>
      <c r="E98" s="92" t="s">
        <v>0</v>
      </c>
      <c r="F98" s="92" t="s">
        <v>393</v>
      </c>
      <c r="G98" s="135" t="s">
        <v>425</v>
      </c>
      <c r="H98" s="135" t="s">
        <v>391</v>
      </c>
      <c r="I98" s="135" t="s">
        <v>390</v>
      </c>
    </row>
    <row r="99" spans="1:9" ht="15" x14ac:dyDescent="0.2">
      <c r="A99" s="25" t="s">
        <v>486</v>
      </c>
      <c r="B99" s="133" t="s">
        <v>480</v>
      </c>
      <c r="C99" s="8" t="s">
        <v>412</v>
      </c>
      <c r="D99" s="133" t="s">
        <v>480</v>
      </c>
      <c r="E99" s="133" t="s">
        <v>480</v>
      </c>
      <c r="F99" s="133" t="s">
        <v>480</v>
      </c>
      <c r="G99" s="253">
        <v>86592978</v>
      </c>
      <c r="H99" s="85">
        <v>0</v>
      </c>
      <c r="I99" s="254">
        <v>86592978</v>
      </c>
    </row>
    <row r="100" spans="1:9" ht="15" x14ac:dyDescent="0.2">
      <c r="A100" s="25" t="s">
        <v>486</v>
      </c>
      <c r="B100" s="133" t="s">
        <v>480</v>
      </c>
      <c r="C100" s="46" t="s">
        <v>412</v>
      </c>
      <c r="D100" s="133" t="s">
        <v>480</v>
      </c>
      <c r="E100" s="133" t="s">
        <v>480</v>
      </c>
      <c r="F100" s="133" t="s">
        <v>480</v>
      </c>
      <c r="G100" s="253">
        <v>8195312</v>
      </c>
      <c r="H100" s="85">
        <v>0</v>
      </c>
      <c r="I100" s="254">
        <v>8195312</v>
      </c>
    </row>
    <row r="101" spans="1:9" ht="15" x14ac:dyDescent="0.2">
      <c r="A101" s="25" t="s">
        <v>486</v>
      </c>
      <c r="B101" s="133" t="s">
        <v>480</v>
      </c>
      <c r="C101" s="46" t="s">
        <v>404</v>
      </c>
      <c r="D101" s="133" t="s">
        <v>480</v>
      </c>
      <c r="E101" s="133" t="s">
        <v>480</v>
      </c>
      <c r="F101" s="133" t="s">
        <v>480</v>
      </c>
      <c r="G101" s="253">
        <v>92808</v>
      </c>
      <c r="H101" s="85">
        <v>0</v>
      </c>
      <c r="I101" s="254">
        <v>92808</v>
      </c>
    </row>
    <row r="102" spans="1:9" ht="15" x14ac:dyDescent="0.2">
      <c r="A102" s="30" t="s">
        <v>487</v>
      </c>
      <c r="B102" s="133" t="s">
        <v>480</v>
      </c>
      <c r="C102" s="16" t="s">
        <v>400</v>
      </c>
      <c r="D102" s="133" t="s">
        <v>480</v>
      </c>
      <c r="E102" s="133" t="s">
        <v>480</v>
      </c>
      <c r="F102" s="133" t="s">
        <v>480</v>
      </c>
      <c r="G102" s="253">
        <v>1868992</v>
      </c>
      <c r="H102" s="85">
        <v>0</v>
      </c>
      <c r="I102" s="254">
        <v>1868992</v>
      </c>
    </row>
    <row r="103" spans="1:9" ht="15" x14ac:dyDescent="0.2">
      <c r="A103" s="30" t="s">
        <v>487</v>
      </c>
      <c r="B103" s="133" t="s">
        <v>480</v>
      </c>
      <c r="C103" s="45" t="s">
        <v>399</v>
      </c>
      <c r="D103" s="133" t="s">
        <v>480</v>
      </c>
      <c r="E103" s="133" t="s">
        <v>480</v>
      </c>
      <c r="F103" s="133" t="s">
        <v>480</v>
      </c>
      <c r="G103" s="253">
        <v>57056</v>
      </c>
      <c r="H103" s="85">
        <v>0</v>
      </c>
      <c r="I103" s="254">
        <v>57056</v>
      </c>
    </row>
    <row r="104" spans="1:9" ht="15" x14ac:dyDescent="0.2">
      <c r="A104" s="30" t="s">
        <v>488</v>
      </c>
      <c r="B104" s="133" t="s">
        <v>480</v>
      </c>
      <c r="C104" s="16" t="s">
        <v>398</v>
      </c>
      <c r="D104" s="133" t="s">
        <v>480</v>
      </c>
      <c r="E104" s="133" t="s">
        <v>480</v>
      </c>
      <c r="F104" s="133" t="s">
        <v>480</v>
      </c>
      <c r="G104" s="253">
        <v>72344</v>
      </c>
      <c r="H104" s="85">
        <v>0</v>
      </c>
      <c r="I104" s="254">
        <v>72344</v>
      </c>
    </row>
    <row r="105" spans="1:9" ht="15.75" x14ac:dyDescent="0.25">
      <c r="A105" s="108" t="s">
        <v>479</v>
      </c>
      <c r="B105" s="354" t="s">
        <v>480</v>
      </c>
      <c r="C105" s="354" t="s">
        <v>480</v>
      </c>
      <c r="D105" s="354" t="s">
        <v>480</v>
      </c>
      <c r="E105" s="354" t="s">
        <v>480</v>
      </c>
      <c r="F105" s="354" t="s">
        <v>480</v>
      </c>
      <c r="G105" s="357">
        <f>SUBTOTAL(109,localgrandtotala1[Program Payments and Offsets])</f>
        <v>96879490</v>
      </c>
      <c r="H105" s="358">
        <f>SUBTOTAL(109,localgrandtotala1[Interest
Payments and Offsets])</f>
        <v>0</v>
      </c>
      <c r="I105" s="356">
        <f>SUBTOTAL(109,localgrandtotala1[Total
Payments])</f>
        <v>96879490</v>
      </c>
    </row>
  </sheetData>
  <printOptions horizontalCentered="1" gridLines="1"/>
  <pageMargins left="0.25" right="0.25" top="1" bottom="0.75" header="0.3" footer="0.3"/>
  <pageSetup scale="52" firstPageNumber="2" fitToHeight="0" orientation="landscape" r:id="rId1"/>
  <headerFooter>
    <oddHeader xml:space="preserve">&amp;C&amp;"Arial,Bold"&amp;12
 </oddHeader>
    <oddFooter>&amp;L&amp;"Arial,Regular"&amp;12Schedule A1: Detail of State-Mandated Program Payments by Fiscal Year
Local Agencies&amp;R&amp;"Arial,Regular"&amp;12Page &amp;P of &amp;N</oddFooter>
  </headerFooter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zoomScale="85" zoomScaleNormal="85" zoomScalePageLayoutView="90" workbookViewId="0">
      <selection sqref="A1:I1"/>
    </sheetView>
  </sheetViews>
  <sheetFormatPr defaultRowHeight="14.25" x14ac:dyDescent="0.2"/>
  <cols>
    <col min="1" max="1" width="58.28515625" style="40" customWidth="1"/>
    <col min="2" max="2" width="11.7109375" style="41" customWidth="1"/>
    <col min="3" max="3" width="26.5703125" style="41" customWidth="1"/>
    <col min="4" max="4" width="68.28515625" style="40" customWidth="1"/>
    <col min="5" max="5" width="15.28515625" style="40" customWidth="1"/>
    <col min="6" max="6" width="12" style="41" customWidth="1"/>
    <col min="7" max="7" width="21.85546875" style="40" customWidth="1"/>
    <col min="8" max="8" width="14.5703125" style="40" customWidth="1"/>
    <col min="9" max="9" width="16.42578125" style="40" customWidth="1"/>
    <col min="10" max="16384" width="9.140625" style="40"/>
  </cols>
  <sheetData>
    <row r="1" spans="1:9" s="155" customFormat="1" ht="54" x14ac:dyDescent="0.25">
      <c r="A1" s="165" t="s">
        <v>499</v>
      </c>
      <c r="B1" s="166"/>
      <c r="C1" s="166"/>
      <c r="D1" s="167"/>
      <c r="E1" s="167"/>
      <c r="F1" s="167"/>
      <c r="G1" s="167"/>
      <c r="H1" s="167"/>
      <c r="I1" s="170"/>
    </row>
    <row r="2" spans="1:9" ht="47.25" x14ac:dyDescent="0.25">
      <c r="A2" s="122" t="s">
        <v>484</v>
      </c>
      <c r="B2" s="113" t="s">
        <v>9</v>
      </c>
      <c r="C2" s="123" t="s">
        <v>485</v>
      </c>
      <c r="D2" s="113" t="s">
        <v>10</v>
      </c>
      <c r="E2" s="113" t="s">
        <v>0</v>
      </c>
      <c r="F2" s="113" t="s">
        <v>393</v>
      </c>
      <c r="G2" s="113" t="s">
        <v>392</v>
      </c>
      <c r="H2" s="113" t="s">
        <v>391</v>
      </c>
      <c r="I2" s="81" t="s">
        <v>390</v>
      </c>
    </row>
    <row r="3" spans="1:9" s="15" customFormat="1" ht="15" x14ac:dyDescent="0.2">
      <c r="A3" s="25" t="s">
        <v>492</v>
      </c>
      <c r="B3" s="16" t="s">
        <v>371</v>
      </c>
      <c r="C3" s="16" t="s">
        <v>389</v>
      </c>
      <c r="D3" s="145" t="s">
        <v>185</v>
      </c>
      <c r="E3" s="30" t="s">
        <v>186</v>
      </c>
      <c r="F3" s="16">
        <v>250</v>
      </c>
      <c r="G3" s="253">
        <v>1000</v>
      </c>
      <c r="H3" s="88">
        <v>0</v>
      </c>
      <c r="I3" s="253">
        <v>1000</v>
      </c>
    </row>
    <row r="4" spans="1:9" s="15" customFormat="1" ht="30" x14ac:dyDescent="0.2">
      <c r="A4" s="25" t="s">
        <v>492</v>
      </c>
      <c r="B4" s="16" t="s">
        <v>371</v>
      </c>
      <c r="C4" s="16" t="s">
        <v>389</v>
      </c>
      <c r="D4" s="145" t="s">
        <v>189</v>
      </c>
      <c r="E4" s="30" t="s">
        <v>190</v>
      </c>
      <c r="F4" s="16">
        <v>172</v>
      </c>
      <c r="G4" s="253">
        <v>1000</v>
      </c>
      <c r="H4" s="88">
        <v>0</v>
      </c>
      <c r="I4" s="253">
        <v>1000</v>
      </c>
    </row>
    <row r="5" spans="1:9" s="15" customFormat="1" ht="30" x14ac:dyDescent="0.2">
      <c r="A5" s="25" t="s">
        <v>492</v>
      </c>
      <c r="B5" s="16" t="s">
        <v>371</v>
      </c>
      <c r="C5" s="16" t="s">
        <v>389</v>
      </c>
      <c r="D5" s="145" t="s">
        <v>191</v>
      </c>
      <c r="E5" s="30" t="s">
        <v>192</v>
      </c>
      <c r="F5" s="16">
        <v>11</v>
      </c>
      <c r="G5" s="253">
        <v>1000</v>
      </c>
      <c r="H5" s="88">
        <v>0</v>
      </c>
      <c r="I5" s="253">
        <v>1000</v>
      </c>
    </row>
    <row r="6" spans="1:9" s="15" customFormat="1" ht="15" x14ac:dyDescent="0.2">
      <c r="A6" s="25" t="s">
        <v>492</v>
      </c>
      <c r="B6" s="16" t="s">
        <v>371</v>
      </c>
      <c r="C6" s="16" t="s">
        <v>389</v>
      </c>
      <c r="D6" s="145" t="s">
        <v>193</v>
      </c>
      <c r="E6" s="30" t="s">
        <v>194</v>
      </c>
      <c r="F6" s="16">
        <v>313</v>
      </c>
      <c r="G6" s="253">
        <v>1000</v>
      </c>
      <c r="H6" s="88">
        <v>0</v>
      </c>
      <c r="I6" s="253">
        <v>1000</v>
      </c>
    </row>
    <row r="7" spans="1:9" s="15" customFormat="1" ht="15" x14ac:dyDescent="0.2">
      <c r="A7" s="25" t="s">
        <v>492</v>
      </c>
      <c r="B7" s="16" t="s">
        <v>371</v>
      </c>
      <c r="C7" s="16" t="s">
        <v>389</v>
      </c>
      <c r="D7" s="145" t="s">
        <v>195</v>
      </c>
      <c r="E7" s="30" t="s">
        <v>196</v>
      </c>
      <c r="F7" s="16">
        <v>330</v>
      </c>
      <c r="G7" s="253">
        <v>1000</v>
      </c>
      <c r="H7" s="88">
        <v>0</v>
      </c>
      <c r="I7" s="253">
        <v>1000</v>
      </c>
    </row>
    <row r="8" spans="1:9" s="15" customFormat="1" ht="30" x14ac:dyDescent="0.2">
      <c r="A8" s="25" t="s">
        <v>492</v>
      </c>
      <c r="B8" s="16" t="s">
        <v>371</v>
      </c>
      <c r="C8" s="16" t="s">
        <v>389</v>
      </c>
      <c r="D8" s="145" t="s">
        <v>197</v>
      </c>
      <c r="E8" s="30" t="s">
        <v>198</v>
      </c>
      <c r="F8" s="16">
        <v>272</v>
      </c>
      <c r="G8" s="253">
        <v>1000</v>
      </c>
      <c r="H8" s="88">
        <v>0</v>
      </c>
      <c r="I8" s="253">
        <v>1000</v>
      </c>
    </row>
    <row r="9" spans="1:9" s="15" customFormat="1" ht="15" x14ac:dyDescent="0.2">
      <c r="A9" s="25" t="s">
        <v>492</v>
      </c>
      <c r="B9" s="16" t="s">
        <v>371</v>
      </c>
      <c r="C9" s="16" t="s">
        <v>389</v>
      </c>
      <c r="D9" s="145" t="s">
        <v>203</v>
      </c>
      <c r="E9" s="30" t="s">
        <v>204</v>
      </c>
      <c r="F9" s="16">
        <v>209</v>
      </c>
      <c r="G9" s="253">
        <v>1000</v>
      </c>
      <c r="H9" s="88">
        <v>0</v>
      </c>
      <c r="I9" s="253">
        <v>1000</v>
      </c>
    </row>
    <row r="10" spans="1:9" s="15" customFormat="1" ht="15" x14ac:dyDescent="0.2">
      <c r="A10" s="25" t="s">
        <v>492</v>
      </c>
      <c r="B10" s="16" t="s">
        <v>371</v>
      </c>
      <c r="C10" s="16" t="s">
        <v>389</v>
      </c>
      <c r="D10" s="145" t="s">
        <v>205</v>
      </c>
      <c r="E10" s="30" t="s">
        <v>206</v>
      </c>
      <c r="F10" s="16">
        <v>183</v>
      </c>
      <c r="G10" s="253">
        <v>1000</v>
      </c>
      <c r="H10" s="88">
        <v>0</v>
      </c>
      <c r="I10" s="253">
        <v>1000</v>
      </c>
    </row>
    <row r="11" spans="1:9" s="15" customFormat="1" ht="15" x14ac:dyDescent="0.2">
      <c r="A11" s="25" t="s">
        <v>492</v>
      </c>
      <c r="B11" s="16" t="s">
        <v>371</v>
      </c>
      <c r="C11" s="16" t="s">
        <v>389</v>
      </c>
      <c r="D11" s="145" t="s">
        <v>207</v>
      </c>
      <c r="E11" s="30" t="s">
        <v>208</v>
      </c>
      <c r="F11" s="16">
        <v>192</v>
      </c>
      <c r="G11" s="253">
        <v>1000</v>
      </c>
      <c r="H11" s="88">
        <v>0</v>
      </c>
      <c r="I11" s="253">
        <v>1000</v>
      </c>
    </row>
    <row r="12" spans="1:9" s="15" customFormat="1" ht="15" x14ac:dyDescent="0.2">
      <c r="A12" s="25" t="s">
        <v>492</v>
      </c>
      <c r="B12" s="16" t="s">
        <v>371</v>
      </c>
      <c r="C12" s="16" t="s">
        <v>389</v>
      </c>
      <c r="D12" s="145" t="s">
        <v>209</v>
      </c>
      <c r="E12" s="30" t="s">
        <v>210</v>
      </c>
      <c r="F12" s="16">
        <v>297</v>
      </c>
      <c r="G12" s="253">
        <v>1000</v>
      </c>
      <c r="H12" s="88">
        <v>0</v>
      </c>
      <c r="I12" s="253">
        <v>1000</v>
      </c>
    </row>
    <row r="13" spans="1:9" s="15" customFormat="1" ht="15" x14ac:dyDescent="0.2">
      <c r="A13" s="25" t="s">
        <v>492</v>
      </c>
      <c r="B13" s="16" t="s">
        <v>371</v>
      </c>
      <c r="C13" s="16" t="s">
        <v>389</v>
      </c>
      <c r="D13" s="145" t="s">
        <v>211</v>
      </c>
      <c r="E13" s="30" t="s">
        <v>212</v>
      </c>
      <c r="F13" s="16">
        <v>166</v>
      </c>
      <c r="G13" s="253">
        <v>1000</v>
      </c>
      <c r="H13" s="88">
        <v>0</v>
      </c>
      <c r="I13" s="253">
        <v>1000</v>
      </c>
    </row>
    <row r="14" spans="1:9" s="15" customFormat="1" ht="15" x14ac:dyDescent="0.2">
      <c r="A14" s="25" t="s">
        <v>492</v>
      </c>
      <c r="B14" s="16" t="s">
        <v>371</v>
      </c>
      <c r="C14" s="16" t="s">
        <v>389</v>
      </c>
      <c r="D14" s="145" t="s">
        <v>213</v>
      </c>
      <c r="E14" s="30" t="s">
        <v>214</v>
      </c>
      <c r="F14" s="16">
        <v>32</v>
      </c>
      <c r="G14" s="253">
        <v>1000</v>
      </c>
      <c r="H14" s="88">
        <v>0</v>
      </c>
      <c r="I14" s="253">
        <v>1000</v>
      </c>
    </row>
    <row r="15" spans="1:9" s="15" customFormat="1" ht="15" x14ac:dyDescent="0.2">
      <c r="A15" s="25" t="s">
        <v>492</v>
      </c>
      <c r="B15" s="16" t="s">
        <v>371</v>
      </c>
      <c r="C15" s="16" t="s">
        <v>389</v>
      </c>
      <c r="D15" s="145" t="s">
        <v>219</v>
      </c>
      <c r="E15" s="30" t="s">
        <v>220</v>
      </c>
      <c r="F15" s="16">
        <v>153</v>
      </c>
      <c r="G15" s="253">
        <v>1000</v>
      </c>
      <c r="H15" s="88">
        <v>0</v>
      </c>
      <c r="I15" s="253">
        <v>1000</v>
      </c>
    </row>
    <row r="16" spans="1:9" s="15" customFormat="1" ht="15" x14ac:dyDescent="0.2">
      <c r="A16" s="25" t="s">
        <v>492</v>
      </c>
      <c r="B16" s="16" t="s">
        <v>371</v>
      </c>
      <c r="C16" s="16" t="s">
        <v>389</v>
      </c>
      <c r="D16" s="145" t="s">
        <v>221</v>
      </c>
      <c r="E16" s="30" t="s">
        <v>210</v>
      </c>
      <c r="F16" s="16">
        <v>48</v>
      </c>
      <c r="G16" s="253">
        <v>1000</v>
      </c>
      <c r="H16" s="88">
        <v>0</v>
      </c>
      <c r="I16" s="253">
        <v>1000</v>
      </c>
    </row>
    <row r="17" spans="1:9" s="15" customFormat="1" ht="15" x14ac:dyDescent="0.2">
      <c r="A17" s="25" t="s">
        <v>492</v>
      </c>
      <c r="B17" s="16" t="s">
        <v>371</v>
      </c>
      <c r="C17" s="16" t="s">
        <v>389</v>
      </c>
      <c r="D17" s="145" t="s">
        <v>224</v>
      </c>
      <c r="E17" s="30" t="s">
        <v>225</v>
      </c>
      <c r="F17" s="16">
        <v>374</v>
      </c>
      <c r="G17" s="253">
        <v>1000</v>
      </c>
      <c r="H17" s="88">
        <v>0</v>
      </c>
      <c r="I17" s="253">
        <v>1000</v>
      </c>
    </row>
    <row r="18" spans="1:9" s="15" customFormat="1" ht="15" x14ac:dyDescent="0.2">
      <c r="A18" s="25" t="s">
        <v>492</v>
      </c>
      <c r="B18" s="16" t="s">
        <v>371</v>
      </c>
      <c r="C18" s="16" t="s">
        <v>389</v>
      </c>
      <c r="D18" s="145" t="s">
        <v>226</v>
      </c>
      <c r="E18" s="30" t="s">
        <v>227</v>
      </c>
      <c r="F18" s="16">
        <v>171</v>
      </c>
      <c r="G18" s="253">
        <v>1000</v>
      </c>
      <c r="H18" s="88">
        <v>0</v>
      </c>
      <c r="I18" s="253">
        <v>1000</v>
      </c>
    </row>
    <row r="19" spans="1:9" s="15" customFormat="1" ht="30" x14ac:dyDescent="0.2">
      <c r="A19" s="25" t="s">
        <v>492</v>
      </c>
      <c r="B19" s="16" t="s">
        <v>371</v>
      </c>
      <c r="C19" s="16" t="s">
        <v>389</v>
      </c>
      <c r="D19" s="145" t="s">
        <v>228</v>
      </c>
      <c r="E19" s="30" t="s">
        <v>229</v>
      </c>
      <c r="F19" s="16">
        <v>258</v>
      </c>
      <c r="G19" s="253">
        <v>1000</v>
      </c>
      <c r="H19" s="88">
        <v>0</v>
      </c>
      <c r="I19" s="253">
        <v>1000</v>
      </c>
    </row>
    <row r="20" spans="1:9" s="15" customFormat="1" ht="15" x14ac:dyDescent="0.2">
      <c r="A20" s="25" t="s">
        <v>492</v>
      </c>
      <c r="B20" s="16" t="s">
        <v>371</v>
      </c>
      <c r="C20" s="16" t="s">
        <v>389</v>
      </c>
      <c r="D20" s="145" t="s">
        <v>230</v>
      </c>
      <c r="E20" s="30" t="s">
        <v>210</v>
      </c>
      <c r="F20" s="16">
        <v>260</v>
      </c>
      <c r="G20" s="253">
        <v>1000</v>
      </c>
      <c r="H20" s="88">
        <v>0</v>
      </c>
      <c r="I20" s="253">
        <v>1000</v>
      </c>
    </row>
    <row r="21" spans="1:9" s="15" customFormat="1" ht="15" x14ac:dyDescent="0.2">
      <c r="A21" s="25" t="s">
        <v>492</v>
      </c>
      <c r="B21" s="16" t="s">
        <v>371</v>
      </c>
      <c r="C21" s="16" t="s">
        <v>389</v>
      </c>
      <c r="D21" s="145" t="s">
        <v>231</v>
      </c>
      <c r="E21" s="30" t="s">
        <v>232</v>
      </c>
      <c r="F21" s="16">
        <v>367</v>
      </c>
      <c r="G21" s="253">
        <v>1000</v>
      </c>
      <c r="H21" s="88">
        <v>0</v>
      </c>
      <c r="I21" s="253">
        <v>1000</v>
      </c>
    </row>
    <row r="22" spans="1:9" s="15" customFormat="1" ht="15" x14ac:dyDescent="0.2">
      <c r="A22" s="25" t="s">
        <v>492</v>
      </c>
      <c r="B22" s="16" t="s">
        <v>371</v>
      </c>
      <c r="C22" s="16" t="s">
        <v>389</v>
      </c>
      <c r="D22" s="145" t="s">
        <v>244</v>
      </c>
      <c r="E22" s="30" t="s">
        <v>245</v>
      </c>
      <c r="F22" s="16">
        <v>346</v>
      </c>
      <c r="G22" s="253">
        <v>1000</v>
      </c>
      <c r="H22" s="88">
        <v>0</v>
      </c>
      <c r="I22" s="253">
        <v>1000</v>
      </c>
    </row>
    <row r="23" spans="1:9" s="15" customFormat="1" ht="15" x14ac:dyDescent="0.2">
      <c r="A23" s="25" t="s">
        <v>492</v>
      </c>
      <c r="B23" s="16" t="s">
        <v>371</v>
      </c>
      <c r="C23" s="16" t="s">
        <v>389</v>
      </c>
      <c r="D23" s="145" t="s">
        <v>233</v>
      </c>
      <c r="E23" s="30" t="s">
        <v>234</v>
      </c>
      <c r="F23" s="16">
        <v>351</v>
      </c>
      <c r="G23" s="253">
        <v>1000</v>
      </c>
      <c r="H23" s="129">
        <f>SUM(H3:H22)</f>
        <v>0</v>
      </c>
      <c r="I23" s="253">
        <v>1000</v>
      </c>
    </row>
    <row r="24" spans="1:9" ht="15.75" x14ac:dyDescent="0.25">
      <c r="A24" s="108" t="s">
        <v>351</v>
      </c>
      <c r="B24" s="359"/>
      <c r="C24" s="359"/>
      <c r="D24" s="359"/>
      <c r="E24" s="359"/>
      <c r="F24" s="359"/>
      <c r="G24" s="357">
        <f>SUBTOTAL(109,schoolannualclaim23[Program
Payments and
Offsets])</f>
        <v>21000</v>
      </c>
      <c r="H24" s="87">
        <f>SUBTOTAL(109,schoolannualclaim23[Interest
Payments and Offsets])</f>
        <v>0</v>
      </c>
      <c r="I24" s="252">
        <f>SUBTOTAL(109,schoolannualclaim23[Total
Payments])</f>
        <v>21000</v>
      </c>
    </row>
    <row r="25" spans="1:9" ht="15" x14ac:dyDescent="0.2">
      <c r="A25" s="149" t="s">
        <v>481</v>
      </c>
      <c r="B25" s="16"/>
      <c r="C25" s="16"/>
      <c r="D25" s="75"/>
      <c r="E25" s="75"/>
      <c r="F25" s="16"/>
      <c r="G25" s="136"/>
      <c r="H25" s="137"/>
      <c r="I25" s="138"/>
    </row>
    <row r="26" spans="1:9" ht="47.25" x14ac:dyDescent="0.25">
      <c r="A26" s="122" t="s">
        <v>484</v>
      </c>
      <c r="B26" s="113" t="s">
        <v>9</v>
      </c>
      <c r="C26" s="123" t="s">
        <v>485</v>
      </c>
      <c r="D26" s="113" t="s">
        <v>10</v>
      </c>
      <c r="E26" s="113" t="s">
        <v>0</v>
      </c>
      <c r="F26" s="113" t="s">
        <v>393</v>
      </c>
      <c r="G26" s="113" t="s">
        <v>392</v>
      </c>
      <c r="H26" s="113" t="s">
        <v>391</v>
      </c>
      <c r="I26" s="81" t="s">
        <v>390</v>
      </c>
    </row>
    <row r="27" spans="1:9" ht="15" x14ac:dyDescent="0.2">
      <c r="A27" s="25" t="s">
        <v>1</v>
      </c>
      <c r="B27" s="150" t="s">
        <v>480</v>
      </c>
      <c r="C27" s="150" t="s">
        <v>480</v>
      </c>
      <c r="D27" s="150" t="s">
        <v>480</v>
      </c>
      <c r="E27" s="150" t="s">
        <v>480</v>
      </c>
      <c r="F27" s="150" t="s">
        <v>480</v>
      </c>
      <c r="G27" s="251">
        <v>96879490</v>
      </c>
      <c r="H27" s="255">
        <v>0</v>
      </c>
      <c r="I27" s="251">
        <v>96879490</v>
      </c>
    </row>
    <row r="28" spans="1:9" ht="15" x14ac:dyDescent="0.2">
      <c r="A28" s="25" t="s">
        <v>5</v>
      </c>
      <c r="B28" s="150" t="s">
        <v>480</v>
      </c>
      <c r="C28" s="150" t="s">
        <v>480</v>
      </c>
      <c r="D28" s="150" t="s">
        <v>480</v>
      </c>
      <c r="E28" s="150" t="s">
        <v>480</v>
      </c>
      <c r="F28" s="150" t="s">
        <v>480</v>
      </c>
      <c r="G28" s="251">
        <v>21000</v>
      </c>
      <c r="H28" s="255">
        <v>0</v>
      </c>
      <c r="I28" s="251">
        <v>21000</v>
      </c>
    </row>
    <row r="29" spans="1:9" ht="18" customHeight="1" x14ac:dyDescent="0.25">
      <c r="A29" s="360" t="s">
        <v>524</v>
      </c>
      <c r="B29" s="361" t="s">
        <v>567</v>
      </c>
      <c r="C29" s="361" t="s">
        <v>480</v>
      </c>
      <c r="D29" s="361" t="s">
        <v>480</v>
      </c>
      <c r="E29" s="361" t="s">
        <v>480</v>
      </c>
      <c r="F29" s="361" t="s">
        <v>480</v>
      </c>
      <c r="G29" s="355">
        <f>SUBTOTAL(109,localschoolgrandtotala1[Program
Payments and
Offsets])</f>
        <v>96900490</v>
      </c>
      <c r="H29" s="362">
        <f>SUBTOTAL(109,localschoolgrandtotala1[Interest
Payments and Offsets])</f>
        <v>0</v>
      </c>
      <c r="I29" s="356">
        <f>SUBTOTAL(109,localschoolgrandtotala1[Total
Payments])</f>
        <v>96900490</v>
      </c>
    </row>
    <row r="30" spans="1:9" ht="15.75" customHeight="1" x14ac:dyDescent="0.2">
      <c r="A30" s="72" t="s">
        <v>568</v>
      </c>
      <c r="B30" s="282"/>
      <c r="C30" s="283"/>
      <c r="D30" s="283"/>
      <c r="E30" s="283"/>
      <c r="F30" s="283"/>
      <c r="G30" s="284"/>
      <c r="H30" s="285"/>
      <c r="I30" s="284"/>
    </row>
    <row r="31" spans="1:9" ht="18" x14ac:dyDescent="0.2">
      <c r="A31" s="134" t="s">
        <v>493</v>
      </c>
      <c r="B31" s="40"/>
      <c r="C31" s="134"/>
      <c r="D31" s="73"/>
      <c r="E31" s="73"/>
      <c r="F31" s="73"/>
      <c r="G31" s="73"/>
      <c r="H31" s="73"/>
      <c r="I31" s="73"/>
    </row>
  </sheetData>
  <hyperlinks>
    <hyperlink ref="A29" location="'Schedule A1-Schools '!A30" display="Grand Total Local Agencies and School Districts2"/>
  </hyperlinks>
  <printOptions horizontalCentered="1" gridLines="1"/>
  <pageMargins left="0.25" right="0.25" top="1" bottom="0.75" header="0.3" footer="0.3"/>
  <pageSetup scale="55" firstPageNumber="5" fitToHeight="0" orientation="landscape" r:id="rId1"/>
  <headerFooter>
    <oddHeader xml:space="preserve">&amp;C&amp;"Arial,Bold"&amp;12 </oddHeader>
    <oddFooter>&amp;L&amp;"Arial,Regular"&amp;12Schedule A1: Detail of State-Mandated Program Payments by Fiscal Year
School Districts&amp;R&amp;"Arial,Regular"&amp;12Page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R41"/>
  <sheetViews>
    <sheetView zoomScale="85" zoomScaleNormal="85" workbookViewId="0">
      <selection activeCell="O1" sqref="A1:O1"/>
    </sheetView>
  </sheetViews>
  <sheetFormatPr defaultColWidth="9.140625" defaultRowHeight="15" x14ac:dyDescent="0.2"/>
  <cols>
    <col min="1" max="1" width="93" style="82" customWidth="1"/>
    <col min="2" max="2" width="22.85546875" style="7" customWidth="1"/>
    <col min="3" max="3" width="15.5703125" style="7" customWidth="1"/>
    <col min="4" max="4" width="20.85546875" style="7" customWidth="1"/>
    <col min="5" max="5" width="25.140625" style="7" customWidth="1"/>
    <col min="6" max="6" width="2.5703125" style="220" customWidth="1"/>
    <col min="7" max="7" width="24.7109375" style="7" customWidth="1"/>
    <col min="8" max="8" width="1.7109375" style="312" customWidth="1"/>
    <col min="9" max="9" width="24.7109375" style="7" customWidth="1"/>
    <col min="10" max="10" width="1.7109375" style="312" customWidth="1"/>
    <col min="11" max="11" width="20.28515625" style="7" customWidth="1"/>
    <col min="12" max="12" width="20" style="302" bestFit="1" customWidth="1"/>
    <col min="13" max="13" width="1.7109375" style="300" customWidth="1"/>
    <col min="14" max="14" width="20" style="15" bestFit="1" customWidth="1"/>
    <col min="15" max="15" width="1.7109375" style="15" customWidth="1"/>
    <col min="16" max="16384" width="9.140625" style="15"/>
  </cols>
  <sheetData>
    <row r="1" spans="1:18" s="7" customFormat="1" ht="54" x14ac:dyDescent="0.25">
      <c r="A1" s="160" t="s">
        <v>503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71"/>
      <c r="P1" s="320"/>
      <c r="Q1" s="321"/>
      <c r="R1" s="321"/>
    </row>
    <row r="2" spans="1:18" ht="54.95" customHeight="1" x14ac:dyDescent="0.25">
      <c r="A2" s="188" t="s">
        <v>41</v>
      </c>
      <c r="B2" s="113" t="s">
        <v>9</v>
      </c>
      <c r="C2" s="191" t="s">
        <v>42</v>
      </c>
      <c r="D2" s="192" t="s">
        <v>43</v>
      </c>
      <c r="E2" s="113" t="s">
        <v>147</v>
      </c>
      <c r="F2" s="205" t="s">
        <v>564</v>
      </c>
      <c r="G2" s="113" t="s">
        <v>464</v>
      </c>
      <c r="H2" s="313" t="s">
        <v>585</v>
      </c>
      <c r="I2" s="193" t="s">
        <v>465</v>
      </c>
      <c r="J2" s="314" t="s">
        <v>587</v>
      </c>
      <c r="K2" s="113" t="s">
        <v>44</v>
      </c>
      <c r="L2" s="193" t="s">
        <v>466</v>
      </c>
      <c r="M2" s="317" t="s">
        <v>589</v>
      </c>
      <c r="N2" s="194" t="s">
        <v>467</v>
      </c>
      <c r="O2" s="322" t="s">
        <v>581</v>
      </c>
    </row>
    <row r="3" spans="1:18" ht="18" customHeight="1" x14ac:dyDescent="0.25">
      <c r="A3" s="77" t="s">
        <v>45</v>
      </c>
      <c r="B3" s="200" t="s">
        <v>480</v>
      </c>
      <c r="C3" s="200" t="s">
        <v>480</v>
      </c>
      <c r="D3" s="200" t="s">
        <v>480</v>
      </c>
      <c r="E3" s="200" t="s">
        <v>480</v>
      </c>
      <c r="F3" s="206" t="s">
        <v>569</v>
      </c>
      <c r="G3" s="200" t="s">
        <v>480</v>
      </c>
      <c r="H3" s="200" t="s">
        <v>480</v>
      </c>
      <c r="I3" s="200" t="s">
        <v>480</v>
      </c>
      <c r="J3" s="200" t="s">
        <v>480</v>
      </c>
      <c r="K3" s="200" t="s">
        <v>480</v>
      </c>
      <c r="L3" s="200" t="s">
        <v>480</v>
      </c>
      <c r="M3" s="200" t="s">
        <v>480</v>
      </c>
      <c r="N3" s="200" t="s">
        <v>480</v>
      </c>
      <c r="O3" s="301" t="s">
        <v>480</v>
      </c>
    </row>
    <row r="4" spans="1:18" ht="18" customHeight="1" x14ac:dyDescent="0.2">
      <c r="A4" s="147" t="s">
        <v>1</v>
      </c>
      <c r="B4" s="16" t="s">
        <v>373</v>
      </c>
      <c r="C4" s="16" t="s">
        <v>513</v>
      </c>
      <c r="D4" s="258">
        <v>769688505</v>
      </c>
      <c r="E4" s="258">
        <v>394928316</v>
      </c>
      <c r="F4" s="221">
        <v>1</v>
      </c>
      <c r="G4" s="258">
        <f>D4-E4</f>
        <v>374760189</v>
      </c>
      <c r="H4" s="305" t="s">
        <v>480</v>
      </c>
      <c r="I4" s="258">
        <v>77247653</v>
      </c>
      <c r="J4" s="305" t="s">
        <v>480</v>
      </c>
      <c r="K4" s="258">
        <v>68429359</v>
      </c>
      <c r="L4" s="258">
        <f>I4-K4</f>
        <v>8818294</v>
      </c>
      <c r="M4" s="305" t="s">
        <v>480</v>
      </c>
      <c r="N4" s="258">
        <f>G4-L4</f>
        <v>365941895</v>
      </c>
      <c r="O4" s="301" t="s">
        <v>480</v>
      </c>
    </row>
    <row r="5" spans="1:18" ht="15.75" x14ac:dyDescent="0.25">
      <c r="A5" s="70" t="s">
        <v>4</v>
      </c>
      <c r="B5" s="354" t="s">
        <v>480</v>
      </c>
      <c r="C5" s="354" t="s">
        <v>480</v>
      </c>
      <c r="D5" s="355">
        <f>SUBTOTAL(109,scheduleblocalfunded[Program
Costs])</f>
        <v>769688505</v>
      </c>
      <c r="E5" s="355">
        <f>SUBTOTAL(109,scheduleblocalfunded[Less: Net Payments and Offsets])</f>
        <v>394928316</v>
      </c>
      <c r="F5" s="354" t="s">
        <v>480</v>
      </c>
      <c r="G5" s="355">
        <f>SUBTOTAL(109,scheduleblocalfunded[Accounts Payable
Balance3])</f>
        <v>374760189</v>
      </c>
      <c r="H5" s="354" t="s">
        <v>480</v>
      </c>
      <c r="I5" s="355">
        <f>SUBTOTAL(109,scheduleblocalfunded[Established
Accounts
Receivable4])</f>
        <v>77247653</v>
      </c>
      <c r="J5" s="354" t="s">
        <v>480</v>
      </c>
      <c r="K5" s="355">
        <f>SUBTOTAL(109,scheduleblocalfunded[Less: Recovered
Amount])</f>
        <v>68429359</v>
      </c>
      <c r="L5" s="355">
        <f>SUBTOTAL(109,scheduleblocalfunded[Accounts
Receivable
Balance5])</f>
        <v>8818294</v>
      </c>
      <c r="M5" s="354" t="s">
        <v>480</v>
      </c>
      <c r="N5" s="355">
        <f>SUBTOTAL(109,scheduleblocalfunded[Net
Balance6])</f>
        <v>365941895</v>
      </c>
      <c r="O5" s="363" t="s">
        <v>480</v>
      </c>
    </row>
    <row r="6" spans="1:18" ht="15.75" customHeight="1" x14ac:dyDescent="0.2">
      <c r="A6" s="201" t="s">
        <v>481</v>
      </c>
      <c r="B6" s="16"/>
      <c r="C6" s="17"/>
      <c r="D6" s="18"/>
      <c r="E6" s="18"/>
      <c r="F6" s="207"/>
      <c r="G6" s="18"/>
      <c r="H6" s="306"/>
      <c r="I6" s="18"/>
      <c r="J6" s="306"/>
      <c r="K6" s="18"/>
    </row>
    <row r="7" spans="1:18" ht="54.95" customHeight="1" x14ac:dyDescent="0.25">
      <c r="A7" s="188" t="s">
        <v>41</v>
      </c>
      <c r="B7" s="113" t="s">
        <v>9</v>
      </c>
      <c r="C7" s="191" t="s">
        <v>42</v>
      </c>
      <c r="D7" s="192" t="s">
        <v>43</v>
      </c>
      <c r="E7" s="113" t="s">
        <v>147</v>
      </c>
      <c r="F7" s="256" t="s">
        <v>578</v>
      </c>
      <c r="G7" s="120" t="s">
        <v>464</v>
      </c>
      <c r="H7" s="307" t="s">
        <v>584</v>
      </c>
      <c r="I7" s="120" t="s">
        <v>561</v>
      </c>
      <c r="J7" s="315" t="s">
        <v>583</v>
      </c>
      <c r="K7" s="257" t="s">
        <v>44</v>
      </c>
      <c r="L7" s="120" t="s">
        <v>560</v>
      </c>
      <c r="M7" s="307" t="s">
        <v>588</v>
      </c>
      <c r="N7" s="120" t="s">
        <v>559</v>
      </c>
      <c r="O7" s="299" t="s">
        <v>582</v>
      </c>
    </row>
    <row r="8" spans="1:18" ht="18" customHeight="1" x14ac:dyDescent="0.25">
      <c r="A8" s="195" t="s">
        <v>46</v>
      </c>
      <c r="B8" s="196" t="s">
        <v>480</v>
      </c>
      <c r="C8" s="197" t="s">
        <v>480</v>
      </c>
      <c r="D8" s="198" t="s">
        <v>480</v>
      </c>
      <c r="E8" s="196" t="s">
        <v>480</v>
      </c>
      <c r="F8" s="208" t="s">
        <v>579</v>
      </c>
      <c r="G8" s="196" t="s">
        <v>480</v>
      </c>
      <c r="H8" s="196" t="s">
        <v>480</v>
      </c>
      <c r="I8" s="199" t="s">
        <v>480</v>
      </c>
      <c r="J8" s="199" t="s">
        <v>480</v>
      </c>
      <c r="K8" s="196" t="s">
        <v>480</v>
      </c>
      <c r="L8" s="199" t="s">
        <v>480</v>
      </c>
      <c r="M8" s="199" t="s">
        <v>480</v>
      </c>
      <c r="N8" s="199" t="s">
        <v>480</v>
      </c>
      <c r="O8" s="301" t="s">
        <v>480</v>
      </c>
    </row>
    <row r="9" spans="1:18" ht="18" customHeight="1" x14ac:dyDescent="0.2">
      <c r="A9" s="147" t="s">
        <v>5</v>
      </c>
      <c r="B9" s="16" t="s">
        <v>373</v>
      </c>
      <c r="C9" s="16" t="s">
        <v>513</v>
      </c>
      <c r="D9" s="258">
        <v>6020380383</v>
      </c>
      <c r="E9" s="258">
        <v>5313265454</v>
      </c>
      <c r="F9" s="221">
        <v>2</v>
      </c>
      <c r="G9" s="258">
        <f>D9-E9</f>
        <v>707114929</v>
      </c>
      <c r="H9" s="305" t="s">
        <v>480</v>
      </c>
      <c r="I9" s="258">
        <v>195263044</v>
      </c>
      <c r="J9" s="305" t="s">
        <v>480</v>
      </c>
      <c r="K9" s="258">
        <v>143557844</v>
      </c>
      <c r="L9" s="258">
        <f>I9-K9</f>
        <v>51705200</v>
      </c>
      <c r="M9" s="305" t="s">
        <v>480</v>
      </c>
      <c r="N9" s="258">
        <f>G9-L9</f>
        <v>655409729</v>
      </c>
      <c r="O9" s="301" t="s">
        <v>480</v>
      </c>
    </row>
    <row r="10" spans="1:18" ht="18" customHeight="1" x14ac:dyDescent="0.2">
      <c r="A10" s="147" t="s">
        <v>6</v>
      </c>
      <c r="B10" s="16" t="s">
        <v>47</v>
      </c>
      <c r="C10" s="16" t="s">
        <v>513</v>
      </c>
      <c r="D10" s="258">
        <v>162623509</v>
      </c>
      <c r="E10" s="258">
        <v>151913713</v>
      </c>
      <c r="F10" s="297">
        <v>2</v>
      </c>
      <c r="G10" s="258">
        <f>D10-E10</f>
        <v>10709796</v>
      </c>
      <c r="H10" s="305" t="s">
        <v>480</v>
      </c>
      <c r="I10" s="258">
        <v>24929129</v>
      </c>
      <c r="J10" s="305" t="s">
        <v>480</v>
      </c>
      <c r="K10" s="258">
        <v>12137711</v>
      </c>
      <c r="L10" s="258">
        <f>I10-K10</f>
        <v>12791418</v>
      </c>
      <c r="M10" s="305" t="s">
        <v>480</v>
      </c>
      <c r="N10" s="258">
        <f>G10-L10</f>
        <v>-2081622</v>
      </c>
      <c r="O10" s="301" t="s">
        <v>480</v>
      </c>
    </row>
    <row r="11" spans="1:18" ht="15.75" customHeight="1" x14ac:dyDescent="0.25">
      <c r="A11" s="70" t="s">
        <v>7</v>
      </c>
      <c r="B11" s="354" t="s">
        <v>480</v>
      </c>
      <c r="C11" s="354" t="s">
        <v>480</v>
      </c>
      <c r="D11" s="355">
        <f>SUBTOTAL(109,schedulebsdandccdfunded[Program
Costs])</f>
        <v>6183003892</v>
      </c>
      <c r="E11" s="355">
        <f>SUBTOTAL(109,schedulebsdandccdfunded[Less: Net Payments and Offsets])</f>
        <v>5465179167</v>
      </c>
      <c r="F11" s="354" t="s">
        <v>480</v>
      </c>
      <c r="G11" s="355">
        <f>SUBTOTAL(109,schedulebsdandccdfunded[Accounts Payable
Balance3])</f>
        <v>717824725</v>
      </c>
      <c r="H11" s="354" t="s">
        <v>480</v>
      </c>
      <c r="I11" s="355">
        <f>SUBTOTAL(109,schedulebsdandccdfunded[Established
Accounts
Receivable4])</f>
        <v>220192173</v>
      </c>
      <c r="J11" s="354" t="s">
        <v>480</v>
      </c>
      <c r="K11" s="355">
        <f>SUBTOTAL(109,schedulebsdandccdfunded[Less: Recovered
Amount])</f>
        <v>155695555</v>
      </c>
      <c r="L11" s="355">
        <f>SUBTOTAL(109,schedulebsdandccdfunded[Accounts
Receivable
Balance5])</f>
        <v>64496618</v>
      </c>
      <c r="M11" s="354" t="s">
        <v>480</v>
      </c>
      <c r="N11" s="355">
        <f>SUBTOTAL(109,schedulebsdandccdfunded[Net
Balance6])</f>
        <v>653328107</v>
      </c>
      <c r="O11" s="363" t="s">
        <v>480</v>
      </c>
    </row>
    <row r="12" spans="1:18" ht="18" customHeight="1" x14ac:dyDescent="0.25">
      <c r="A12" s="201" t="s">
        <v>481</v>
      </c>
      <c r="B12" s="16"/>
      <c r="C12" s="17"/>
      <c r="D12" s="91"/>
      <c r="E12" s="91"/>
      <c r="F12" s="209"/>
      <c r="G12" s="91"/>
      <c r="H12" s="271"/>
      <c r="I12" s="91"/>
      <c r="J12" s="271"/>
      <c r="K12" s="91"/>
    </row>
    <row r="13" spans="1:18" ht="54.95" customHeight="1" x14ac:dyDescent="0.25">
      <c r="A13" s="188" t="s">
        <v>41</v>
      </c>
      <c r="B13" s="113" t="s">
        <v>9</v>
      </c>
      <c r="C13" s="191" t="s">
        <v>42</v>
      </c>
      <c r="D13" s="192" t="s">
        <v>43</v>
      </c>
      <c r="E13" s="113" t="s">
        <v>147</v>
      </c>
      <c r="F13" s="256" t="s">
        <v>580</v>
      </c>
      <c r="G13" s="120" t="s">
        <v>464</v>
      </c>
      <c r="H13" s="307" t="s">
        <v>584</v>
      </c>
      <c r="I13" s="120" t="s">
        <v>561</v>
      </c>
      <c r="J13" s="315" t="s">
        <v>583</v>
      </c>
      <c r="K13" s="257" t="s">
        <v>44</v>
      </c>
      <c r="L13" s="120" t="s">
        <v>560</v>
      </c>
      <c r="M13" s="307" t="s">
        <v>588</v>
      </c>
      <c r="N13" s="120" t="s">
        <v>559</v>
      </c>
      <c r="O13" s="299" t="s">
        <v>582</v>
      </c>
    </row>
    <row r="14" spans="1:18" ht="18" customHeight="1" x14ac:dyDescent="0.2">
      <c r="A14" s="147" t="s">
        <v>1</v>
      </c>
      <c r="B14" s="46" t="s">
        <v>373</v>
      </c>
      <c r="C14" s="146" t="s">
        <v>513</v>
      </c>
      <c r="D14" s="258">
        <v>769688505</v>
      </c>
      <c r="E14" s="258">
        <v>394928316</v>
      </c>
      <c r="F14" s="210" t="s">
        <v>480</v>
      </c>
      <c r="G14" s="258">
        <v>374760189</v>
      </c>
      <c r="H14" s="305" t="s">
        <v>480</v>
      </c>
      <c r="I14" s="258">
        <v>77247653</v>
      </c>
      <c r="J14" s="305" t="s">
        <v>480</v>
      </c>
      <c r="K14" s="258">
        <v>68429359</v>
      </c>
      <c r="L14" s="258">
        <f>I14-K14</f>
        <v>8818294</v>
      </c>
      <c r="M14" s="305" t="s">
        <v>480</v>
      </c>
      <c r="N14" s="258">
        <f>G14-L14</f>
        <v>365941895</v>
      </c>
      <c r="O14" s="303" t="s">
        <v>480</v>
      </c>
    </row>
    <row r="15" spans="1:18" ht="18" customHeight="1" x14ac:dyDescent="0.2">
      <c r="A15" s="147" t="s">
        <v>5</v>
      </c>
      <c r="B15" s="46" t="s">
        <v>373</v>
      </c>
      <c r="C15" s="146" t="s">
        <v>513</v>
      </c>
      <c r="D15" s="258">
        <v>6020380383</v>
      </c>
      <c r="E15" s="258">
        <v>5313265454</v>
      </c>
      <c r="F15" s="211" t="s">
        <v>480</v>
      </c>
      <c r="G15" s="258">
        <v>707114929</v>
      </c>
      <c r="H15" s="305" t="s">
        <v>480</v>
      </c>
      <c r="I15" s="258">
        <v>195263044</v>
      </c>
      <c r="J15" s="305" t="s">
        <v>480</v>
      </c>
      <c r="K15" s="258">
        <v>143557844</v>
      </c>
      <c r="L15" s="258">
        <f>I15-K15</f>
        <v>51705200</v>
      </c>
      <c r="M15" s="305" t="s">
        <v>480</v>
      </c>
      <c r="N15" s="258">
        <f>G15-L15</f>
        <v>655409729</v>
      </c>
      <c r="O15" s="303" t="s">
        <v>480</v>
      </c>
    </row>
    <row r="16" spans="1:18" ht="15.75" customHeight="1" x14ac:dyDescent="0.2">
      <c r="A16" s="147" t="s">
        <v>6</v>
      </c>
      <c r="B16" s="46" t="s">
        <v>47</v>
      </c>
      <c r="C16" s="146" t="s">
        <v>513</v>
      </c>
      <c r="D16" s="258">
        <v>162623509</v>
      </c>
      <c r="E16" s="258">
        <v>151913713</v>
      </c>
      <c r="F16" s="210" t="s">
        <v>480</v>
      </c>
      <c r="G16" s="258">
        <v>10709796</v>
      </c>
      <c r="H16" s="305" t="s">
        <v>480</v>
      </c>
      <c r="I16" s="258">
        <v>24929129</v>
      </c>
      <c r="J16" s="305" t="s">
        <v>480</v>
      </c>
      <c r="K16" s="258">
        <v>12137711</v>
      </c>
      <c r="L16" s="258">
        <f>I16-K16</f>
        <v>12791418</v>
      </c>
      <c r="M16" s="305" t="s">
        <v>480</v>
      </c>
      <c r="N16" s="258">
        <f>G16-L16</f>
        <v>-2081622</v>
      </c>
      <c r="O16" s="303" t="s">
        <v>480</v>
      </c>
    </row>
    <row r="17" spans="1:15" ht="18" customHeight="1" x14ac:dyDescent="0.25">
      <c r="A17" s="350" t="s">
        <v>514</v>
      </c>
      <c r="B17" s="354" t="s">
        <v>576</v>
      </c>
      <c r="C17" s="364" t="s">
        <v>480</v>
      </c>
      <c r="D17" s="259">
        <f>SUBTOTAL(109,fundedmandatesgrandtotal[Program
Costs])</f>
        <v>6952692397</v>
      </c>
      <c r="E17" s="259">
        <f>SUBTOTAL(109,fundedmandatesgrandtotal[Less: Net Payments and Offsets])</f>
        <v>5860107483</v>
      </c>
      <c r="F17" s="364" t="s">
        <v>480</v>
      </c>
      <c r="G17" s="259">
        <f>SUBTOTAL(109,fundedmandatesgrandtotal[Accounts Payable
Balance3])</f>
        <v>1092584914</v>
      </c>
      <c r="H17" s="364" t="s">
        <v>480</v>
      </c>
      <c r="I17" s="259">
        <f>SUBTOTAL(109,fundedmandatesgrandtotal[Established
Accounts
Receivable4])</f>
        <v>297439826</v>
      </c>
      <c r="J17" s="364" t="s">
        <v>480</v>
      </c>
      <c r="K17" s="259">
        <f>SUBTOTAL(109,fundedmandatesgrandtotal[Less: Recovered
Amount])</f>
        <v>224124914</v>
      </c>
      <c r="L17" s="259">
        <f>SUBTOTAL(109,fundedmandatesgrandtotal[Accounts
Receivable
Balance5])</f>
        <v>73314912</v>
      </c>
      <c r="M17" s="364" t="s">
        <v>480</v>
      </c>
      <c r="N17" s="259">
        <f>SUBTOTAL(109,fundedmandatesgrandtotal[Net
Balance6])</f>
        <v>1019270002</v>
      </c>
      <c r="O17" s="365" t="s">
        <v>480</v>
      </c>
    </row>
    <row r="18" spans="1:15" ht="18" customHeight="1" x14ac:dyDescent="0.25">
      <c r="A18" s="201" t="s">
        <v>481</v>
      </c>
      <c r="B18" s="146"/>
      <c r="C18" s="146"/>
      <c r="D18" s="90"/>
      <c r="E18" s="90"/>
      <c r="F18" s="209"/>
      <c r="G18" s="90"/>
      <c r="H18" s="308"/>
      <c r="I18" s="90"/>
      <c r="J18" s="308"/>
      <c r="K18" s="90"/>
    </row>
    <row r="19" spans="1:15" ht="54.95" customHeight="1" x14ac:dyDescent="0.25">
      <c r="A19" s="188" t="s">
        <v>41</v>
      </c>
      <c r="B19" s="113" t="s">
        <v>9</v>
      </c>
      <c r="C19" s="191" t="s">
        <v>42</v>
      </c>
      <c r="D19" s="192" t="s">
        <v>43</v>
      </c>
      <c r="E19" s="113" t="s">
        <v>147</v>
      </c>
      <c r="F19" s="256" t="s">
        <v>580</v>
      </c>
      <c r="G19" s="120" t="s">
        <v>464</v>
      </c>
      <c r="H19" s="307" t="s">
        <v>584</v>
      </c>
      <c r="I19" s="120" t="s">
        <v>561</v>
      </c>
      <c r="J19" s="315" t="s">
        <v>583</v>
      </c>
      <c r="K19" s="257" t="s">
        <v>44</v>
      </c>
      <c r="L19" s="120" t="s">
        <v>560</v>
      </c>
      <c r="M19" s="318" t="s">
        <v>588</v>
      </c>
      <c r="N19" s="298" t="s">
        <v>559</v>
      </c>
      <c r="O19" s="322" t="s">
        <v>582</v>
      </c>
    </row>
    <row r="20" spans="1:15" ht="15.75" customHeight="1" x14ac:dyDescent="0.25">
      <c r="A20" s="76" t="s">
        <v>45</v>
      </c>
      <c r="B20" s="197" t="s">
        <v>480</v>
      </c>
      <c r="C20" s="197" t="s">
        <v>480</v>
      </c>
      <c r="D20" s="197" t="s">
        <v>480</v>
      </c>
      <c r="E20" s="197" t="s">
        <v>480</v>
      </c>
      <c r="F20" s="212" t="s">
        <v>480</v>
      </c>
      <c r="G20" s="197" t="s">
        <v>480</v>
      </c>
      <c r="H20" s="197" t="s">
        <v>480</v>
      </c>
      <c r="I20" s="197" t="s">
        <v>480</v>
      </c>
      <c r="J20" s="197" t="s">
        <v>480</v>
      </c>
      <c r="K20" s="197" t="s">
        <v>480</v>
      </c>
      <c r="L20" s="197" t="s">
        <v>480</v>
      </c>
      <c r="M20" s="197" t="s">
        <v>480</v>
      </c>
      <c r="N20" s="184" t="s">
        <v>480</v>
      </c>
      <c r="O20" s="301" t="s">
        <v>480</v>
      </c>
    </row>
    <row r="21" spans="1:15" ht="15.75" customHeight="1" x14ac:dyDescent="0.2">
      <c r="A21" s="74" t="s">
        <v>1</v>
      </c>
      <c r="B21" s="16" t="s">
        <v>373</v>
      </c>
      <c r="C21" s="16" t="s">
        <v>515</v>
      </c>
      <c r="D21" s="258">
        <v>405984100</v>
      </c>
      <c r="E21" s="204">
        <v>0</v>
      </c>
      <c r="F21" s="210" t="s">
        <v>480</v>
      </c>
      <c r="G21" s="258">
        <f>D21-E21</f>
        <v>405984100</v>
      </c>
      <c r="H21" s="305" t="s">
        <v>480</v>
      </c>
      <c r="I21" s="204">
        <v>0</v>
      </c>
      <c r="J21" s="316" t="s">
        <v>480</v>
      </c>
      <c r="K21" s="204">
        <v>0</v>
      </c>
      <c r="L21" s="204">
        <f>I21-K21</f>
        <v>0</v>
      </c>
      <c r="M21" s="316" t="s">
        <v>480</v>
      </c>
      <c r="N21" s="258">
        <f>G21-L21</f>
        <v>405984100</v>
      </c>
      <c r="O21" s="301" t="s">
        <v>480</v>
      </c>
    </row>
    <row r="22" spans="1:15" ht="18" customHeight="1" x14ac:dyDescent="0.25">
      <c r="A22" s="70" t="s">
        <v>4</v>
      </c>
      <c r="B22" s="354" t="s">
        <v>480</v>
      </c>
      <c r="C22" s="354" t="s">
        <v>480</v>
      </c>
      <c r="D22" s="355">
        <f>SUBTOTAL(109,scheduleblocalunfunded[Program
Costs])</f>
        <v>405984100</v>
      </c>
      <c r="E22" s="358">
        <f>SUBTOTAL(109,scheduleblocalunfunded[Less: Net Payments and Offsets])</f>
        <v>0</v>
      </c>
      <c r="F22" s="354" t="s">
        <v>480</v>
      </c>
      <c r="G22" s="355">
        <f>SUBTOTAL(109,scheduleblocalunfunded[Accounts Payable
Balance3])</f>
        <v>405984100</v>
      </c>
      <c r="H22" s="354" t="s">
        <v>480</v>
      </c>
      <c r="I22" s="358">
        <f>SUBTOTAL(109,scheduleblocalunfunded[Established
Accounts
Receivable4])</f>
        <v>0</v>
      </c>
      <c r="J22" s="354" t="s">
        <v>480</v>
      </c>
      <c r="K22" s="358">
        <f>SUBTOTAL(109,scheduleblocalunfunded[Less: Recovered
Amount])</f>
        <v>0</v>
      </c>
      <c r="L22" s="358">
        <f>SUBTOTAL(109,scheduleblocalunfunded[Accounts
Receivable
Balance5])</f>
        <v>0</v>
      </c>
      <c r="M22" s="354" t="s">
        <v>480</v>
      </c>
      <c r="N22" s="356">
        <f>SUBTOTAL(109,scheduleblocalunfunded[Net
Balance6])</f>
        <v>405984100</v>
      </c>
      <c r="O22" s="363" t="s">
        <v>480</v>
      </c>
    </row>
    <row r="23" spans="1:15" ht="15.75" x14ac:dyDescent="0.25">
      <c r="A23" s="201" t="s">
        <v>481</v>
      </c>
      <c r="B23" s="146"/>
      <c r="C23" s="146"/>
      <c r="D23" s="91"/>
      <c r="E23" s="91"/>
      <c r="F23" s="209"/>
      <c r="G23" s="91"/>
      <c r="H23" s="271"/>
      <c r="I23" s="91"/>
      <c r="J23" s="271"/>
      <c r="K23" s="91"/>
    </row>
    <row r="24" spans="1:15" ht="54.95" customHeight="1" x14ac:dyDescent="0.25">
      <c r="A24" s="188" t="s">
        <v>41</v>
      </c>
      <c r="B24" s="113" t="s">
        <v>9</v>
      </c>
      <c r="C24" s="191" t="s">
        <v>42</v>
      </c>
      <c r="D24" s="192" t="s">
        <v>43</v>
      </c>
      <c r="E24" s="113" t="s">
        <v>147</v>
      </c>
      <c r="F24" s="256" t="s">
        <v>580</v>
      </c>
      <c r="G24" s="120" t="s">
        <v>464</v>
      </c>
      <c r="H24" s="307" t="s">
        <v>584</v>
      </c>
      <c r="I24" s="120" t="s">
        <v>561</v>
      </c>
      <c r="J24" s="315" t="s">
        <v>583</v>
      </c>
      <c r="K24" s="257" t="s">
        <v>44</v>
      </c>
      <c r="L24" s="120" t="s">
        <v>560</v>
      </c>
      <c r="M24" s="307" t="s">
        <v>588</v>
      </c>
      <c r="N24" s="120" t="s">
        <v>559</v>
      </c>
      <c r="O24" s="299" t="s">
        <v>582</v>
      </c>
    </row>
    <row r="25" spans="1:15" ht="18" customHeight="1" x14ac:dyDescent="0.2">
      <c r="A25" s="202" t="s">
        <v>1</v>
      </c>
      <c r="B25" s="146" t="s">
        <v>373</v>
      </c>
      <c r="C25" s="146" t="s">
        <v>515</v>
      </c>
      <c r="D25" s="258">
        <v>405984100</v>
      </c>
      <c r="E25" s="204">
        <v>0</v>
      </c>
      <c r="F25" s="210" t="s">
        <v>480</v>
      </c>
      <c r="G25" s="258">
        <f>D25-E25</f>
        <v>405984100</v>
      </c>
      <c r="H25" s="305" t="s">
        <v>480</v>
      </c>
      <c r="I25" s="204">
        <v>0</v>
      </c>
      <c r="J25" s="316" t="s">
        <v>480</v>
      </c>
      <c r="K25" s="204">
        <v>0</v>
      </c>
      <c r="L25" s="204">
        <f>I25-K25</f>
        <v>0</v>
      </c>
      <c r="M25" s="316" t="s">
        <v>480</v>
      </c>
      <c r="N25" s="260">
        <f>G25-L25</f>
        <v>405984100</v>
      </c>
      <c r="O25" s="304" t="s">
        <v>480</v>
      </c>
    </row>
    <row r="26" spans="1:15" ht="18" customHeight="1" x14ac:dyDescent="0.25">
      <c r="A26" s="353" t="s">
        <v>525</v>
      </c>
      <c r="B26" s="351" t="s">
        <v>577</v>
      </c>
      <c r="C26" s="351" t="s">
        <v>480</v>
      </c>
      <c r="D26" s="355">
        <f>SUBTOTAL(109,schedulebunfunded[Program
Costs])</f>
        <v>405984100</v>
      </c>
      <c r="E26" s="358">
        <f>SUBTOTAL(109,schedulebunfunded[Less: Net Payments and Offsets])</f>
        <v>0</v>
      </c>
      <c r="F26" s="351" t="s">
        <v>480</v>
      </c>
      <c r="G26" s="355">
        <f>SUBTOTAL(109,schedulebunfunded[Accounts Payable
Balance3])</f>
        <v>405984100</v>
      </c>
      <c r="H26" s="351" t="s">
        <v>480</v>
      </c>
      <c r="I26" s="358">
        <f>SUBTOTAL(109,schedulebunfunded[Established
Accounts
Receivable4])</f>
        <v>0</v>
      </c>
      <c r="J26" s="351" t="s">
        <v>480</v>
      </c>
      <c r="K26" s="358">
        <f>SUBTOTAL(109,schedulebunfunded[Less: Recovered
Amount])</f>
        <v>0</v>
      </c>
      <c r="L26" s="358">
        <f>SUBTOTAL(109,schedulebunfunded[Accounts
Receivable
Balance5])</f>
        <v>0</v>
      </c>
      <c r="M26" s="351" t="s">
        <v>480</v>
      </c>
      <c r="N26" s="356">
        <f>SUBTOTAL(109,schedulebunfunded[Net
Balance6])</f>
        <v>405984100</v>
      </c>
      <c r="O26" s="368" t="s">
        <v>480</v>
      </c>
    </row>
    <row r="27" spans="1:15" ht="18" customHeight="1" x14ac:dyDescent="0.25">
      <c r="A27" s="203" t="s">
        <v>481</v>
      </c>
      <c r="B27" s="71"/>
      <c r="C27" s="71"/>
      <c r="D27" s="71"/>
      <c r="E27" s="71"/>
      <c r="F27" s="213"/>
      <c r="G27" s="71"/>
      <c r="H27" s="197"/>
      <c r="I27" s="71"/>
      <c r="J27" s="197"/>
      <c r="K27" s="71"/>
    </row>
    <row r="28" spans="1:15" ht="54.95" customHeight="1" x14ac:dyDescent="0.25">
      <c r="A28" s="188" t="s">
        <v>41</v>
      </c>
      <c r="B28" s="113" t="s">
        <v>9</v>
      </c>
      <c r="C28" s="191" t="s">
        <v>42</v>
      </c>
      <c r="D28" s="192" t="s">
        <v>43</v>
      </c>
      <c r="E28" s="113" t="s">
        <v>147</v>
      </c>
      <c r="F28" s="256" t="s">
        <v>580</v>
      </c>
      <c r="G28" s="120" t="s">
        <v>464</v>
      </c>
      <c r="H28" s="307" t="s">
        <v>584</v>
      </c>
      <c r="I28" s="120" t="s">
        <v>561</v>
      </c>
      <c r="J28" s="315" t="s">
        <v>583</v>
      </c>
      <c r="K28" s="257" t="s">
        <v>44</v>
      </c>
      <c r="L28" s="120" t="s">
        <v>560</v>
      </c>
      <c r="M28" s="307" t="s">
        <v>588</v>
      </c>
      <c r="N28" s="120" t="s">
        <v>559</v>
      </c>
      <c r="O28" s="299" t="s">
        <v>582</v>
      </c>
    </row>
    <row r="29" spans="1:15" ht="17.25" customHeight="1" x14ac:dyDescent="0.25">
      <c r="A29" s="202" t="s">
        <v>1</v>
      </c>
      <c r="B29" s="133" t="s">
        <v>480</v>
      </c>
      <c r="C29" s="133" t="s">
        <v>480</v>
      </c>
      <c r="D29" s="18">
        <v>1175672605</v>
      </c>
      <c r="E29" s="258">
        <v>394928316</v>
      </c>
      <c r="F29" s="212" t="s">
        <v>480</v>
      </c>
      <c r="G29" s="258">
        <v>780744289</v>
      </c>
      <c r="H29" s="305" t="s">
        <v>480</v>
      </c>
      <c r="I29" s="258">
        <v>77247653</v>
      </c>
      <c r="J29" s="305" t="s">
        <v>480</v>
      </c>
      <c r="K29" s="258">
        <v>68429359</v>
      </c>
      <c r="L29" s="258">
        <f>I29-K29</f>
        <v>8818294</v>
      </c>
      <c r="M29" s="305" t="s">
        <v>480</v>
      </c>
      <c r="N29" s="258">
        <f>G29-L29</f>
        <v>771925995</v>
      </c>
      <c r="O29" s="303" t="s">
        <v>480</v>
      </c>
    </row>
    <row r="30" spans="1:15" ht="17.25" customHeight="1" x14ac:dyDescent="0.2">
      <c r="A30" s="202" t="s">
        <v>516</v>
      </c>
      <c r="B30" s="133" t="s">
        <v>480</v>
      </c>
      <c r="C30" s="133" t="s">
        <v>480</v>
      </c>
      <c r="D30" s="258">
        <v>6020380383</v>
      </c>
      <c r="E30" s="258">
        <v>5313265454</v>
      </c>
      <c r="F30" s="211" t="s">
        <v>480</v>
      </c>
      <c r="G30" s="258">
        <v>707114929</v>
      </c>
      <c r="H30" s="305" t="s">
        <v>480</v>
      </c>
      <c r="I30" s="258">
        <v>195263044</v>
      </c>
      <c r="J30" s="305" t="s">
        <v>480</v>
      </c>
      <c r="K30" s="258">
        <v>143557844</v>
      </c>
      <c r="L30" s="258">
        <f>I30-K30</f>
        <v>51705200</v>
      </c>
      <c r="M30" s="305" t="s">
        <v>480</v>
      </c>
      <c r="N30" s="258">
        <f>G30-L30</f>
        <v>655409729</v>
      </c>
      <c r="O30" s="303" t="s">
        <v>480</v>
      </c>
    </row>
    <row r="31" spans="1:15" ht="17.25" customHeight="1" x14ac:dyDescent="0.2">
      <c r="A31" s="202" t="s">
        <v>6</v>
      </c>
      <c r="B31" s="133" t="s">
        <v>480</v>
      </c>
      <c r="C31" s="133" t="s">
        <v>480</v>
      </c>
      <c r="D31" s="258">
        <v>162623509</v>
      </c>
      <c r="E31" s="258">
        <v>151913713</v>
      </c>
      <c r="F31" s="210" t="s">
        <v>480</v>
      </c>
      <c r="G31" s="258">
        <v>10709796</v>
      </c>
      <c r="H31" s="305" t="s">
        <v>480</v>
      </c>
      <c r="I31" s="258">
        <v>24929129</v>
      </c>
      <c r="J31" s="305" t="s">
        <v>480</v>
      </c>
      <c r="K31" s="258">
        <v>12137711</v>
      </c>
      <c r="L31" s="258">
        <f>I31-K31</f>
        <v>12791418</v>
      </c>
      <c r="M31" s="305" t="s">
        <v>480</v>
      </c>
      <c r="N31" s="258">
        <f>G31-L31</f>
        <v>-2081622</v>
      </c>
      <c r="O31" s="303" t="s">
        <v>480</v>
      </c>
    </row>
    <row r="32" spans="1:15" ht="17.25" customHeight="1" x14ac:dyDescent="0.25">
      <c r="A32" s="70" t="s">
        <v>8</v>
      </c>
      <c r="B32" s="366" t="s">
        <v>480</v>
      </c>
      <c r="C32" s="366" t="s">
        <v>480</v>
      </c>
      <c r="D32" s="355">
        <f>SUBTOTAL(109,schedulebgrandtotal[Program
Costs])</f>
        <v>7358676497</v>
      </c>
      <c r="E32" s="259">
        <f>SUBTOTAL(109,schedulebgrandtotal[Less: Net Payments and Offsets])</f>
        <v>5860107483</v>
      </c>
      <c r="F32" s="366" t="s">
        <v>480</v>
      </c>
      <c r="G32" s="259">
        <f>SUBTOTAL(109,schedulebgrandtotal[Accounts Payable
Balance3])</f>
        <v>1498569014</v>
      </c>
      <c r="H32" s="366" t="s">
        <v>480</v>
      </c>
      <c r="I32" s="259">
        <f>SUBTOTAL(109,schedulebgrandtotal[Established
Accounts
Receivable4])</f>
        <v>297439826</v>
      </c>
      <c r="J32" s="366" t="s">
        <v>480</v>
      </c>
      <c r="K32" s="259">
        <f>SUBTOTAL(109,schedulebgrandtotal[Less: Recovered
Amount])</f>
        <v>224124914</v>
      </c>
      <c r="L32" s="259">
        <f>SUBTOTAL(109,schedulebgrandtotal[Accounts
Receivable
Balance5])</f>
        <v>73314912</v>
      </c>
      <c r="M32" s="366" t="s">
        <v>480</v>
      </c>
      <c r="N32" s="259">
        <f>SUBTOTAL(109,schedulebgrandtotal[Net
Balance6])</f>
        <v>1425254102</v>
      </c>
      <c r="O32" s="367" t="s">
        <v>480</v>
      </c>
    </row>
    <row r="33" spans="1:15" ht="17.25" customHeight="1" x14ac:dyDescent="0.2">
      <c r="A33" s="202" t="s">
        <v>586</v>
      </c>
      <c r="B33" s="133"/>
      <c r="C33" s="133"/>
      <c r="D33" s="290"/>
      <c r="E33" s="258"/>
      <c r="F33" s="214"/>
      <c r="G33" s="258"/>
      <c r="H33" s="305"/>
      <c r="I33" s="258"/>
      <c r="J33" s="305"/>
      <c r="K33" s="258"/>
      <c r="L33" s="258"/>
      <c r="M33" s="305"/>
      <c r="N33" s="258"/>
      <c r="O33" s="303"/>
    </row>
    <row r="34" spans="1:15" ht="17.25" customHeight="1" x14ac:dyDescent="0.2">
      <c r="A34" s="202" t="s">
        <v>498</v>
      </c>
      <c r="B34" s="133"/>
      <c r="C34" s="133"/>
      <c r="D34" s="18"/>
      <c r="E34" s="258"/>
      <c r="F34" s="215"/>
      <c r="G34" s="258"/>
      <c r="H34" s="305"/>
      <c r="I34" s="258"/>
      <c r="J34" s="305"/>
      <c r="K34" s="258"/>
    </row>
    <row r="35" spans="1:15" ht="18" x14ac:dyDescent="0.2">
      <c r="A35" s="202" t="s">
        <v>517</v>
      </c>
      <c r="B35" s="133"/>
      <c r="C35" s="133"/>
      <c r="D35" s="296"/>
      <c r="E35" s="258"/>
      <c r="F35" s="216"/>
      <c r="G35" s="258"/>
      <c r="H35" s="305"/>
      <c r="I35" s="258"/>
      <c r="J35" s="305"/>
      <c r="K35" s="258"/>
    </row>
    <row r="36" spans="1:15" ht="18" x14ac:dyDescent="0.2">
      <c r="A36" s="74" t="s">
        <v>518</v>
      </c>
      <c r="B36" s="75"/>
      <c r="C36" s="75"/>
      <c r="D36" s="75"/>
      <c r="E36" s="75"/>
      <c r="F36" s="217"/>
      <c r="G36" s="75"/>
      <c r="H36" s="309"/>
      <c r="I36" s="75"/>
      <c r="J36" s="309"/>
      <c r="K36" s="75"/>
    </row>
    <row r="37" spans="1:15" ht="18" x14ac:dyDescent="0.2">
      <c r="A37" s="74" t="s">
        <v>519</v>
      </c>
      <c r="B37" s="75"/>
      <c r="C37" s="75"/>
      <c r="D37" s="75"/>
      <c r="E37" s="75"/>
      <c r="F37" s="217"/>
      <c r="G37" s="75"/>
      <c r="H37" s="309"/>
      <c r="I37" s="75"/>
      <c r="J37" s="309"/>
      <c r="K37" s="75"/>
    </row>
    <row r="38" spans="1:15" ht="18" x14ac:dyDescent="0.2">
      <c r="A38" s="74" t="s">
        <v>523</v>
      </c>
      <c r="B38" s="79"/>
      <c r="C38" s="79"/>
      <c r="D38" s="79"/>
      <c r="E38" s="79"/>
      <c r="F38" s="218"/>
      <c r="G38" s="79"/>
      <c r="H38" s="310"/>
      <c r="I38" s="79"/>
      <c r="J38" s="310"/>
      <c r="K38" s="79"/>
    </row>
    <row r="39" spans="1:15" ht="18" x14ac:dyDescent="0.2">
      <c r="A39" s="74" t="s">
        <v>522</v>
      </c>
      <c r="B39" s="75"/>
      <c r="C39" s="75"/>
      <c r="D39" s="75"/>
      <c r="E39" s="75"/>
      <c r="F39" s="217"/>
      <c r="G39" s="75"/>
      <c r="H39" s="309"/>
      <c r="I39" s="75"/>
      <c r="J39" s="309"/>
      <c r="K39" s="75"/>
    </row>
    <row r="40" spans="1:15" ht="18" x14ac:dyDescent="0.2">
      <c r="A40" s="74" t="s">
        <v>521</v>
      </c>
      <c r="B40" s="79"/>
      <c r="C40" s="79"/>
      <c r="D40" s="79"/>
      <c r="E40" s="79"/>
      <c r="F40" s="218"/>
      <c r="G40" s="79"/>
      <c r="H40" s="310"/>
      <c r="I40" s="79"/>
      <c r="J40" s="310"/>
      <c r="K40" s="79"/>
    </row>
    <row r="41" spans="1:15" ht="18" x14ac:dyDescent="0.2">
      <c r="A41" s="74" t="s">
        <v>520</v>
      </c>
      <c r="B41" s="80"/>
      <c r="C41" s="80"/>
      <c r="D41" s="80"/>
      <c r="E41" s="80"/>
      <c r="F41" s="219"/>
      <c r="G41" s="80"/>
      <c r="H41" s="311"/>
      <c r="I41" s="80"/>
      <c r="J41" s="311"/>
      <c r="K41" s="80"/>
    </row>
  </sheetData>
  <hyperlinks>
    <hyperlink ref="G2" location="'Schedule B-Summary'!A33" display="'Schedule B-Summary'!A33"/>
    <hyperlink ref="I2" location="'Schedule B-Summary'!A33" tooltip="This hyperlink will take you to the referenced footnote-footnote 4" display="'Schedule B-Summary'!A33"/>
    <hyperlink ref="L2" location="'Schedule B-Summary'!A33" tooltip="This hyperlink will take you to the referenced footnote-footnote 5" display="'Schedule B-Summary'!A33"/>
    <hyperlink ref="N2" location="'Schedule B-Summary'!A33" tooltip="This hyperlink will take you to the referenced footnote-footnote 6" display="'Schedule B-Summary'!A33"/>
    <hyperlink ref="A17" location="'Schedule B-Summary'!A33" tooltip="This hyperlink will take you to the referenced footnote-footnote 7" display="Total Schedule B1: Funded Mandates 7"/>
    <hyperlink ref="F4" location="'Schedule B-Summary'!A33" display="'Schedule B-Summary'!A33"/>
    <hyperlink ref="F9" location="'Schedule B-Summary'!A33" display="'Schedule B-Summary'!A33"/>
    <hyperlink ref="A26" location="'Schedule B-Summary'!A33" display="Total Schedule B2: Unfunded Mandates7, 8"/>
  </hyperlinks>
  <printOptions horizontalCentered="1" gridLines="1"/>
  <pageMargins left="0.3" right="0.3" top="1" bottom="0.75" header="0.3" footer="0.3"/>
  <pageSetup scale="45" firstPageNumber="6" fitToHeight="0" orientation="landscape" r:id="rId1"/>
  <headerFooter>
    <oddFooter>&amp;L&amp;"Arial,Regular"&amp;12Schedule B: Summary of Funded and Unfunded State-Mandated Programs&amp;R&amp;"Arial,Regular"&amp;12Page &amp;P of &amp;N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L185"/>
  <sheetViews>
    <sheetView topLeftCell="A163" zoomScale="85" zoomScaleNormal="85" workbookViewId="0">
      <selection activeCell="B188" sqref="B188"/>
    </sheetView>
  </sheetViews>
  <sheetFormatPr defaultColWidth="9.140625" defaultRowHeight="15.75" x14ac:dyDescent="0.25"/>
  <cols>
    <col min="1" max="1" width="43.42578125" style="2" customWidth="1"/>
    <col min="2" max="2" width="19" style="3" customWidth="1"/>
    <col min="3" max="3" width="15" style="4" customWidth="1"/>
    <col min="4" max="4" width="12.5703125" style="2" customWidth="1"/>
    <col min="5" max="5" width="17.7109375" style="2" customWidth="1"/>
    <col min="6" max="6" width="18.28515625" style="5" customWidth="1"/>
    <col min="7" max="7" width="1.7109375" style="289" customWidth="1"/>
    <col min="8" max="8" width="20.7109375" style="5" customWidth="1"/>
    <col min="9" max="9" width="22.140625" style="6" customWidth="1"/>
    <col min="10" max="10" width="20.85546875" style="6" customWidth="1"/>
    <col min="11" max="11" width="20.85546875" style="5" customWidth="1"/>
    <col min="12" max="12" width="18.85546875" style="37" customWidth="1"/>
    <col min="13" max="16384" width="9.140625" style="37"/>
  </cols>
  <sheetData>
    <row r="1" spans="1:12" s="159" customFormat="1" ht="54" x14ac:dyDescent="0.25">
      <c r="A1" s="160" t="s">
        <v>494</v>
      </c>
      <c r="B1" s="373"/>
      <c r="C1" s="374"/>
      <c r="D1" s="374"/>
      <c r="E1" s="374"/>
      <c r="F1" s="375"/>
      <c r="G1" s="376"/>
      <c r="H1" s="376"/>
      <c r="I1" s="375"/>
      <c r="J1" s="375"/>
      <c r="K1" s="375"/>
      <c r="L1" s="377"/>
    </row>
    <row r="2" spans="1:12" ht="47.25" customHeight="1" x14ac:dyDescent="0.25">
      <c r="A2" s="123" t="s">
        <v>10</v>
      </c>
      <c r="B2" s="123" t="s">
        <v>0</v>
      </c>
      <c r="C2" s="123" t="s">
        <v>48</v>
      </c>
      <c r="D2" s="122" t="s">
        <v>9</v>
      </c>
      <c r="E2" s="179" t="s">
        <v>43</v>
      </c>
      <c r="F2" s="180" t="s">
        <v>510</v>
      </c>
      <c r="G2" s="286" t="s">
        <v>569</v>
      </c>
      <c r="H2" s="179" t="s">
        <v>495</v>
      </c>
      <c r="I2" s="179" t="s">
        <v>496</v>
      </c>
      <c r="J2" s="179" t="s">
        <v>50</v>
      </c>
      <c r="K2" s="179" t="s">
        <v>497</v>
      </c>
      <c r="L2" s="181" t="s">
        <v>49</v>
      </c>
    </row>
    <row r="3" spans="1:12" x14ac:dyDescent="0.25">
      <c r="A3" s="145" t="s">
        <v>40</v>
      </c>
      <c r="B3" s="67" t="s">
        <v>21</v>
      </c>
      <c r="C3" s="146">
        <v>246</v>
      </c>
      <c r="D3" s="146" t="s">
        <v>371</v>
      </c>
      <c r="E3" s="262">
        <v>2070916</v>
      </c>
      <c r="F3" s="262">
        <v>1638140</v>
      </c>
      <c r="G3" s="287" t="s">
        <v>480</v>
      </c>
      <c r="H3" s="262">
        <v>432776</v>
      </c>
      <c r="I3" s="151">
        <v>0</v>
      </c>
      <c r="J3" s="151">
        <v>0</v>
      </c>
      <c r="K3" s="151">
        <v>0</v>
      </c>
      <c r="L3" s="262">
        <v>432776</v>
      </c>
    </row>
    <row r="4" spans="1:12" x14ac:dyDescent="0.25">
      <c r="A4" s="145" t="s">
        <v>35</v>
      </c>
      <c r="B4" s="67" t="s">
        <v>20</v>
      </c>
      <c r="C4" s="146">
        <v>90</v>
      </c>
      <c r="D4" s="146" t="s">
        <v>371</v>
      </c>
      <c r="E4" s="262">
        <v>565519</v>
      </c>
      <c r="F4" s="262">
        <v>421741</v>
      </c>
      <c r="G4" s="287" t="s">
        <v>480</v>
      </c>
      <c r="H4" s="262">
        <v>143778</v>
      </c>
      <c r="I4" s="151">
        <v>0</v>
      </c>
      <c r="J4" s="151">
        <v>0</v>
      </c>
      <c r="K4" s="151">
        <v>0</v>
      </c>
      <c r="L4" s="262">
        <v>143778</v>
      </c>
    </row>
    <row r="5" spans="1:12" ht="30.75" x14ac:dyDescent="0.25">
      <c r="A5" s="145" t="s">
        <v>26</v>
      </c>
      <c r="B5" s="67" t="s">
        <v>11</v>
      </c>
      <c r="C5" s="146">
        <v>262</v>
      </c>
      <c r="D5" s="146" t="s">
        <v>371</v>
      </c>
      <c r="E5" s="262">
        <v>234162</v>
      </c>
      <c r="F5" s="262">
        <v>207590</v>
      </c>
      <c r="G5" s="287" t="s">
        <v>480</v>
      </c>
      <c r="H5" s="262">
        <v>26572</v>
      </c>
      <c r="I5" s="151">
        <v>0</v>
      </c>
      <c r="J5" s="151">
        <v>0</v>
      </c>
      <c r="K5" s="151">
        <v>0</v>
      </c>
      <c r="L5" s="262">
        <v>26572</v>
      </c>
    </row>
    <row r="6" spans="1:12" ht="30.75" x14ac:dyDescent="0.25">
      <c r="A6" s="145" t="s">
        <v>27</v>
      </c>
      <c r="B6" s="67" t="s">
        <v>12</v>
      </c>
      <c r="C6" s="146">
        <v>167</v>
      </c>
      <c r="D6" s="146" t="s">
        <v>371</v>
      </c>
      <c r="E6" s="262">
        <v>10342958</v>
      </c>
      <c r="F6" s="262">
        <v>10285669</v>
      </c>
      <c r="G6" s="287" t="s">
        <v>480</v>
      </c>
      <c r="H6" s="262">
        <v>57289</v>
      </c>
      <c r="I6" s="151">
        <v>0</v>
      </c>
      <c r="J6" s="151">
        <v>0</v>
      </c>
      <c r="K6" s="151">
        <v>0</v>
      </c>
      <c r="L6" s="262">
        <v>57289</v>
      </c>
    </row>
    <row r="7" spans="1:12" ht="30.75" x14ac:dyDescent="0.25">
      <c r="A7" s="145" t="s">
        <v>180</v>
      </c>
      <c r="B7" s="67" t="s">
        <v>182</v>
      </c>
      <c r="C7" s="146">
        <v>197</v>
      </c>
      <c r="D7" s="146" t="s">
        <v>371</v>
      </c>
      <c r="E7" s="262">
        <v>2215244</v>
      </c>
      <c r="F7" s="262">
        <v>2011961</v>
      </c>
      <c r="G7" s="287" t="s">
        <v>480</v>
      </c>
      <c r="H7" s="262">
        <v>203283</v>
      </c>
      <c r="I7" s="151">
        <v>0</v>
      </c>
      <c r="J7" s="151">
        <v>0</v>
      </c>
      <c r="K7" s="151">
        <v>0</v>
      </c>
      <c r="L7" s="262">
        <v>203283</v>
      </c>
    </row>
    <row r="8" spans="1:12" ht="30.75" x14ac:dyDescent="0.25">
      <c r="A8" s="145" t="s">
        <v>29</v>
      </c>
      <c r="B8" s="67" t="s">
        <v>14</v>
      </c>
      <c r="C8" s="146">
        <v>371</v>
      </c>
      <c r="D8" s="146" t="s">
        <v>371</v>
      </c>
      <c r="E8" s="262">
        <v>289188</v>
      </c>
      <c r="F8" s="262">
        <v>10080</v>
      </c>
      <c r="G8" s="287" t="s">
        <v>480</v>
      </c>
      <c r="H8" s="262">
        <v>279108</v>
      </c>
      <c r="I8" s="151">
        <v>0</v>
      </c>
      <c r="J8" s="151">
        <v>0</v>
      </c>
      <c r="K8" s="151">
        <v>0</v>
      </c>
      <c r="L8" s="262">
        <v>279108</v>
      </c>
    </row>
    <row r="9" spans="1:12" x14ac:dyDescent="0.25">
      <c r="A9" s="145" t="s">
        <v>30</v>
      </c>
      <c r="B9" s="67" t="s">
        <v>15</v>
      </c>
      <c r="C9" s="146">
        <v>334</v>
      </c>
      <c r="D9" s="146" t="s">
        <v>371</v>
      </c>
      <c r="E9" s="262">
        <v>14515</v>
      </c>
      <c r="F9" s="262">
        <v>11000</v>
      </c>
      <c r="G9" s="287" t="s">
        <v>480</v>
      </c>
      <c r="H9" s="262">
        <v>3515</v>
      </c>
      <c r="I9" s="151">
        <v>0</v>
      </c>
      <c r="J9" s="151">
        <v>0</v>
      </c>
      <c r="K9" s="151">
        <v>0</v>
      </c>
      <c r="L9" s="262">
        <v>3515</v>
      </c>
    </row>
    <row r="10" spans="1:12" x14ac:dyDescent="0.25">
      <c r="A10" s="145" t="s">
        <v>31</v>
      </c>
      <c r="B10" s="67" t="s">
        <v>16</v>
      </c>
      <c r="C10" s="146">
        <v>43</v>
      </c>
      <c r="D10" s="146" t="s">
        <v>371</v>
      </c>
      <c r="E10" s="262">
        <v>13290</v>
      </c>
      <c r="F10" s="262">
        <v>8724</v>
      </c>
      <c r="G10" s="287" t="s">
        <v>480</v>
      </c>
      <c r="H10" s="262">
        <v>4566</v>
      </c>
      <c r="I10" s="151">
        <v>0</v>
      </c>
      <c r="J10" s="151">
        <v>0</v>
      </c>
      <c r="K10" s="151">
        <v>0</v>
      </c>
      <c r="L10" s="262">
        <v>4566</v>
      </c>
    </row>
    <row r="11" spans="1:12" x14ac:dyDescent="0.25">
      <c r="A11" s="145" t="s">
        <v>365</v>
      </c>
      <c r="B11" s="67" t="s">
        <v>366</v>
      </c>
      <c r="C11" s="146">
        <v>361</v>
      </c>
      <c r="D11" s="146" t="s">
        <v>371</v>
      </c>
      <c r="E11" s="262">
        <v>7816</v>
      </c>
      <c r="F11" s="151">
        <v>0</v>
      </c>
      <c r="G11" s="287" t="s">
        <v>480</v>
      </c>
      <c r="H11" s="262">
        <v>7816</v>
      </c>
      <c r="I11" s="151">
        <v>0</v>
      </c>
      <c r="J11" s="151">
        <v>0</v>
      </c>
      <c r="K11" s="151">
        <v>0</v>
      </c>
      <c r="L11" s="262">
        <v>7816</v>
      </c>
    </row>
    <row r="12" spans="1:12" ht="30.75" x14ac:dyDescent="0.25">
      <c r="A12" s="145" t="s">
        <v>25</v>
      </c>
      <c r="B12" s="67" t="s">
        <v>23</v>
      </c>
      <c r="C12" s="146">
        <v>373</v>
      </c>
      <c r="D12" s="146" t="s">
        <v>371</v>
      </c>
      <c r="E12" s="262">
        <v>671446</v>
      </c>
      <c r="F12" s="262">
        <v>489114</v>
      </c>
      <c r="G12" s="287" t="s">
        <v>480</v>
      </c>
      <c r="H12" s="262">
        <v>182332</v>
      </c>
      <c r="I12" s="151">
        <v>0</v>
      </c>
      <c r="J12" s="151">
        <v>0</v>
      </c>
      <c r="K12" s="151">
        <v>0</v>
      </c>
      <c r="L12" s="262">
        <v>182332</v>
      </c>
    </row>
    <row r="13" spans="1:12" ht="30.75" x14ac:dyDescent="0.25">
      <c r="A13" s="145" t="s">
        <v>32</v>
      </c>
      <c r="B13" s="67" t="s">
        <v>17</v>
      </c>
      <c r="C13" s="146">
        <v>264</v>
      </c>
      <c r="D13" s="146" t="s">
        <v>371</v>
      </c>
      <c r="E13" s="262">
        <v>940144</v>
      </c>
      <c r="F13" s="262">
        <v>868044</v>
      </c>
      <c r="G13" s="287" t="s">
        <v>480</v>
      </c>
      <c r="H13" s="262">
        <v>72100</v>
      </c>
      <c r="I13" s="151">
        <v>0</v>
      </c>
      <c r="J13" s="151">
        <v>0</v>
      </c>
      <c r="K13" s="151">
        <v>0</v>
      </c>
      <c r="L13" s="262">
        <v>72100</v>
      </c>
    </row>
    <row r="14" spans="1:12" x14ac:dyDescent="0.25">
      <c r="A14" s="145" t="s">
        <v>51</v>
      </c>
      <c r="B14" s="67" t="s">
        <v>52</v>
      </c>
      <c r="C14" s="146">
        <v>187</v>
      </c>
      <c r="D14" s="146" t="s">
        <v>371</v>
      </c>
      <c r="E14" s="262">
        <v>9083265</v>
      </c>
      <c r="F14" s="151">
        <v>0</v>
      </c>
      <c r="G14" s="287" t="s">
        <v>480</v>
      </c>
      <c r="H14" s="262">
        <v>9083265</v>
      </c>
      <c r="I14" s="151">
        <v>0</v>
      </c>
      <c r="J14" s="151">
        <v>0</v>
      </c>
      <c r="K14" s="151">
        <v>0</v>
      </c>
      <c r="L14" s="262">
        <v>9083265</v>
      </c>
    </row>
    <row r="15" spans="1:12" x14ac:dyDescent="0.25">
      <c r="A15" s="145" t="s">
        <v>33</v>
      </c>
      <c r="B15" s="67" t="s">
        <v>18</v>
      </c>
      <c r="C15" s="146">
        <v>175</v>
      </c>
      <c r="D15" s="146" t="s">
        <v>371</v>
      </c>
      <c r="E15" s="262">
        <v>14549501</v>
      </c>
      <c r="F15" s="262">
        <v>5386423</v>
      </c>
      <c r="G15" s="287" t="s">
        <v>480</v>
      </c>
      <c r="H15" s="262">
        <v>9163078</v>
      </c>
      <c r="I15" s="151">
        <v>0</v>
      </c>
      <c r="J15" s="151">
        <v>0</v>
      </c>
      <c r="K15" s="151">
        <v>0</v>
      </c>
      <c r="L15" s="262">
        <v>9163078</v>
      </c>
    </row>
    <row r="16" spans="1:12" x14ac:dyDescent="0.25">
      <c r="A16" s="145" t="s">
        <v>367</v>
      </c>
      <c r="B16" s="67" t="s">
        <v>368</v>
      </c>
      <c r="C16" s="146">
        <v>345</v>
      </c>
      <c r="D16" s="146" t="s">
        <v>371</v>
      </c>
      <c r="E16" s="262">
        <v>121044</v>
      </c>
      <c r="F16" s="262">
        <v>111000</v>
      </c>
      <c r="G16" s="287" t="s">
        <v>480</v>
      </c>
      <c r="H16" s="262">
        <v>10044</v>
      </c>
      <c r="I16" s="151">
        <v>0</v>
      </c>
      <c r="J16" s="151">
        <v>0</v>
      </c>
      <c r="K16" s="151">
        <v>0</v>
      </c>
      <c r="L16" s="262">
        <v>10044</v>
      </c>
    </row>
    <row r="17" spans="1:12" ht="30.75" x14ac:dyDescent="0.25">
      <c r="A17" s="145" t="s">
        <v>34</v>
      </c>
      <c r="B17" s="67" t="s">
        <v>19</v>
      </c>
      <c r="C17" s="146">
        <v>372</v>
      </c>
      <c r="D17" s="146" t="s">
        <v>371</v>
      </c>
      <c r="E17" s="262">
        <v>2395372</v>
      </c>
      <c r="F17" s="262">
        <v>1953853</v>
      </c>
      <c r="G17" s="287" t="s">
        <v>480</v>
      </c>
      <c r="H17" s="262">
        <v>441519</v>
      </c>
      <c r="I17" s="151">
        <v>0</v>
      </c>
      <c r="J17" s="151">
        <v>0</v>
      </c>
      <c r="K17" s="151">
        <v>0</v>
      </c>
      <c r="L17" s="262">
        <v>441519</v>
      </c>
    </row>
    <row r="18" spans="1:12" x14ac:dyDescent="0.25">
      <c r="A18" s="145" t="s">
        <v>173</v>
      </c>
      <c r="B18" s="67" t="s">
        <v>174</v>
      </c>
      <c r="C18" s="146">
        <v>377</v>
      </c>
      <c r="D18" s="146" t="s">
        <v>371</v>
      </c>
      <c r="E18" s="262">
        <v>2205760</v>
      </c>
      <c r="F18" s="262">
        <v>2205760</v>
      </c>
      <c r="G18" s="287" t="s">
        <v>480</v>
      </c>
      <c r="H18" s="151">
        <v>0</v>
      </c>
      <c r="I18" s="262">
        <v>8651</v>
      </c>
      <c r="J18" s="151">
        <v>0</v>
      </c>
      <c r="K18" s="262">
        <v>8651</v>
      </c>
      <c r="L18" s="262">
        <v>-8651</v>
      </c>
    </row>
    <row r="19" spans="1:12" x14ac:dyDescent="0.25">
      <c r="A19" s="140" t="s">
        <v>40</v>
      </c>
      <c r="B19" s="141" t="s">
        <v>21</v>
      </c>
      <c r="C19" s="139">
        <v>246</v>
      </c>
      <c r="D19" s="139" t="s">
        <v>184</v>
      </c>
      <c r="E19" s="261">
        <v>2024659</v>
      </c>
      <c r="F19" s="261">
        <v>2023415</v>
      </c>
      <c r="G19" s="287" t="s">
        <v>480</v>
      </c>
      <c r="H19" s="261">
        <v>1244</v>
      </c>
      <c r="I19" s="261">
        <v>16433</v>
      </c>
      <c r="J19" s="261">
        <v>4843</v>
      </c>
      <c r="K19" s="261">
        <v>11590</v>
      </c>
      <c r="L19" s="261">
        <v>-10346</v>
      </c>
    </row>
    <row r="20" spans="1:12" ht="30.75" x14ac:dyDescent="0.25">
      <c r="A20" s="140" t="s">
        <v>179</v>
      </c>
      <c r="B20" s="141" t="s">
        <v>181</v>
      </c>
      <c r="C20" s="139">
        <v>13</v>
      </c>
      <c r="D20" s="139" t="s">
        <v>184</v>
      </c>
      <c r="E20" s="261">
        <v>11687944</v>
      </c>
      <c r="F20" s="261">
        <v>11687944</v>
      </c>
      <c r="G20" s="287" t="s">
        <v>480</v>
      </c>
      <c r="H20" s="152">
        <v>0</v>
      </c>
      <c r="I20" s="261">
        <v>298964</v>
      </c>
      <c r="J20" s="152">
        <v>0</v>
      </c>
      <c r="K20" s="261">
        <v>298964</v>
      </c>
      <c r="L20" s="261">
        <v>-298964</v>
      </c>
    </row>
    <row r="21" spans="1:12" ht="30.75" x14ac:dyDescent="0.25">
      <c r="A21" s="140" t="s">
        <v>28</v>
      </c>
      <c r="B21" s="141" t="s">
        <v>13</v>
      </c>
      <c r="C21" s="139">
        <v>274</v>
      </c>
      <c r="D21" s="139" t="s">
        <v>184</v>
      </c>
      <c r="E21" s="261">
        <v>2499420</v>
      </c>
      <c r="F21" s="261">
        <v>2499420</v>
      </c>
      <c r="G21" s="287" t="s">
        <v>480</v>
      </c>
      <c r="H21" s="152">
        <v>0</v>
      </c>
      <c r="I21" s="261">
        <v>463</v>
      </c>
      <c r="J21" s="152">
        <v>0</v>
      </c>
      <c r="K21" s="261">
        <v>463</v>
      </c>
      <c r="L21" s="261">
        <v>-463</v>
      </c>
    </row>
    <row r="22" spans="1:12" x14ac:dyDescent="0.25">
      <c r="A22" s="140" t="s">
        <v>51</v>
      </c>
      <c r="B22" s="141" t="s">
        <v>52</v>
      </c>
      <c r="C22" s="139">
        <v>187</v>
      </c>
      <c r="D22" s="139" t="s">
        <v>184</v>
      </c>
      <c r="E22" s="261">
        <v>7263265</v>
      </c>
      <c r="F22" s="152">
        <v>0</v>
      </c>
      <c r="G22" s="287" t="s">
        <v>480</v>
      </c>
      <c r="H22" s="261">
        <v>7263265</v>
      </c>
      <c r="I22" s="152">
        <v>0</v>
      </c>
      <c r="J22" s="152">
        <v>0</v>
      </c>
      <c r="K22" s="152">
        <v>0</v>
      </c>
      <c r="L22" s="261">
        <v>7263265</v>
      </c>
    </row>
    <row r="23" spans="1:12" x14ac:dyDescent="0.25">
      <c r="A23" s="140" t="s">
        <v>369</v>
      </c>
      <c r="B23" s="141" t="s">
        <v>370</v>
      </c>
      <c r="C23" s="139">
        <v>375</v>
      </c>
      <c r="D23" s="139" t="s">
        <v>184</v>
      </c>
      <c r="E23" s="261">
        <v>20282158</v>
      </c>
      <c r="F23" s="261">
        <v>20282158</v>
      </c>
      <c r="G23" s="287" t="s">
        <v>480</v>
      </c>
      <c r="H23" s="152">
        <v>0</v>
      </c>
      <c r="I23" s="261">
        <v>215418</v>
      </c>
      <c r="J23" s="261">
        <v>26008</v>
      </c>
      <c r="K23" s="261">
        <v>189410</v>
      </c>
      <c r="L23" s="261">
        <v>-189410</v>
      </c>
    </row>
    <row r="24" spans="1:12" ht="30.75" x14ac:dyDescent="0.25">
      <c r="A24" s="140" t="s">
        <v>179</v>
      </c>
      <c r="B24" s="141" t="s">
        <v>181</v>
      </c>
      <c r="C24" s="139">
        <v>13</v>
      </c>
      <c r="D24" s="139" t="s">
        <v>177</v>
      </c>
      <c r="E24" s="261">
        <v>8927457</v>
      </c>
      <c r="F24" s="261">
        <v>8927457</v>
      </c>
      <c r="G24" s="287" t="s">
        <v>480</v>
      </c>
      <c r="H24" s="152">
        <v>0</v>
      </c>
      <c r="I24" s="261">
        <v>3580110</v>
      </c>
      <c r="J24" s="261">
        <v>2146790</v>
      </c>
      <c r="K24" s="261">
        <v>1433320</v>
      </c>
      <c r="L24" s="261">
        <v>-1433320</v>
      </c>
    </row>
    <row r="25" spans="1:12" ht="30.75" x14ac:dyDescent="0.25">
      <c r="A25" s="140" t="s">
        <v>27</v>
      </c>
      <c r="B25" s="141" t="s">
        <v>12</v>
      </c>
      <c r="C25" s="139">
        <v>167</v>
      </c>
      <c r="D25" s="139" t="s">
        <v>177</v>
      </c>
      <c r="E25" s="261">
        <v>9760325</v>
      </c>
      <c r="F25" s="261">
        <v>9760325</v>
      </c>
      <c r="G25" s="287" t="s">
        <v>480</v>
      </c>
      <c r="H25" s="152">
        <v>0</v>
      </c>
      <c r="I25" s="261">
        <v>274905</v>
      </c>
      <c r="J25" s="261">
        <v>52657</v>
      </c>
      <c r="K25" s="261">
        <v>222248</v>
      </c>
      <c r="L25" s="261">
        <v>-222248</v>
      </c>
    </row>
    <row r="26" spans="1:12" x14ac:dyDescent="0.25">
      <c r="A26" s="140" t="s">
        <v>51</v>
      </c>
      <c r="B26" s="141" t="s">
        <v>52</v>
      </c>
      <c r="C26" s="139">
        <v>187</v>
      </c>
      <c r="D26" s="139" t="s">
        <v>177</v>
      </c>
      <c r="E26" s="261">
        <v>7441853</v>
      </c>
      <c r="F26" s="152">
        <v>0</v>
      </c>
      <c r="G26" s="287" t="s">
        <v>480</v>
      </c>
      <c r="H26" s="261">
        <v>7441853</v>
      </c>
      <c r="I26" s="152">
        <v>0</v>
      </c>
      <c r="J26" s="152">
        <v>0</v>
      </c>
      <c r="K26" s="152">
        <v>0</v>
      </c>
      <c r="L26" s="261">
        <v>7441853</v>
      </c>
    </row>
    <row r="27" spans="1:12" x14ac:dyDescent="0.25">
      <c r="A27" s="140" t="s">
        <v>369</v>
      </c>
      <c r="B27" s="141" t="s">
        <v>370</v>
      </c>
      <c r="C27" s="139">
        <v>375</v>
      </c>
      <c r="D27" s="139" t="s">
        <v>177</v>
      </c>
      <c r="E27" s="261">
        <v>10784407</v>
      </c>
      <c r="F27" s="261">
        <v>10784407</v>
      </c>
      <c r="G27" s="287" t="s">
        <v>480</v>
      </c>
      <c r="H27" s="152">
        <v>0</v>
      </c>
      <c r="I27" s="261">
        <v>54941</v>
      </c>
      <c r="J27" s="261">
        <v>32201</v>
      </c>
      <c r="K27" s="261">
        <v>22740</v>
      </c>
      <c r="L27" s="261">
        <v>-22740</v>
      </c>
    </row>
    <row r="28" spans="1:12" ht="30.75" x14ac:dyDescent="0.25">
      <c r="A28" s="140" t="s">
        <v>179</v>
      </c>
      <c r="B28" s="141" t="s">
        <v>181</v>
      </c>
      <c r="C28" s="139">
        <v>13</v>
      </c>
      <c r="D28" s="139" t="s">
        <v>22</v>
      </c>
      <c r="E28" s="261">
        <v>5602370</v>
      </c>
      <c r="F28" s="261">
        <v>5602370</v>
      </c>
      <c r="G28" s="287" t="s">
        <v>480</v>
      </c>
      <c r="H28" s="152">
        <v>0</v>
      </c>
      <c r="I28" s="261">
        <v>7200571</v>
      </c>
      <c r="J28" s="261">
        <v>4567306</v>
      </c>
      <c r="K28" s="261">
        <v>2633265</v>
      </c>
      <c r="L28" s="261">
        <v>-2633265</v>
      </c>
    </row>
    <row r="29" spans="1:12" ht="30.75" x14ac:dyDescent="0.25">
      <c r="A29" s="140" t="s">
        <v>27</v>
      </c>
      <c r="B29" s="141" t="s">
        <v>12</v>
      </c>
      <c r="C29" s="139">
        <v>167</v>
      </c>
      <c r="D29" s="139" t="s">
        <v>22</v>
      </c>
      <c r="E29" s="261">
        <v>9421842</v>
      </c>
      <c r="F29" s="261">
        <v>9421842</v>
      </c>
      <c r="G29" s="287" t="s">
        <v>480</v>
      </c>
      <c r="H29" s="152">
        <v>0</v>
      </c>
      <c r="I29" s="261">
        <v>234440</v>
      </c>
      <c r="J29" s="261">
        <v>10779</v>
      </c>
      <c r="K29" s="261">
        <v>223661</v>
      </c>
      <c r="L29" s="261">
        <v>-223661</v>
      </c>
    </row>
    <row r="30" spans="1:12" x14ac:dyDescent="0.25">
      <c r="A30" s="140" t="s">
        <v>51</v>
      </c>
      <c r="B30" s="141" t="s">
        <v>52</v>
      </c>
      <c r="C30" s="139">
        <v>187</v>
      </c>
      <c r="D30" s="139" t="s">
        <v>22</v>
      </c>
      <c r="E30" s="261">
        <v>7051221</v>
      </c>
      <c r="F30" s="152">
        <v>0</v>
      </c>
      <c r="G30" s="287" t="s">
        <v>480</v>
      </c>
      <c r="H30" s="261">
        <v>7051221</v>
      </c>
      <c r="I30" s="152">
        <v>0</v>
      </c>
      <c r="J30" s="152">
        <v>0</v>
      </c>
      <c r="K30" s="152">
        <v>0</v>
      </c>
      <c r="L30" s="261">
        <v>7051221</v>
      </c>
    </row>
    <row r="31" spans="1:12" x14ac:dyDescent="0.25">
      <c r="A31" s="140" t="s">
        <v>369</v>
      </c>
      <c r="B31" s="141" t="s">
        <v>370</v>
      </c>
      <c r="C31" s="139">
        <v>375</v>
      </c>
      <c r="D31" s="139" t="s">
        <v>22</v>
      </c>
      <c r="E31" s="261">
        <v>11115152</v>
      </c>
      <c r="F31" s="261">
        <v>11115152</v>
      </c>
      <c r="G31" s="287" t="s">
        <v>480</v>
      </c>
      <c r="H31" s="152">
        <v>0</v>
      </c>
      <c r="I31" s="261">
        <v>282650</v>
      </c>
      <c r="J31" s="261">
        <v>256063</v>
      </c>
      <c r="K31" s="261">
        <v>26587</v>
      </c>
      <c r="L31" s="261">
        <v>-26587</v>
      </c>
    </row>
    <row r="32" spans="1:12" x14ac:dyDescent="0.25">
      <c r="A32" s="140" t="s">
        <v>33</v>
      </c>
      <c r="B32" s="141" t="s">
        <v>18</v>
      </c>
      <c r="C32" s="139">
        <v>175</v>
      </c>
      <c r="D32" s="139" t="s">
        <v>22</v>
      </c>
      <c r="E32" s="261">
        <v>14404568</v>
      </c>
      <c r="F32" s="261">
        <v>14404568</v>
      </c>
      <c r="G32" s="287" t="s">
        <v>480</v>
      </c>
      <c r="H32" s="152">
        <v>0</v>
      </c>
      <c r="I32" s="261">
        <v>9706</v>
      </c>
      <c r="J32" s="152">
        <v>0</v>
      </c>
      <c r="K32" s="261">
        <v>9706</v>
      </c>
      <c r="L32" s="261">
        <v>-9706</v>
      </c>
    </row>
    <row r="33" spans="1:12" ht="30.75" x14ac:dyDescent="0.25">
      <c r="A33" s="140" t="s">
        <v>179</v>
      </c>
      <c r="B33" s="141" t="s">
        <v>181</v>
      </c>
      <c r="C33" s="139">
        <v>13</v>
      </c>
      <c r="D33" s="139" t="s">
        <v>2</v>
      </c>
      <c r="E33" s="261">
        <v>5475523</v>
      </c>
      <c r="F33" s="261">
        <v>5475523</v>
      </c>
      <c r="G33" s="287" t="s">
        <v>480</v>
      </c>
      <c r="H33" s="152">
        <v>0</v>
      </c>
      <c r="I33" s="261">
        <v>7405404</v>
      </c>
      <c r="J33" s="261">
        <v>6071942</v>
      </c>
      <c r="K33" s="261">
        <v>1333462</v>
      </c>
      <c r="L33" s="261">
        <v>-1333462</v>
      </c>
    </row>
    <row r="34" spans="1:12" ht="30.75" x14ac:dyDescent="0.25">
      <c r="A34" s="140" t="s">
        <v>27</v>
      </c>
      <c r="B34" s="141" t="s">
        <v>12</v>
      </c>
      <c r="C34" s="139">
        <v>167</v>
      </c>
      <c r="D34" s="139" t="s">
        <v>2</v>
      </c>
      <c r="E34" s="261">
        <v>9387337</v>
      </c>
      <c r="F34" s="261">
        <v>9387337</v>
      </c>
      <c r="G34" s="287" t="s">
        <v>480</v>
      </c>
      <c r="H34" s="152">
        <v>0</v>
      </c>
      <c r="I34" s="261">
        <v>262786</v>
      </c>
      <c r="J34" s="261">
        <v>155000</v>
      </c>
      <c r="K34" s="261">
        <v>107786</v>
      </c>
      <c r="L34" s="261">
        <v>-107786</v>
      </c>
    </row>
    <row r="35" spans="1:12" x14ac:dyDescent="0.25">
      <c r="A35" s="140" t="s">
        <v>51</v>
      </c>
      <c r="B35" s="141" t="s">
        <v>52</v>
      </c>
      <c r="C35" s="139">
        <v>187</v>
      </c>
      <c r="D35" s="139" t="s">
        <v>2</v>
      </c>
      <c r="E35" s="261">
        <v>6705629</v>
      </c>
      <c r="F35" s="152">
        <v>0</v>
      </c>
      <c r="G35" s="287" t="s">
        <v>480</v>
      </c>
      <c r="H35" s="261">
        <v>6705629</v>
      </c>
      <c r="I35" s="152">
        <v>0</v>
      </c>
      <c r="J35" s="152">
        <v>0</v>
      </c>
      <c r="K35" s="152">
        <v>0</v>
      </c>
      <c r="L35" s="261">
        <v>6705629</v>
      </c>
    </row>
    <row r="36" spans="1:12" x14ac:dyDescent="0.25">
      <c r="A36" s="140" t="s">
        <v>369</v>
      </c>
      <c r="B36" s="141" t="s">
        <v>370</v>
      </c>
      <c r="C36" s="139">
        <v>375</v>
      </c>
      <c r="D36" s="139" t="s">
        <v>2</v>
      </c>
      <c r="E36" s="261">
        <v>13045608</v>
      </c>
      <c r="F36" s="261">
        <v>13045608</v>
      </c>
      <c r="G36" s="287" t="s">
        <v>480</v>
      </c>
      <c r="H36" s="152">
        <v>0</v>
      </c>
      <c r="I36" s="261">
        <v>200938</v>
      </c>
      <c r="J36" s="261">
        <v>159134</v>
      </c>
      <c r="K36" s="261">
        <v>41804</v>
      </c>
      <c r="L36" s="261">
        <v>-41804</v>
      </c>
    </row>
    <row r="37" spans="1:12" ht="30.75" x14ac:dyDescent="0.25">
      <c r="A37" s="140" t="s">
        <v>179</v>
      </c>
      <c r="B37" s="141" t="s">
        <v>181</v>
      </c>
      <c r="C37" s="139">
        <v>13</v>
      </c>
      <c r="D37" s="139" t="s">
        <v>3</v>
      </c>
      <c r="E37" s="261">
        <v>5421672</v>
      </c>
      <c r="F37" s="261">
        <v>5421672</v>
      </c>
      <c r="G37" s="287" t="s">
        <v>480</v>
      </c>
      <c r="H37" s="152">
        <v>0</v>
      </c>
      <c r="I37" s="261">
        <v>7135063</v>
      </c>
      <c r="J37" s="261">
        <v>6861782</v>
      </c>
      <c r="K37" s="261">
        <v>273281</v>
      </c>
      <c r="L37" s="261">
        <v>-273281</v>
      </c>
    </row>
    <row r="38" spans="1:12" x14ac:dyDescent="0.25">
      <c r="A38" s="140" t="s">
        <v>51</v>
      </c>
      <c r="B38" s="141" t="s">
        <v>52</v>
      </c>
      <c r="C38" s="139">
        <v>187</v>
      </c>
      <c r="D38" s="139" t="s">
        <v>3</v>
      </c>
      <c r="E38" s="261">
        <v>7056213</v>
      </c>
      <c r="F38" s="152">
        <v>0</v>
      </c>
      <c r="G38" s="287" t="s">
        <v>480</v>
      </c>
      <c r="H38" s="261">
        <v>7056213</v>
      </c>
      <c r="I38" s="152">
        <v>0</v>
      </c>
      <c r="J38" s="152">
        <v>0</v>
      </c>
      <c r="K38" s="152">
        <v>0</v>
      </c>
      <c r="L38" s="261">
        <v>7056213</v>
      </c>
    </row>
    <row r="39" spans="1:12" x14ac:dyDescent="0.25">
      <c r="A39" s="140" t="s">
        <v>369</v>
      </c>
      <c r="B39" s="141" t="s">
        <v>370</v>
      </c>
      <c r="C39" s="139">
        <v>375</v>
      </c>
      <c r="D39" s="139" t="s">
        <v>3</v>
      </c>
      <c r="E39" s="261">
        <v>1402376</v>
      </c>
      <c r="F39" s="261">
        <v>1402376</v>
      </c>
      <c r="G39" s="287" t="s">
        <v>480</v>
      </c>
      <c r="H39" s="152">
        <v>0</v>
      </c>
      <c r="I39" s="261">
        <v>344</v>
      </c>
      <c r="J39" s="152">
        <v>0</v>
      </c>
      <c r="K39" s="261">
        <v>344</v>
      </c>
      <c r="L39" s="261">
        <v>-344</v>
      </c>
    </row>
    <row r="40" spans="1:12" s="38" customFormat="1" ht="30.75" x14ac:dyDescent="0.25">
      <c r="A40" s="140" t="s">
        <v>28</v>
      </c>
      <c r="B40" s="141" t="s">
        <v>13</v>
      </c>
      <c r="C40" s="139">
        <v>274</v>
      </c>
      <c r="D40" s="139" t="s">
        <v>24</v>
      </c>
      <c r="E40" s="261">
        <v>2188022</v>
      </c>
      <c r="F40" s="261">
        <v>2188022</v>
      </c>
      <c r="G40" s="287" t="s">
        <v>480</v>
      </c>
      <c r="H40" s="152">
        <f t="shared" ref="H40:H47" si="0">E40-F40</f>
        <v>0</v>
      </c>
      <c r="I40" s="261">
        <v>1211</v>
      </c>
      <c r="J40" s="261">
        <v>711</v>
      </c>
      <c r="K40" s="261">
        <f t="shared" ref="K40:K57" si="1">I40-J40</f>
        <v>500</v>
      </c>
      <c r="L40" s="261">
        <f t="shared" ref="L40:L57" si="2">H40-K40</f>
        <v>-500</v>
      </c>
    </row>
    <row r="41" spans="1:12" s="38" customFormat="1" x14ac:dyDescent="0.25">
      <c r="A41" s="140" t="s">
        <v>51</v>
      </c>
      <c r="B41" s="141" t="s">
        <v>52</v>
      </c>
      <c r="C41" s="139">
        <v>187</v>
      </c>
      <c r="D41" s="139" t="s">
        <v>24</v>
      </c>
      <c r="E41" s="261">
        <v>6167307</v>
      </c>
      <c r="F41" s="152">
        <v>0</v>
      </c>
      <c r="G41" s="287" t="s">
        <v>480</v>
      </c>
      <c r="H41" s="261">
        <f t="shared" si="0"/>
        <v>6167307</v>
      </c>
      <c r="I41" s="152">
        <v>0</v>
      </c>
      <c r="J41" s="152">
        <v>0</v>
      </c>
      <c r="K41" s="152">
        <f t="shared" si="1"/>
        <v>0</v>
      </c>
      <c r="L41" s="261">
        <f t="shared" si="2"/>
        <v>6167307</v>
      </c>
    </row>
    <row r="42" spans="1:12" ht="30.75" x14ac:dyDescent="0.25">
      <c r="A42" s="140" t="s">
        <v>29</v>
      </c>
      <c r="B42" s="141" t="s">
        <v>14</v>
      </c>
      <c r="C42" s="139">
        <v>371</v>
      </c>
      <c r="D42" s="139" t="s">
        <v>39</v>
      </c>
      <c r="E42" s="261">
        <v>298477</v>
      </c>
      <c r="F42" s="261">
        <v>298477</v>
      </c>
      <c r="G42" s="287" t="s">
        <v>480</v>
      </c>
      <c r="H42" s="152">
        <f t="shared" si="0"/>
        <v>0</v>
      </c>
      <c r="I42" s="261">
        <v>233747</v>
      </c>
      <c r="J42" s="152">
        <v>0</v>
      </c>
      <c r="K42" s="261">
        <f t="shared" si="1"/>
        <v>233747</v>
      </c>
      <c r="L42" s="261">
        <f t="shared" si="2"/>
        <v>-233747</v>
      </c>
    </row>
    <row r="43" spans="1:12" x14ac:dyDescent="0.25">
      <c r="A43" s="140" t="s">
        <v>51</v>
      </c>
      <c r="B43" s="141" t="s">
        <v>52</v>
      </c>
      <c r="C43" s="139">
        <v>187</v>
      </c>
      <c r="D43" s="139" t="s">
        <v>39</v>
      </c>
      <c r="E43" s="261">
        <v>6781918</v>
      </c>
      <c r="F43" s="152">
        <v>0</v>
      </c>
      <c r="G43" s="287" t="s">
        <v>480</v>
      </c>
      <c r="H43" s="261">
        <f t="shared" si="0"/>
        <v>6781918</v>
      </c>
      <c r="I43" s="152">
        <v>0</v>
      </c>
      <c r="J43" s="152">
        <v>0</v>
      </c>
      <c r="K43" s="152">
        <f t="shared" si="1"/>
        <v>0</v>
      </c>
      <c r="L43" s="261">
        <f t="shared" si="2"/>
        <v>6781918</v>
      </c>
    </row>
    <row r="44" spans="1:12" x14ac:dyDescent="0.25">
      <c r="A44" s="140" t="s">
        <v>51</v>
      </c>
      <c r="B44" s="141" t="s">
        <v>52</v>
      </c>
      <c r="C44" s="139">
        <v>187</v>
      </c>
      <c r="D44" s="139" t="s">
        <v>38</v>
      </c>
      <c r="E44" s="261">
        <v>6118565</v>
      </c>
      <c r="F44" s="152">
        <v>0</v>
      </c>
      <c r="G44" s="287" t="s">
        <v>480</v>
      </c>
      <c r="H44" s="261">
        <f t="shared" si="0"/>
        <v>6118565</v>
      </c>
      <c r="I44" s="152">
        <v>0</v>
      </c>
      <c r="J44" s="152">
        <v>0</v>
      </c>
      <c r="K44" s="152">
        <f t="shared" si="1"/>
        <v>0</v>
      </c>
      <c r="L44" s="261">
        <f t="shared" si="2"/>
        <v>6118565</v>
      </c>
    </row>
    <row r="45" spans="1:12" ht="30.75" x14ac:dyDescent="0.25">
      <c r="A45" s="140" t="s">
        <v>27</v>
      </c>
      <c r="B45" s="141" t="s">
        <v>12</v>
      </c>
      <c r="C45" s="139">
        <v>167</v>
      </c>
      <c r="D45" s="139" t="s">
        <v>53</v>
      </c>
      <c r="E45" s="261">
        <v>7825991</v>
      </c>
      <c r="F45" s="261">
        <v>7825991</v>
      </c>
      <c r="G45" s="287" t="s">
        <v>480</v>
      </c>
      <c r="H45" s="152">
        <f t="shared" si="0"/>
        <v>0</v>
      </c>
      <c r="I45" s="261">
        <v>132637</v>
      </c>
      <c r="J45" s="261">
        <v>98973</v>
      </c>
      <c r="K45" s="261">
        <f t="shared" si="1"/>
        <v>33664</v>
      </c>
      <c r="L45" s="261">
        <f t="shared" si="2"/>
        <v>-33664</v>
      </c>
    </row>
    <row r="46" spans="1:12" s="38" customFormat="1" x14ac:dyDescent="0.25">
      <c r="A46" s="140" t="s">
        <v>51</v>
      </c>
      <c r="B46" s="141" t="s">
        <v>52</v>
      </c>
      <c r="C46" s="139">
        <v>187</v>
      </c>
      <c r="D46" s="139" t="s">
        <v>53</v>
      </c>
      <c r="E46" s="261">
        <v>6014556</v>
      </c>
      <c r="F46" s="152">
        <v>0</v>
      </c>
      <c r="G46" s="287" t="s">
        <v>480</v>
      </c>
      <c r="H46" s="261">
        <f t="shared" si="0"/>
        <v>6014556</v>
      </c>
      <c r="I46" s="152">
        <v>0</v>
      </c>
      <c r="J46" s="152">
        <v>0</v>
      </c>
      <c r="K46" s="152">
        <f t="shared" si="1"/>
        <v>0</v>
      </c>
      <c r="L46" s="261">
        <f t="shared" si="2"/>
        <v>6014556</v>
      </c>
    </row>
    <row r="47" spans="1:12" s="38" customFormat="1" x14ac:dyDescent="0.25">
      <c r="A47" s="140" t="s">
        <v>51</v>
      </c>
      <c r="B47" s="141" t="s">
        <v>52</v>
      </c>
      <c r="C47" s="139">
        <v>187</v>
      </c>
      <c r="D47" s="139" t="s">
        <v>54</v>
      </c>
      <c r="E47" s="261">
        <v>5461966</v>
      </c>
      <c r="F47" s="152">
        <v>0</v>
      </c>
      <c r="G47" s="287" t="s">
        <v>480</v>
      </c>
      <c r="H47" s="261">
        <f t="shared" si="0"/>
        <v>5461966</v>
      </c>
      <c r="I47" s="152">
        <v>0</v>
      </c>
      <c r="J47" s="152">
        <v>0</v>
      </c>
      <c r="K47" s="152">
        <f t="shared" si="1"/>
        <v>0</v>
      </c>
      <c r="L47" s="261">
        <f t="shared" si="2"/>
        <v>5461966</v>
      </c>
    </row>
    <row r="48" spans="1:12" s="38" customFormat="1" x14ac:dyDescent="0.25">
      <c r="A48" s="140" t="s">
        <v>56</v>
      </c>
      <c r="B48" s="141" t="s">
        <v>57</v>
      </c>
      <c r="C48" s="139">
        <v>219</v>
      </c>
      <c r="D48" s="139" t="s">
        <v>55</v>
      </c>
      <c r="E48" s="261">
        <v>14066200</v>
      </c>
      <c r="F48" s="152">
        <v>0</v>
      </c>
      <c r="G48" s="287" t="s">
        <v>480</v>
      </c>
      <c r="H48" s="261">
        <v>14066200</v>
      </c>
      <c r="I48" s="152">
        <v>0</v>
      </c>
      <c r="J48" s="152">
        <v>0</v>
      </c>
      <c r="K48" s="152">
        <v>0</v>
      </c>
      <c r="L48" s="261">
        <v>14066200</v>
      </c>
    </row>
    <row r="49" spans="1:12" s="38" customFormat="1" x14ac:dyDescent="0.25">
      <c r="A49" s="140" t="s">
        <v>51</v>
      </c>
      <c r="B49" s="141" t="s">
        <v>52</v>
      </c>
      <c r="C49" s="139">
        <v>187</v>
      </c>
      <c r="D49" s="139" t="s">
        <v>55</v>
      </c>
      <c r="E49" s="261">
        <v>5760946</v>
      </c>
      <c r="F49" s="152">
        <v>0</v>
      </c>
      <c r="G49" s="287" t="s">
        <v>480</v>
      </c>
      <c r="H49" s="261">
        <v>5760946</v>
      </c>
      <c r="I49" s="152">
        <v>0</v>
      </c>
      <c r="J49" s="152">
        <v>0</v>
      </c>
      <c r="K49" s="152">
        <v>0</v>
      </c>
      <c r="L49" s="261">
        <v>5760946</v>
      </c>
    </row>
    <row r="50" spans="1:12" s="38" customFormat="1" x14ac:dyDescent="0.25">
      <c r="A50" s="140" t="s">
        <v>59</v>
      </c>
      <c r="B50" s="141" t="s">
        <v>60</v>
      </c>
      <c r="C50" s="139">
        <v>2</v>
      </c>
      <c r="D50" s="139" t="s">
        <v>58</v>
      </c>
      <c r="E50" s="261">
        <v>24780791</v>
      </c>
      <c r="F50" s="152">
        <v>0</v>
      </c>
      <c r="G50" s="287" t="s">
        <v>480</v>
      </c>
      <c r="H50" s="261">
        <f t="shared" ref="H50:H57" si="3">E50-F50</f>
        <v>24780791</v>
      </c>
      <c r="I50" s="152">
        <v>0</v>
      </c>
      <c r="J50" s="152">
        <v>0</v>
      </c>
      <c r="K50" s="152">
        <f t="shared" si="1"/>
        <v>0</v>
      </c>
      <c r="L50" s="261">
        <f t="shared" si="2"/>
        <v>24780791</v>
      </c>
    </row>
    <row r="51" spans="1:12" s="38" customFormat="1" x14ac:dyDescent="0.25">
      <c r="A51" s="140" t="s">
        <v>61</v>
      </c>
      <c r="B51" s="141" t="s">
        <v>62</v>
      </c>
      <c r="C51" s="139">
        <v>248</v>
      </c>
      <c r="D51" s="139" t="s">
        <v>58</v>
      </c>
      <c r="E51" s="261">
        <v>35138</v>
      </c>
      <c r="F51" s="152">
        <v>0</v>
      </c>
      <c r="G51" s="287" t="s">
        <v>480</v>
      </c>
      <c r="H51" s="261">
        <f t="shared" si="3"/>
        <v>35138</v>
      </c>
      <c r="I51" s="152">
        <v>0</v>
      </c>
      <c r="J51" s="152">
        <v>0</v>
      </c>
      <c r="K51" s="152">
        <f t="shared" si="1"/>
        <v>0</v>
      </c>
      <c r="L51" s="261">
        <f t="shared" si="2"/>
        <v>35138</v>
      </c>
    </row>
    <row r="52" spans="1:12" s="38" customFormat="1" x14ac:dyDescent="0.25">
      <c r="A52" s="140" t="s">
        <v>63</v>
      </c>
      <c r="B52" s="141" t="s">
        <v>64</v>
      </c>
      <c r="C52" s="139">
        <v>353</v>
      </c>
      <c r="D52" s="139" t="s">
        <v>58</v>
      </c>
      <c r="E52" s="261">
        <v>2060812</v>
      </c>
      <c r="F52" s="261">
        <v>2060812</v>
      </c>
      <c r="G52" s="287" t="s">
        <v>480</v>
      </c>
      <c r="H52" s="152">
        <f t="shared" si="3"/>
        <v>0</v>
      </c>
      <c r="I52" s="261">
        <v>11046</v>
      </c>
      <c r="J52" s="152">
        <v>0</v>
      </c>
      <c r="K52" s="261">
        <f t="shared" si="1"/>
        <v>11046</v>
      </c>
      <c r="L52" s="261">
        <f t="shared" si="2"/>
        <v>-11046</v>
      </c>
    </row>
    <row r="53" spans="1:12" x14ac:dyDescent="0.25">
      <c r="A53" s="140" t="s">
        <v>65</v>
      </c>
      <c r="B53" s="141" t="s">
        <v>66</v>
      </c>
      <c r="C53" s="139">
        <v>289</v>
      </c>
      <c r="D53" s="139" t="s">
        <v>58</v>
      </c>
      <c r="E53" s="261">
        <v>15567</v>
      </c>
      <c r="F53" s="152">
        <v>0</v>
      </c>
      <c r="G53" s="287" t="s">
        <v>480</v>
      </c>
      <c r="H53" s="261">
        <f t="shared" si="3"/>
        <v>15567</v>
      </c>
      <c r="I53" s="152">
        <v>0</v>
      </c>
      <c r="J53" s="152">
        <v>0</v>
      </c>
      <c r="K53" s="152">
        <f t="shared" si="1"/>
        <v>0</v>
      </c>
      <c r="L53" s="261">
        <f t="shared" si="2"/>
        <v>15567</v>
      </c>
    </row>
    <row r="54" spans="1:12" x14ac:dyDescent="0.25">
      <c r="A54" s="140" t="s">
        <v>67</v>
      </c>
      <c r="B54" s="141" t="s">
        <v>68</v>
      </c>
      <c r="C54" s="139">
        <v>41</v>
      </c>
      <c r="D54" s="139" t="s">
        <v>58</v>
      </c>
      <c r="E54" s="261">
        <v>1410809</v>
      </c>
      <c r="F54" s="152">
        <v>0</v>
      </c>
      <c r="G54" s="287" t="s">
        <v>480</v>
      </c>
      <c r="H54" s="261">
        <f t="shared" si="3"/>
        <v>1410809</v>
      </c>
      <c r="I54" s="152">
        <v>0</v>
      </c>
      <c r="J54" s="152">
        <v>0</v>
      </c>
      <c r="K54" s="152">
        <f t="shared" si="1"/>
        <v>0</v>
      </c>
      <c r="L54" s="261">
        <f t="shared" si="2"/>
        <v>1410809</v>
      </c>
    </row>
    <row r="55" spans="1:12" x14ac:dyDescent="0.25">
      <c r="A55" s="140" t="s">
        <v>56</v>
      </c>
      <c r="B55" s="141" t="s">
        <v>57</v>
      </c>
      <c r="C55" s="139">
        <v>219</v>
      </c>
      <c r="D55" s="139" t="s">
        <v>58</v>
      </c>
      <c r="E55" s="261">
        <v>14636054</v>
      </c>
      <c r="F55" s="152">
        <v>0</v>
      </c>
      <c r="G55" s="287" t="s">
        <v>480</v>
      </c>
      <c r="H55" s="261">
        <f t="shared" si="3"/>
        <v>14636054</v>
      </c>
      <c r="I55" s="152">
        <v>0</v>
      </c>
      <c r="J55" s="152">
        <v>0</v>
      </c>
      <c r="K55" s="152">
        <f t="shared" si="1"/>
        <v>0</v>
      </c>
      <c r="L55" s="261">
        <f t="shared" si="2"/>
        <v>14636054</v>
      </c>
    </row>
    <row r="56" spans="1:12" x14ac:dyDescent="0.25">
      <c r="A56" s="140" t="s">
        <v>51</v>
      </c>
      <c r="B56" s="141" t="s">
        <v>52</v>
      </c>
      <c r="C56" s="139">
        <v>187</v>
      </c>
      <c r="D56" s="139" t="s">
        <v>58</v>
      </c>
      <c r="E56" s="261">
        <v>6025129</v>
      </c>
      <c r="F56" s="152">
        <v>0</v>
      </c>
      <c r="G56" s="287" t="s">
        <v>480</v>
      </c>
      <c r="H56" s="261">
        <f t="shared" si="3"/>
        <v>6025129</v>
      </c>
      <c r="I56" s="152">
        <v>0</v>
      </c>
      <c r="J56" s="152">
        <v>0</v>
      </c>
      <c r="K56" s="152">
        <f t="shared" si="1"/>
        <v>0</v>
      </c>
      <c r="L56" s="261">
        <f t="shared" si="2"/>
        <v>6025129</v>
      </c>
    </row>
    <row r="57" spans="1:12" x14ac:dyDescent="0.25">
      <c r="A57" s="140" t="s">
        <v>69</v>
      </c>
      <c r="B57" s="141" t="s">
        <v>70</v>
      </c>
      <c r="C57" s="139">
        <v>56</v>
      </c>
      <c r="D57" s="139" t="s">
        <v>58</v>
      </c>
      <c r="E57" s="261">
        <v>1275498</v>
      </c>
      <c r="F57" s="152">
        <v>0</v>
      </c>
      <c r="G57" s="287" t="s">
        <v>480</v>
      </c>
      <c r="H57" s="261">
        <f t="shared" si="3"/>
        <v>1275498</v>
      </c>
      <c r="I57" s="152">
        <v>0</v>
      </c>
      <c r="J57" s="152">
        <v>0</v>
      </c>
      <c r="K57" s="152">
        <f t="shared" si="1"/>
        <v>0</v>
      </c>
      <c r="L57" s="261">
        <f t="shared" si="2"/>
        <v>1275498</v>
      </c>
    </row>
    <row r="58" spans="1:12" x14ac:dyDescent="0.25">
      <c r="A58" s="140" t="s">
        <v>59</v>
      </c>
      <c r="B58" s="141" t="s">
        <v>60</v>
      </c>
      <c r="C58" s="139">
        <v>2</v>
      </c>
      <c r="D58" s="139" t="s">
        <v>37</v>
      </c>
      <c r="E58" s="261">
        <v>24710823</v>
      </c>
      <c r="F58" s="152">
        <v>0</v>
      </c>
      <c r="G58" s="287" t="s">
        <v>480</v>
      </c>
      <c r="H58" s="261">
        <v>24710823</v>
      </c>
      <c r="I58" s="152">
        <v>0</v>
      </c>
      <c r="J58" s="152">
        <v>0</v>
      </c>
      <c r="K58" s="152">
        <v>0</v>
      </c>
      <c r="L58" s="261">
        <v>24710823</v>
      </c>
    </row>
    <row r="59" spans="1:12" x14ac:dyDescent="0.25">
      <c r="A59" s="140" t="s">
        <v>61</v>
      </c>
      <c r="B59" s="141" t="s">
        <v>62</v>
      </c>
      <c r="C59" s="139">
        <v>248</v>
      </c>
      <c r="D59" s="139" t="s">
        <v>37</v>
      </c>
      <c r="E59" s="261">
        <v>32562</v>
      </c>
      <c r="F59" s="152">
        <v>0</v>
      </c>
      <c r="G59" s="287" t="s">
        <v>480</v>
      </c>
      <c r="H59" s="261">
        <v>32562</v>
      </c>
      <c r="I59" s="152">
        <v>0</v>
      </c>
      <c r="J59" s="152">
        <v>0</v>
      </c>
      <c r="K59" s="152">
        <v>0</v>
      </c>
      <c r="L59" s="261">
        <v>32562</v>
      </c>
    </row>
    <row r="60" spans="1:12" x14ac:dyDescent="0.25">
      <c r="A60" s="140" t="s">
        <v>71</v>
      </c>
      <c r="B60" s="141" t="s">
        <v>72</v>
      </c>
      <c r="C60" s="139">
        <v>213</v>
      </c>
      <c r="D60" s="139" t="s">
        <v>37</v>
      </c>
      <c r="E60" s="261">
        <v>1542144</v>
      </c>
      <c r="F60" s="152">
        <v>0</v>
      </c>
      <c r="G60" s="287" t="s">
        <v>480</v>
      </c>
      <c r="H60" s="261">
        <v>1542144</v>
      </c>
      <c r="I60" s="152">
        <v>0</v>
      </c>
      <c r="J60" s="152">
        <v>0</v>
      </c>
      <c r="K60" s="152">
        <v>0</v>
      </c>
      <c r="L60" s="261">
        <v>1542144</v>
      </c>
    </row>
    <row r="61" spans="1:12" x14ac:dyDescent="0.25">
      <c r="A61" s="140" t="s">
        <v>63</v>
      </c>
      <c r="B61" s="141" t="s">
        <v>64</v>
      </c>
      <c r="C61" s="139">
        <v>353</v>
      </c>
      <c r="D61" s="139" t="s">
        <v>37</v>
      </c>
      <c r="E61" s="261">
        <v>1640194</v>
      </c>
      <c r="F61" s="261">
        <v>1640194</v>
      </c>
      <c r="G61" s="287" t="s">
        <v>480</v>
      </c>
      <c r="H61" s="152">
        <v>0</v>
      </c>
      <c r="I61" s="261">
        <v>9444</v>
      </c>
      <c r="J61" s="152">
        <v>0</v>
      </c>
      <c r="K61" s="261">
        <v>9444</v>
      </c>
      <c r="L61" s="261">
        <v>-9444</v>
      </c>
    </row>
    <row r="62" spans="1:12" ht="30.75" x14ac:dyDescent="0.25">
      <c r="A62" s="140" t="s">
        <v>73</v>
      </c>
      <c r="B62" s="141" t="s">
        <v>74</v>
      </c>
      <c r="C62" s="139">
        <v>67</v>
      </c>
      <c r="D62" s="139" t="s">
        <v>37</v>
      </c>
      <c r="E62" s="261">
        <v>12927</v>
      </c>
      <c r="F62" s="152">
        <v>0</v>
      </c>
      <c r="G62" s="287" t="s">
        <v>480</v>
      </c>
      <c r="H62" s="261">
        <v>12927</v>
      </c>
      <c r="I62" s="152">
        <v>0</v>
      </c>
      <c r="J62" s="152">
        <v>0</v>
      </c>
      <c r="K62" s="152">
        <v>0</v>
      </c>
      <c r="L62" s="261">
        <v>12927</v>
      </c>
    </row>
    <row r="63" spans="1:12" x14ac:dyDescent="0.25">
      <c r="A63" s="140" t="s">
        <v>75</v>
      </c>
      <c r="B63" s="141" t="s">
        <v>76</v>
      </c>
      <c r="C63" s="139">
        <v>88</v>
      </c>
      <c r="D63" s="139" t="s">
        <v>37</v>
      </c>
      <c r="E63" s="261">
        <v>8996</v>
      </c>
      <c r="F63" s="152">
        <v>0</v>
      </c>
      <c r="G63" s="287" t="s">
        <v>480</v>
      </c>
      <c r="H63" s="261">
        <v>8996</v>
      </c>
      <c r="I63" s="152">
        <v>0</v>
      </c>
      <c r="J63" s="152">
        <v>0</v>
      </c>
      <c r="K63" s="152">
        <v>0</v>
      </c>
      <c r="L63" s="261">
        <v>8996</v>
      </c>
    </row>
    <row r="64" spans="1:12" x14ac:dyDescent="0.25">
      <c r="A64" s="140" t="s">
        <v>77</v>
      </c>
      <c r="B64" s="141" t="s">
        <v>78</v>
      </c>
      <c r="C64" s="139">
        <v>158</v>
      </c>
      <c r="D64" s="139" t="s">
        <v>37</v>
      </c>
      <c r="E64" s="261">
        <v>25577</v>
      </c>
      <c r="F64" s="152">
        <v>0</v>
      </c>
      <c r="G64" s="287" t="s">
        <v>480</v>
      </c>
      <c r="H64" s="261">
        <v>25577</v>
      </c>
      <c r="I64" s="152">
        <v>0</v>
      </c>
      <c r="J64" s="152">
        <v>0</v>
      </c>
      <c r="K64" s="152">
        <v>0</v>
      </c>
      <c r="L64" s="261">
        <v>25577</v>
      </c>
    </row>
    <row r="65" spans="1:12" ht="30.75" x14ac:dyDescent="0.25">
      <c r="A65" s="140" t="s">
        <v>79</v>
      </c>
      <c r="B65" s="141" t="s">
        <v>80</v>
      </c>
      <c r="C65" s="139">
        <v>87</v>
      </c>
      <c r="D65" s="139" t="s">
        <v>37</v>
      </c>
      <c r="E65" s="261">
        <v>40390</v>
      </c>
      <c r="F65" s="152">
        <v>0</v>
      </c>
      <c r="G65" s="287" t="s">
        <v>480</v>
      </c>
      <c r="H65" s="261">
        <v>40390</v>
      </c>
      <c r="I65" s="152">
        <v>0</v>
      </c>
      <c r="J65" s="152">
        <v>0</v>
      </c>
      <c r="K65" s="152">
        <v>0</v>
      </c>
      <c r="L65" s="261">
        <v>40390</v>
      </c>
    </row>
    <row r="66" spans="1:12" x14ac:dyDescent="0.25">
      <c r="A66" s="140" t="s">
        <v>65</v>
      </c>
      <c r="B66" s="141" t="s">
        <v>66</v>
      </c>
      <c r="C66" s="139">
        <v>289</v>
      </c>
      <c r="D66" s="139" t="s">
        <v>37</v>
      </c>
      <c r="E66" s="261">
        <v>20569</v>
      </c>
      <c r="F66" s="152">
        <v>0</v>
      </c>
      <c r="G66" s="287" t="s">
        <v>480</v>
      </c>
      <c r="H66" s="261">
        <v>20569</v>
      </c>
      <c r="I66" s="152">
        <v>0</v>
      </c>
      <c r="J66" s="152">
        <v>0</v>
      </c>
      <c r="K66" s="152">
        <v>0</v>
      </c>
      <c r="L66" s="261">
        <v>20569</v>
      </c>
    </row>
    <row r="67" spans="1:12" ht="30.75" x14ac:dyDescent="0.25">
      <c r="A67" s="140" t="s">
        <v>81</v>
      </c>
      <c r="B67" s="141" t="s">
        <v>82</v>
      </c>
      <c r="C67" s="139">
        <v>300</v>
      </c>
      <c r="D67" s="139" t="s">
        <v>37</v>
      </c>
      <c r="E67" s="261">
        <v>7017</v>
      </c>
      <c r="F67" s="152">
        <v>0</v>
      </c>
      <c r="G67" s="287" t="s">
        <v>480</v>
      </c>
      <c r="H67" s="261">
        <v>7017</v>
      </c>
      <c r="I67" s="152">
        <v>0</v>
      </c>
      <c r="J67" s="152">
        <v>0</v>
      </c>
      <c r="K67" s="152">
        <v>0</v>
      </c>
      <c r="L67" s="261">
        <v>7017</v>
      </c>
    </row>
    <row r="68" spans="1:12" x14ac:dyDescent="0.25">
      <c r="A68" s="140" t="s">
        <v>67</v>
      </c>
      <c r="B68" s="141" t="s">
        <v>68</v>
      </c>
      <c r="C68" s="139">
        <v>41</v>
      </c>
      <c r="D68" s="139" t="s">
        <v>37</v>
      </c>
      <c r="E68" s="261">
        <v>5475418</v>
      </c>
      <c r="F68" s="152">
        <v>0</v>
      </c>
      <c r="G68" s="287" t="s">
        <v>480</v>
      </c>
      <c r="H68" s="261">
        <v>5475418</v>
      </c>
      <c r="I68" s="152">
        <v>0</v>
      </c>
      <c r="J68" s="152">
        <v>0</v>
      </c>
      <c r="K68" s="152">
        <v>0</v>
      </c>
      <c r="L68" s="261">
        <v>5475418</v>
      </c>
    </row>
    <row r="69" spans="1:12" ht="30.75" x14ac:dyDescent="0.25">
      <c r="A69" s="140" t="s">
        <v>83</v>
      </c>
      <c r="B69" s="141" t="s">
        <v>84</v>
      </c>
      <c r="C69" s="139">
        <v>203</v>
      </c>
      <c r="D69" s="139" t="s">
        <v>37</v>
      </c>
      <c r="E69" s="261">
        <v>219819</v>
      </c>
      <c r="F69" s="152">
        <v>0</v>
      </c>
      <c r="G69" s="287" t="s">
        <v>480</v>
      </c>
      <c r="H69" s="261">
        <v>219819</v>
      </c>
      <c r="I69" s="152">
        <v>0</v>
      </c>
      <c r="J69" s="152">
        <v>0</v>
      </c>
      <c r="K69" s="152">
        <v>0</v>
      </c>
      <c r="L69" s="261">
        <v>219819</v>
      </c>
    </row>
    <row r="70" spans="1:12" ht="30.75" x14ac:dyDescent="0.25">
      <c r="A70" s="140" t="s">
        <v>85</v>
      </c>
      <c r="B70" s="141" t="s">
        <v>86</v>
      </c>
      <c r="C70" s="139">
        <v>39</v>
      </c>
      <c r="D70" s="139" t="s">
        <v>37</v>
      </c>
      <c r="E70" s="261">
        <v>3011</v>
      </c>
      <c r="F70" s="152">
        <v>0</v>
      </c>
      <c r="G70" s="287" t="s">
        <v>480</v>
      </c>
      <c r="H70" s="261">
        <v>3011</v>
      </c>
      <c r="I70" s="152">
        <v>0</v>
      </c>
      <c r="J70" s="152">
        <v>0</v>
      </c>
      <c r="K70" s="152">
        <v>0</v>
      </c>
      <c r="L70" s="261">
        <v>3011</v>
      </c>
    </row>
    <row r="71" spans="1:12" x14ac:dyDescent="0.25">
      <c r="A71" s="140" t="s">
        <v>87</v>
      </c>
      <c r="B71" s="141" t="s">
        <v>88</v>
      </c>
      <c r="C71" s="139">
        <v>66</v>
      </c>
      <c r="D71" s="139" t="s">
        <v>37</v>
      </c>
      <c r="E71" s="261">
        <v>1345</v>
      </c>
      <c r="F71" s="152">
        <v>0</v>
      </c>
      <c r="G71" s="287" t="s">
        <v>480</v>
      </c>
      <c r="H71" s="261">
        <v>1345</v>
      </c>
      <c r="I71" s="152">
        <v>0</v>
      </c>
      <c r="J71" s="152">
        <v>0</v>
      </c>
      <c r="K71" s="152">
        <v>0</v>
      </c>
      <c r="L71" s="261">
        <v>1345</v>
      </c>
    </row>
    <row r="72" spans="1:12" x14ac:dyDescent="0.25">
      <c r="A72" s="140" t="s">
        <v>89</v>
      </c>
      <c r="B72" s="141" t="s">
        <v>90</v>
      </c>
      <c r="C72" s="139">
        <v>200</v>
      </c>
      <c r="D72" s="139" t="s">
        <v>37</v>
      </c>
      <c r="E72" s="261">
        <v>120902</v>
      </c>
      <c r="F72" s="152">
        <v>0</v>
      </c>
      <c r="G72" s="287" t="s">
        <v>480</v>
      </c>
      <c r="H72" s="261">
        <v>120902</v>
      </c>
      <c r="I72" s="152">
        <v>0</v>
      </c>
      <c r="J72" s="152">
        <v>0</v>
      </c>
      <c r="K72" s="152">
        <v>0</v>
      </c>
      <c r="L72" s="261">
        <v>120902</v>
      </c>
    </row>
    <row r="73" spans="1:12" x14ac:dyDescent="0.25">
      <c r="A73" s="140" t="s">
        <v>56</v>
      </c>
      <c r="B73" s="141" t="s">
        <v>57</v>
      </c>
      <c r="C73" s="139">
        <v>219</v>
      </c>
      <c r="D73" s="139" t="s">
        <v>37</v>
      </c>
      <c r="E73" s="261">
        <v>15411645</v>
      </c>
      <c r="F73" s="152">
        <v>0</v>
      </c>
      <c r="G73" s="287" t="s">
        <v>480</v>
      </c>
      <c r="H73" s="261">
        <v>15411645</v>
      </c>
      <c r="I73" s="152">
        <v>0</v>
      </c>
      <c r="J73" s="152">
        <v>0</v>
      </c>
      <c r="K73" s="152">
        <v>0</v>
      </c>
      <c r="L73" s="261">
        <v>15411645</v>
      </c>
    </row>
    <row r="74" spans="1:12" ht="30.75" x14ac:dyDescent="0.25">
      <c r="A74" s="140" t="s">
        <v>91</v>
      </c>
      <c r="B74" s="141" t="s">
        <v>92</v>
      </c>
      <c r="C74" s="139">
        <v>122</v>
      </c>
      <c r="D74" s="139" t="s">
        <v>37</v>
      </c>
      <c r="E74" s="261">
        <v>1466</v>
      </c>
      <c r="F74" s="152">
        <v>0</v>
      </c>
      <c r="G74" s="287" t="s">
        <v>480</v>
      </c>
      <c r="H74" s="261">
        <v>1466</v>
      </c>
      <c r="I74" s="152">
        <v>0</v>
      </c>
      <c r="J74" s="152">
        <v>0</v>
      </c>
      <c r="K74" s="152">
        <v>0</v>
      </c>
      <c r="L74" s="261">
        <v>1466</v>
      </c>
    </row>
    <row r="75" spans="1:12" x14ac:dyDescent="0.25">
      <c r="A75" s="140" t="s">
        <v>51</v>
      </c>
      <c r="B75" s="141" t="s">
        <v>52</v>
      </c>
      <c r="C75" s="139">
        <v>187</v>
      </c>
      <c r="D75" s="139" t="s">
        <v>37</v>
      </c>
      <c r="E75" s="261">
        <v>6503704</v>
      </c>
      <c r="F75" s="152">
        <v>0</v>
      </c>
      <c r="G75" s="287" t="s">
        <v>480</v>
      </c>
      <c r="H75" s="261">
        <v>6503704</v>
      </c>
      <c r="I75" s="152">
        <v>0</v>
      </c>
      <c r="J75" s="152">
        <v>0</v>
      </c>
      <c r="K75" s="152">
        <v>0</v>
      </c>
      <c r="L75" s="261">
        <v>6503704</v>
      </c>
    </row>
    <row r="76" spans="1:12" x14ac:dyDescent="0.25">
      <c r="A76" s="140" t="s">
        <v>93</v>
      </c>
      <c r="B76" s="141" t="s">
        <v>94</v>
      </c>
      <c r="C76" s="139">
        <v>124</v>
      </c>
      <c r="D76" s="139" t="s">
        <v>37</v>
      </c>
      <c r="E76" s="261">
        <v>47464</v>
      </c>
      <c r="F76" s="152">
        <v>0</v>
      </c>
      <c r="G76" s="287" t="s">
        <v>480</v>
      </c>
      <c r="H76" s="261">
        <v>47464</v>
      </c>
      <c r="I76" s="152">
        <v>0</v>
      </c>
      <c r="J76" s="152">
        <v>0</v>
      </c>
      <c r="K76" s="152">
        <v>0</v>
      </c>
      <c r="L76" s="261">
        <v>47464</v>
      </c>
    </row>
    <row r="77" spans="1:12" x14ac:dyDescent="0.25">
      <c r="A77" s="140" t="s">
        <v>95</v>
      </c>
      <c r="B77" s="141" t="s">
        <v>96</v>
      </c>
      <c r="C77" s="139">
        <v>83</v>
      </c>
      <c r="D77" s="139" t="s">
        <v>37</v>
      </c>
      <c r="E77" s="261">
        <v>1310491</v>
      </c>
      <c r="F77" s="152">
        <v>0</v>
      </c>
      <c r="G77" s="287" t="s">
        <v>480</v>
      </c>
      <c r="H77" s="261">
        <v>1310491</v>
      </c>
      <c r="I77" s="152">
        <v>0</v>
      </c>
      <c r="J77" s="152">
        <v>0</v>
      </c>
      <c r="K77" s="152">
        <v>0</v>
      </c>
      <c r="L77" s="261">
        <v>1310491</v>
      </c>
    </row>
    <row r="78" spans="1:12" x14ac:dyDescent="0.25">
      <c r="A78" s="140" t="s">
        <v>97</v>
      </c>
      <c r="B78" s="141" t="s">
        <v>98</v>
      </c>
      <c r="C78" s="139">
        <v>215</v>
      </c>
      <c r="D78" s="139" t="s">
        <v>37</v>
      </c>
      <c r="E78" s="261">
        <v>2177</v>
      </c>
      <c r="F78" s="152">
        <v>0</v>
      </c>
      <c r="G78" s="287" t="s">
        <v>480</v>
      </c>
      <c r="H78" s="261">
        <v>2177</v>
      </c>
      <c r="I78" s="152">
        <v>0</v>
      </c>
      <c r="J78" s="152">
        <v>0</v>
      </c>
      <c r="K78" s="152">
        <v>0</v>
      </c>
      <c r="L78" s="261">
        <v>2177</v>
      </c>
    </row>
    <row r="79" spans="1:12" x14ac:dyDescent="0.25">
      <c r="A79" s="140" t="s">
        <v>99</v>
      </c>
      <c r="B79" s="141" t="s">
        <v>100</v>
      </c>
      <c r="C79" s="139">
        <v>279</v>
      </c>
      <c r="D79" s="139" t="s">
        <v>37</v>
      </c>
      <c r="E79" s="261">
        <v>7804</v>
      </c>
      <c r="F79" s="152">
        <v>0</v>
      </c>
      <c r="G79" s="287" t="s">
        <v>480</v>
      </c>
      <c r="H79" s="261">
        <v>7804</v>
      </c>
      <c r="I79" s="152">
        <v>0</v>
      </c>
      <c r="J79" s="152">
        <v>0</v>
      </c>
      <c r="K79" s="152">
        <v>0</v>
      </c>
      <c r="L79" s="261">
        <v>7804</v>
      </c>
    </row>
    <row r="80" spans="1:12" x14ac:dyDescent="0.25">
      <c r="A80" s="140" t="s">
        <v>101</v>
      </c>
      <c r="B80" s="141" t="s">
        <v>102</v>
      </c>
      <c r="C80" s="139">
        <v>73</v>
      </c>
      <c r="D80" s="139" t="s">
        <v>37</v>
      </c>
      <c r="E80" s="261">
        <v>48090</v>
      </c>
      <c r="F80" s="152">
        <v>0</v>
      </c>
      <c r="G80" s="287" t="s">
        <v>480</v>
      </c>
      <c r="H80" s="261">
        <v>48090</v>
      </c>
      <c r="I80" s="152">
        <v>0</v>
      </c>
      <c r="J80" s="152">
        <v>0</v>
      </c>
      <c r="K80" s="152">
        <v>0</v>
      </c>
      <c r="L80" s="261">
        <v>48090</v>
      </c>
    </row>
    <row r="81" spans="1:12" x14ac:dyDescent="0.25">
      <c r="A81" s="140" t="s">
        <v>103</v>
      </c>
      <c r="B81" s="141" t="s">
        <v>104</v>
      </c>
      <c r="C81" s="139">
        <v>120</v>
      </c>
      <c r="D81" s="139" t="s">
        <v>37</v>
      </c>
      <c r="E81" s="261">
        <v>13379</v>
      </c>
      <c r="F81" s="152">
        <v>0</v>
      </c>
      <c r="G81" s="287" t="s">
        <v>480</v>
      </c>
      <c r="H81" s="261">
        <v>13379</v>
      </c>
      <c r="I81" s="152">
        <v>0</v>
      </c>
      <c r="J81" s="152">
        <v>0</v>
      </c>
      <c r="K81" s="152">
        <v>0</v>
      </c>
      <c r="L81" s="261">
        <v>13379</v>
      </c>
    </row>
    <row r="82" spans="1:12" x14ac:dyDescent="0.25">
      <c r="A82" s="140" t="s">
        <v>69</v>
      </c>
      <c r="B82" s="141" t="s">
        <v>70</v>
      </c>
      <c r="C82" s="139">
        <v>56</v>
      </c>
      <c r="D82" s="139" t="s">
        <v>37</v>
      </c>
      <c r="E82" s="261">
        <v>1205598</v>
      </c>
      <c r="F82" s="152">
        <v>0</v>
      </c>
      <c r="G82" s="287" t="s">
        <v>480</v>
      </c>
      <c r="H82" s="261">
        <v>1205598</v>
      </c>
      <c r="I82" s="152">
        <v>0</v>
      </c>
      <c r="J82" s="152">
        <v>0</v>
      </c>
      <c r="K82" s="152">
        <v>0</v>
      </c>
      <c r="L82" s="261">
        <v>1205598</v>
      </c>
    </row>
    <row r="83" spans="1:12" x14ac:dyDescent="0.25">
      <c r="A83" s="140" t="s">
        <v>71</v>
      </c>
      <c r="B83" s="141" t="s">
        <v>72</v>
      </c>
      <c r="C83" s="139">
        <v>213</v>
      </c>
      <c r="D83" s="139" t="s">
        <v>105</v>
      </c>
      <c r="E83" s="261">
        <v>19859110</v>
      </c>
      <c r="F83" s="152">
        <v>0</v>
      </c>
      <c r="G83" s="287" t="s">
        <v>480</v>
      </c>
      <c r="H83" s="261">
        <v>19859110</v>
      </c>
      <c r="I83" s="152">
        <v>0</v>
      </c>
      <c r="J83" s="152">
        <v>0</v>
      </c>
      <c r="K83" s="152">
        <v>0</v>
      </c>
      <c r="L83" s="261">
        <v>19859110</v>
      </c>
    </row>
    <row r="84" spans="1:12" x14ac:dyDescent="0.25">
      <c r="A84" s="140" t="s">
        <v>63</v>
      </c>
      <c r="B84" s="141" t="s">
        <v>64</v>
      </c>
      <c r="C84" s="139">
        <v>353</v>
      </c>
      <c r="D84" s="139" t="s">
        <v>105</v>
      </c>
      <c r="E84" s="261">
        <v>1558731</v>
      </c>
      <c r="F84" s="261">
        <v>1558731</v>
      </c>
      <c r="G84" s="287" t="s">
        <v>480</v>
      </c>
      <c r="H84" s="152">
        <v>0</v>
      </c>
      <c r="I84" s="261">
        <v>7837</v>
      </c>
      <c r="J84" s="152">
        <v>0</v>
      </c>
      <c r="K84" s="261">
        <v>7837</v>
      </c>
      <c r="L84" s="261">
        <v>-7837</v>
      </c>
    </row>
    <row r="85" spans="1:12" ht="30.75" x14ac:dyDescent="0.25">
      <c r="A85" s="140" t="s">
        <v>73</v>
      </c>
      <c r="B85" s="141" t="s">
        <v>74</v>
      </c>
      <c r="C85" s="139">
        <v>67</v>
      </c>
      <c r="D85" s="139" t="s">
        <v>105</v>
      </c>
      <c r="E85" s="261">
        <v>171702</v>
      </c>
      <c r="F85" s="152">
        <v>0</v>
      </c>
      <c r="G85" s="287" t="s">
        <v>480</v>
      </c>
      <c r="H85" s="261">
        <v>171702</v>
      </c>
      <c r="I85" s="152">
        <v>0</v>
      </c>
      <c r="J85" s="152">
        <v>0</v>
      </c>
      <c r="K85" s="152">
        <v>0</v>
      </c>
      <c r="L85" s="261">
        <v>171702</v>
      </c>
    </row>
    <row r="86" spans="1:12" x14ac:dyDescent="0.25">
      <c r="A86" s="140" t="s">
        <v>75</v>
      </c>
      <c r="B86" s="141" t="s">
        <v>76</v>
      </c>
      <c r="C86" s="139">
        <v>88</v>
      </c>
      <c r="D86" s="139" t="s">
        <v>105</v>
      </c>
      <c r="E86" s="261">
        <v>113089</v>
      </c>
      <c r="F86" s="152">
        <v>0</v>
      </c>
      <c r="G86" s="287" t="s">
        <v>480</v>
      </c>
      <c r="H86" s="261">
        <v>113089</v>
      </c>
      <c r="I86" s="152">
        <v>0</v>
      </c>
      <c r="J86" s="152">
        <v>0</v>
      </c>
      <c r="K86" s="152">
        <v>0</v>
      </c>
      <c r="L86" s="261">
        <v>113089</v>
      </c>
    </row>
    <row r="87" spans="1:12" x14ac:dyDescent="0.25">
      <c r="A87" s="140" t="s">
        <v>77</v>
      </c>
      <c r="B87" s="141" t="s">
        <v>78</v>
      </c>
      <c r="C87" s="139">
        <v>158</v>
      </c>
      <c r="D87" s="139" t="s">
        <v>105</v>
      </c>
      <c r="E87" s="261">
        <v>363356</v>
      </c>
      <c r="F87" s="152">
        <v>0</v>
      </c>
      <c r="G87" s="287" t="s">
        <v>480</v>
      </c>
      <c r="H87" s="261">
        <v>363356</v>
      </c>
      <c r="I87" s="152">
        <v>0</v>
      </c>
      <c r="J87" s="152">
        <v>0</v>
      </c>
      <c r="K87" s="152">
        <v>0</v>
      </c>
      <c r="L87" s="261">
        <v>363356</v>
      </c>
    </row>
    <row r="88" spans="1:12" ht="30.75" x14ac:dyDescent="0.25">
      <c r="A88" s="140" t="s">
        <v>79</v>
      </c>
      <c r="B88" s="141" t="s">
        <v>80</v>
      </c>
      <c r="C88" s="139">
        <v>87</v>
      </c>
      <c r="D88" s="139" t="s">
        <v>105</v>
      </c>
      <c r="E88" s="261">
        <v>567312</v>
      </c>
      <c r="F88" s="152">
        <v>0</v>
      </c>
      <c r="G88" s="287" t="s">
        <v>480</v>
      </c>
      <c r="H88" s="261">
        <v>567312</v>
      </c>
      <c r="I88" s="152">
        <v>0</v>
      </c>
      <c r="J88" s="152">
        <v>0</v>
      </c>
      <c r="K88" s="152">
        <v>0</v>
      </c>
      <c r="L88" s="261">
        <v>567312</v>
      </c>
    </row>
    <row r="89" spans="1:12" x14ac:dyDescent="0.25">
      <c r="A89" s="140" t="s">
        <v>106</v>
      </c>
      <c r="B89" s="141" t="s">
        <v>107</v>
      </c>
      <c r="C89" s="139">
        <v>266</v>
      </c>
      <c r="D89" s="139" t="s">
        <v>105</v>
      </c>
      <c r="E89" s="261">
        <v>146180</v>
      </c>
      <c r="F89" s="152">
        <v>0</v>
      </c>
      <c r="G89" s="287" t="s">
        <v>480</v>
      </c>
      <c r="H89" s="261">
        <v>146180</v>
      </c>
      <c r="I89" s="152">
        <v>0</v>
      </c>
      <c r="J89" s="152">
        <v>0</v>
      </c>
      <c r="K89" s="152">
        <v>0</v>
      </c>
      <c r="L89" s="261">
        <v>146180</v>
      </c>
    </row>
    <row r="90" spans="1:12" x14ac:dyDescent="0.25">
      <c r="A90" s="140" t="s">
        <v>108</v>
      </c>
      <c r="B90" s="141" t="s">
        <v>109</v>
      </c>
      <c r="C90" s="139">
        <v>257</v>
      </c>
      <c r="D90" s="139" t="s">
        <v>105</v>
      </c>
      <c r="E90" s="261">
        <v>4297</v>
      </c>
      <c r="F90" s="152">
        <v>0</v>
      </c>
      <c r="G90" s="287" t="s">
        <v>480</v>
      </c>
      <c r="H90" s="261">
        <v>4297</v>
      </c>
      <c r="I90" s="152">
        <v>0</v>
      </c>
      <c r="J90" s="152">
        <v>0</v>
      </c>
      <c r="K90" s="152">
        <v>0</v>
      </c>
      <c r="L90" s="261">
        <v>4297</v>
      </c>
    </row>
    <row r="91" spans="1:12" ht="30.75" x14ac:dyDescent="0.25">
      <c r="A91" s="140" t="s">
        <v>110</v>
      </c>
      <c r="B91" s="141" t="s">
        <v>111</v>
      </c>
      <c r="C91" s="139">
        <v>35</v>
      </c>
      <c r="D91" s="139" t="s">
        <v>105</v>
      </c>
      <c r="E91" s="261">
        <v>139227</v>
      </c>
      <c r="F91" s="152">
        <v>0</v>
      </c>
      <c r="G91" s="287" t="s">
        <v>480</v>
      </c>
      <c r="H91" s="261">
        <v>139227</v>
      </c>
      <c r="I91" s="152">
        <v>0</v>
      </c>
      <c r="J91" s="152">
        <v>0</v>
      </c>
      <c r="K91" s="152">
        <v>0</v>
      </c>
      <c r="L91" s="261">
        <v>139227</v>
      </c>
    </row>
    <row r="92" spans="1:12" ht="30.75" x14ac:dyDescent="0.25">
      <c r="A92" s="140" t="s">
        <v>83</v>
      </c>
      <c r="B92" s="141" t="s">
        <v>84</v>
      </c>
      <c r="C92" s="139">
        <v>203</v>
      </c>
      <c r="D92" s="139" t="s">
        <v>105</v>
      </c>
      <c r="E92" s="261">
        <v>3802424</v>
      </c>
      <c r="F92" s="152">
        <v>0</v>
      </c>
      <c r="G92" s="287" t="s">
        <v>480</v>
      </c>
      <c r="H92" s="261">
        <v>3802424</v>
      </c>
      <c r="I92" s="152">
        <v>0</v>
      </c>
      <c r="J92" s="152">
        <v>0</v>
      </c>
      <c r="K92" s="152">
        <v>0</v>
      </c>
      <c r="L92" s="261">
        <v>3802424</v>
      </c>
    </row>
    <row r="93" spans="1:12" ht="30.75" x14ac:dyDescent="0.25">
      <c r="A93" s="140" t="s">
        <v>85</v>
      </c>
      <c r="B93" s="141" t="s">
        <v>86</v>
      </c>
      <c r="C93" s="139">
        <v>39</v>
      </c>
      <c r="D93" s="139" t="s">
        <v>105</v>
      </c>
      <c r="E93" s="261">
        <v>40980</v>
      </c>
      <c r="F93" s="152">
        <v>0</v>
      </c>
      <c r="G93" s="287" t="s">
        <v>480</v>
      </c>
      <c r="H93" s="261">
        <v>40980</v>
      </c>
      <c r="I93" s="152">
        <v>0</v>
      </c>
      <c r="J93" s="152">
        <v>0</v>
      </c>
      <c r="K93" s="152">
        <v>0</v>
      </c>
      <c r="L93" s="261">
        <v>40980</v>
      </c>
    </row>
    <row r="94" spans="1:12" x14ac:dyDescent="0.25">
      <c r="A94" s="140" t="s">
        <v>87</v>
      </c>
      <c r="B94" s="141" t="s">
        <v>88</v>
      </c>
      <c r="C94" s="139">
        <v>66</v>
      </c>
      <c r="D94" s="139" t="s">
        <v>105</v>
      </c>
      <c r="E94" s="261">
        <v>17862</v>
      </c>
      <c r="F94" s="152">
        <v>0</v>
      </c>
      <c r="G94" s="287" t="s">
        <v>480</v>
      </c>
      <c r="H94" s="261">
        <v>17862</v>
      </c>
      <c r="I94" s="152">
        <v>0</v>
      </c>
      <c r="J94" s="152">
        <v>0</v>
      </c>
      <c r="K94" s="152">
        <v>0</v>
      </c>
      <c r="L94" s="261">
        <v>17862</v>
      </c>
    </row>
    <row r="95" spans="1:12" x14ac:dyDescent="0.25">
      <c r="A95" s="140" t="s">
        <v>89</v>
      </c>
      <c r="B95" s="141" t="s">
        <v>90</v>
      </c>
      <c r="C95" s="139">
        <v>200</v>
      </c>
      <c r="D95" s="139" t="s">
        <v>105</v>
      </c>
      <c r="E95" s="261">
        <v>2749480</v>
      </c>
      <c r="F95" s="152">
        <v>0</v>
      </c>
      <c r="G95" s="287" t="s">
        <v>480</v>
      </c>
      <c r="H95" s="261">
        <v>2749480</v>
      </c>
      <c r="I95" s="152">
        <v>0</v>
      </c>
      <c r="J95" s="152">
        <v>0</v>
      </c>
      <c r="K95" s="152">
        <v>0</v>
      </c>
      <c r="L95" s="261">
        <v>2749480</v>
      </c>
    </row>
    <row r="96" spans="1:12" s="9" customFormat="1" x14ac:dyDescent="0.25">
      <c r="A96" s="140" t="s">
        <v>56</v>
      </c>
      <c r="B96" s="141" t="s">
        <v>57</v>
      </c>
      <c r="C96" s="139">
        <v>219</v>
      </c>
      <c r="D96" s="139" t="s">
        <v>105</v>
      </c>
      <c r="E96" s="261">
        <v>15673543</v>
      </c>
      <c r="F96" s="152">
        <v>0</v>
      </c>
      <c r="G96" s="287" t="s">
        <v>480</v>
      </c>
      <c r="H96" s="261">
        <v>15673543</v>
      </c>
      <c r="I96" s="152">
        <v>0</v>
      </c>
      <c r="J96" s="152">
        <v>0</v>
      </c>
      <c r="K96" s="152">
        <v>0</v>
      </c>
      <c r="L96" s="261">
        <v>15673543</v>
      </c>
    </row>
    <row r="97" spans="1:12" ht="30.75" x14ac:dyDescent="0.25">
      <c r="A97" s="140" t="s">
        <v>91</v>
      </c>
      <c r="B97" s="141" t="s">
        <v>92</v>
      </c>
      <c r="C97" s="139">
        <v>122</v>
      </c>
      <c r="D97" s="139" t="s">
        <v>105</v>
      </c>
      <c r="E97" s="261">
        <v>64851</v>
      </c>
      <c r="F97" s="152">
        <v>0</v>
      </c>
      <c r="G97" s="287" t="s">
        <v>480</v>
      </c>
      <c r="H97" s="261">
        <v>64851</v>
      </c>
      <c r="I97" s="152">
        <v>0</v>
      </c>
      <c r="J97" s="152">
        <v>0</v>
      </c>
      <c r="K97" s="152">
        <v>0</v>
      </c>
      <c r="L97" s="261">
        <v>64851</v>
      </c>
    </row>
    <row r="98" spans="1:12" x14ac:dyDescent="0.25">
      <c r="A98" s="140" t="s">
        <v>51</v>
      </c>
      <c r="B98" s="141" t="s">
        <v>52</v>
      </c>
      <c r="C98" s="139">
        <v>187</v>
      </c>
      <c r="D98" s="139" t="s">
        <v>105</v>
      </c>
      <c r="E98" s="261">
        <v>6438488</v>
      </c>
      <c r="F98" s="152">
        <v>0</v>
      </c>
      <c r="G98" s="287" t="s">
        <v>480</v>
      </c>
      <c r="H98" s="261">
        <v>6438488</v>
      </c>
      <c r="I98" s="152">
        <v>0</v>
      </c>
      <c r="J98" s="152">
        <v>0</v>
      </c>
      <c r="K98" s="152">
        <v>0</v>
      </c>
      <c r="L98" s="261">
        <v>6438488</v>
      </c>
    </row>
    <row r="99" spans="1:12" x14ac:dyDescent="0.25">
      <c r="A99" s="140" t="s">
        <v>93</v>
      </c>
      <c r="B99" s="141" t="s">
        <v>94</v>
      </c>
      <c r="C99" s="139">
        <v>124</v>
      </c>
      <c r="D99" s="139" t="s">
        <v>105</v>
      </c>
      <c r="E99" s="261">
        <v>1009278</v>
      </c>
      <c r="F99" s="152">
        <v>0</v>
      </c>
      <c r="G99" s="287" t="s">
        <v>480</v>
      </c>
      <c r="H99" s="261">
        <v>1009278</v>
      </c>
      <c r="I99" s="152">
        <v>0</v>
      </c>
      <c r="J99" s="152">
        <v>0</v>
      </c>
      <c r="K99" s="152">
        <v>0</v>
      </c>
      <c r="L99" s="261">
        <v>1009278</v>
      </c>
    </row>
    <row r="100" spans="1:12" x14ac:dyDescent="0.25">
      <c r="A100" s="140" t="s">
        <v>97</v>
      </c>
      <c r="B100" s="141" t="s">
        <v>98</v>
      </c>
      <c r="C100" s="139">
        <v>215</v>
      </c>
      <c r="D100" s="139" t="s">
        <v>105</v>
      </c>
      <c r="E100" s="261">
        <v>112982</v>
      </c>
      <c r="F100" s="152">
        <v>0</v>
      </c>
      <c r="G100" s="287" t="s">
        <v>480</v>
      </c>
      <c r="H100" s="261">
        <v>112982</v>
      </c>
      <c r="I100" s="152">
        <v>0</v>
      </c>
      <c r="J100" s="152">
        <v>0</v>
      </c>
      <c r="K100" s="152">
        <v>0</v>
      </c>
      <c r="L100" s="261">
        <v>112982</v>
      </c>
    </row>
    <row r="101" spans="1:12" x14ac:dyDescent="0.25">
      <c r="A101" s="140" t="s">
        <v>99</v>
      </c>
      <c r="B101" s="141" t="s">
        <v>100</v>
      </c>
      <c r="C101" s="139">
        <v>279</v>
      </c>
      <c r="D101" s="139" t="s">
        <v>105</v>
      </c>
      <c r="E101" s="261">
        <v>142458</v>
      </c>
      <c r="F101" s="152">
        <v>0</v>
      </c>
      <c r="G101" s="287" t="s">
        <v>480</v>
      </c>
      <c r="H101" s="261">
        <v>142458</v>
      </c>
      <c r="I101" s="152">
        <v>0</v>
      </c>
      <c r="J101" s="152">
        <v>0</v>
      </c>
      <c r="K101" s="152">
        <v>0</v>
      </c>
      <c r="L101" s="261">
        <v>142458</v>
      </c>
    </row>
    <row r="102" spans="1:12" ht="30.75" x14ac:dyDescent="0.25">
      <c r="A102" s="140" t="s">
        <v>112</v>
      </c>
      <c r="B102" s="141" t="s">
        <v>113</v>
      </c>
      <c r="C102" s="139">
        <v>255</v>
      </c>
      <c r="D102" s="139" t="s">
        <v>105</v>
      </c>
      <c r="E102" s="261">
        <v>1122</v>
      </c>
      <c r="F102" s="152">
        <v>0</v>
      </c>
      <c r="G102" s="287" t="s">
        <v>480</v>
      </c>
      <c r="H102" s="261">
        <v>1122</v>
      </c>
      <c r="I102" s="152">
        <v>0</v>
      </c>
      <c r="J102" s="152">
        <v>0</v>
      </c>
      <c r="K102" s="152">
        <v>0</v>
      </c>
      <c r="L102" s="261">
        <v>1122</v>
      </c>
    </row>
    <row r="103" spans="1:12" x14ac:dyDescent="0.25">
      <c r="A103" s="140" t="s">
        <v>101</v>
      </c>
      <c r="B103" s="141" t="s">
        <v>102</v>
      </c>
      <c r="C103" s="139">
        <v>73</v>
      </c>
      <c r="D103" s="139" t="s">
        <v>105</v>
      </c>
      <c r="E103" s="261">
        <v>699803</v>
      </c>
      <c r="F103" s="152">
        <v>0</v>
      </c>
      <c r="G103" s="287" t="s">
        <v>480</v>
      </c>
      <c r="H103" s="261">
        <v>699803</v>
      </c>
      <c r="I103" s="152">
        <v>0</v>
      </c>
      <c r="J103" s="152">
        <v>0</v>
      </c>
      <c r="K103" s="152">
        <v>0</v>
      </c>
      <c r="L103" s="261">
        <v>699803</v>
      </c>
    </row>
    <row r="104" spans="1:12" ht="30.75" x14ac:dyDescent="0.25">
      <c r="A104" s="140" t="s">
        <v>114</v>
      </c>
      <c r="B104" s="141" t="s">
        <v>115</v>
      </c>
      <c r="C104" s="139">
        <v>18</v>
      </c>
      <c r="D104" s="139" t="s">
        <v>105</v>
      </c>
      <c r="E104" s="261">
        <v>195373</v>
      </c>
      <c r="F104" s="152">
        <v>0</v>
      </c>
      <c r="G104" s="287" t="s">
        <v>480</v>
      </c>
      <c r="H104" s="261">
        <v>195373</v>
      </c>
      <c r="I104" s="152">
        <v>0</v>
      </c>
      <c r="J104" s="152">
        <v>0</v>
      </c>
      <c r="K104" s="152">
        <v>0</v>
      </c>
      <c r="L104" s="261">
        <v>195373</v>
      </c>
    </row>
    <row r="105" spans="1:12" x14ac:dyDescent="0.25">
      <c r="A105" s="140" t="s">
        <v>103</v>
      </c>
      <c r="B105" s="141" t="s">
        <v>104</v>
      </c>
      <c r="C105" s="139">
        <v>120</v>
      </c>
      <c r="D105" s="139" t="s">
        <v>105</v>
      </c>
      <c r="E105" s="261">
        <v>551742</v>
      </c>
      <c r="F105" s="152">
        <v>0</v>
      </c>
      <c r="G105" s="287" t="s">
        <v>480</v>
      </c>
      <c r="H105" s="261">
        <v>551742</v>
      </c>
      <c r="I105" s="152">
        <v>0</v>
      </c>
      <c r="J105" s="152">
        <v>0</v>
      </c>
      <c r="K105" s="152">
        <v>0</v>
      </c>
      <c r="L105" s="261">
        <v>551742</v>
      </c>
    </row>
    <row r="106" spans="1:12" x14ac:dyDescent="0.25">
      <c r="A106" s="140" t="s">
        <v>71</v>
      </c>
      <c r="B106" s="141" t="s">
        <v>72</v>
      </c>
      <c r="C106" s="139">
        <v>213</v>
      </c>
      <c r="D106" s="139" t="s">
        <v>116</v>
      </c>
      <c r="E106" s="261">
        <v>18220419</v>
      </c>
      <c r="F106" s="152">
        <v>0</v>
      </c>
      <c r="G106" s="287" t="s">
        <v>480</v>
      </c>
      <c r="H106" s="261">
        <v>18220419</v>
      </c>
      <c r="I106" s="152">
        <v>0</v>
      </c>
      <c r="J106" s="152">
        <v>0</v>
      </c>
      <c r="K106" s="152">
        <v>0</v>
      </c>
      <c r="L106" s="261">
        <v>18220419</v>
      </c>
    </row>
    <row r="107" spans="1:12" x14ac:dyDescent="0.25">
      <c r="A107" s="140" t="s">
        <v>63</v>
      </c>
      <c r="B107" s="141" t="s">
        <v>64</v>
      </c>
      <c r="C107" s="139">
        <v>353</v>
      </c>
      <c r="D107" s="139" t="s">
        <v>116</v>
      </c>
      <c r="E107" s="261">
        <v>1228961</v>
      </c>
      <c r="F107" s="261">
        <v>1228961</v>
      </c>
      <c r="G107" s="287" t="s">
        <v>480</v>
      </c>
      <c r="H107" s="152">
        <v>0</v>
      </c>
      <c r="I107" s="261">
        <v>6821</v>
      </c>
      <c r="J107" s="152">
        <v>0</v>
      </c>
      <c r="K107" s="261">
        <v>6821</v>
      </c>
      <c r="L107" s="261">
        <v>-6821</v>
      </c>
    </row>
    <row r="108" spans="1:12" ht="30.75" x14ac:dyDescent="0.25">
      <c r="A108" s="140" t="s">
        <v>73</v>
      </c>
      <c r="B108" s="141" t="s">
        <v>74</v>
      </c>
      <c r="C108" s="139">
        <v>67</v>
      </c>
      <c r="D108" s="139" t="s">
        <v>116</v>
      </c>
      <c r="E108" s="261">
        <v>164218</v>
      </c>
      <c r="F108" s="152">
        <v>0</v>
      </c>
      <c r="G108" s="287" t="s">
        <v>480</v>
      </c>
      <c r="H108" s="261">
        <v>164218</v>
      </c>
      <c r="I108" s="152">
        <v>0</v>
      </c>
      <c r="J108" s="152">
        <v>0</v>
      </c>
      <c r="K108" s="152">
        <v>0</v>
      </c>
      <c r="L108" s="261">
        <v>164218</v>
      </c>
    </row>
    <row r="109" spans="1:12" x14ac:dyDescent="0.25">
      <c r="A109" s="140" t="s">
        <v>75</v>
      </c>
      <c r="B109" s="141" t="s">
        <v>76</v>
      </c>
      <c r="C109" s="139">
        <v>88</v>
      </c>
      <c r="D109" s="139" t="s">
        <v>116</v>
      </c>
      <c r="E109" s="261">
        <v>99582</v>
      </c>
      <c r="F109" s="152">
        <v>0</v>
      </c>
      <c r="G109" s="287" t="s">
        <v>480</v>
      </c>
      <c r="H109" s="261">
        <v>99582</v>
      </c>
      <c r="I109" s="152">
        <v>0</v>
      </c>
      <c r="J109" s="152">
        <v>0</v>
      </c>
      <c r="K109" s="152">
        <v>0</v>
      </c>
      <c r="L109" s="261">
        <v>99582</v>
      </c>
    </row>
    <row r="110" spans="1:12" x14ac:dyDescent="0.25">
      <c r="A110" s="140" t="s">
        <v>77</v>
      </c>
      <c r="B110" s="141" t="s">
        <v>78</v>
      </c>
      <c r="C110" s="139">
        <v>158</v>
      </c>
      <c r="D110" s="139" t="s">
        <v>116</v>
      </c>
      <c r="E110" s="261">
        <v>321041</v>
      </c>
      <c r="F110" s="152">
        <v>0</v>
      </c>
      <c r="G110" s="287" t="s">
        <v>480</v>
      </c>
      <c r="H110" s="261">
        <v>321041</v>
      </c>
      <c r="I110" s="152">
        <v>0</v>
      </c>
      <c r="J110" s="152">
        <v>0</v>
      </c>
      <c r="K110" s="152">
        <v>0</v>
      </c>
      <c r="L110" s="261">
        <v>321041</v>
      </c>
    </row>
    <row r="111" spans="1:12" ht="30.75" x14ac:dyDescent="0.25">
      <c r="A111" s="140" t="s">
        <v>79</v>
      </c>
      <c r="B111" s="141" t="s">
        <v>80</v>
      </c>
      <c r="C111" s="139">
        <v>87</v>
      </c>
      <c r="D111" s="139" t="s">
        <v>116</v>
      </c>
      <c r="E111" s="261">
        <v>593232</v>
      </c>
      <c r="F111" s="152">
        <v>0</v>
      </c>
      <c r="G111" s="287" t="s">
        <v>480</v>
      </c>
      <c r="H111" s="261">
        <v>593232</v>
      </c>
      <c r="I111" s="152">
        <v>0</v>
      </c>
      <c r="J111" s="152">
        <v>0</v>
      </c>
      <c r="K111" s="152">
        <v>0</v>
      </c>
      <c r="L111" s="261">
        <v>593232</v>
      </c>
    </row>
    <row r="112" spans="1:12" x14ac:dyDescent="0.25">
      <c r="A112" s="140" t="s">
        <v>106</v>
      </c>
      <c r="B112" s="141" t="s">
        <v>107</v>
      </c>
      <c r="C112" s="139">
        <v>266</v>
      </c>
      <c r="D112" s="139" t="s">
        <v>116</v>
      </c>
      <c r="E112" s="261">
        <v>163634</v>
      </c>
      <c r="F112" s="152">
        <v>0</v>
      </c>
      <c r="G112" s="287" t="s">
        <v>480</v>
      </c>
      <c r="H112" s="261">
        <v>163634</v>
      </c>
      <c r="I112" s="152">
        <v>0</v>
      </c>
      <c r="J112" s="152">
        <v>0</v>
      </c>
      <c r="K112" s="152">
        <v>0</v>
      </c>
      <c r="L112" s="261">
        <v>163634</v>
      </c>
    </row>
    <row r="113" spans="1:12" x14ac:dyDescent="0.25">
      <c r="A113" s="140" t="s">
        <v>108</v>
      </c>
      <c r="B113" s="141" t="s">
        <v>109</v>
      </c>
      <c r="C113" s="139">
        <v>257</v>
      </c>
      <c r="D113" s="139" t="s">
        <v>116</v>
      </c>
      <c r="E113" s="261">
        <v>5788</v>
      </c>
      <c r="F113" s="152">
        <v>0</v>
      </c>
      <c r="G113" s="287" t="s">
        <v>480</v>
      </c>
      <c r="H113" s="261">
        <v>5788</v>
      </c>
      <c r="I113" s="152">
        <v>0</v>
      </c>
      <c r="J113" s="152">
        <v>0</v>
      </c>
      <c r="K113" s="152">
        <v>0</v>
      </c>
      <c r="L113" s="261">
        <v>5788</v>
      </c>
    </row>
    <row r="114" spans="1:12" x14ac:dyDescent="0.25">
      <c r="A114" s="140" t="s">
        <v>117</v>
      </c>
      <c r="B114" s="141" t="s">
        <v>118</v>
      </c>
      <c r="C114" s="139">
        <v>23</v>
      </c>
      <c r="D114" s="139" t="s">
        <v>116</v>
      </c>
      <c r="E114" s="261">
        <v>5861791</v>
      </c>
      <c r="F114" s="152">
        <v>0</v>
      </c>
      <c r="G114" s="287" t="s">
        <v>480</v>
      </c>
      <c r="H114" s="261">
        <v>5861791</v>
      </c>
      <c r="I114" s="152">
        <v>0</v>
      </c>
      <c r="J114" s="152">
        <v>0</v>
      </c>
      <c r="K114" s="152">
        <v>0</v>
      </c>
      <c r="L114" s="261">
        <v>5861791</v>
      </c>
    </row>
    <row r="115" spans="1:12" ht="30.75" x14ac:dyDescent="0.25">
      <c r="A115" s="140" t="s">
        <v>110</v>
      </c>
      <c r="B115" s="141" t="s">
        <v>111</v>
      </c>
      <c r="C115" s="139">
        <v>35</v>
      </c>
      <c r="D115" s="139" t="s">
        <v>116</v>
      </c>
      <c r="E115" s="261">
        <v>134655</v>
      </c>
      <c r="F115" s="152">
        <v>0</v>
      </c>
      <c r="G115" s="287" t="s">
        <v>480</v>
      </c>
      <c r="H115" s="261">
        <v>134655</v>
      </c>
      <c r="I115" s="152">
        <v>0</v>
      </c>
      <c r="J115" s="152">
        <v>0</v>
      </c>
      <c r="K115" s="152">
        <v>0</v>
      </c>
      <c r="L115" s="261">
        <v>134655</v>
      </c>
    </row>
    <row r="116" spans="1:12" ht="30.75" x14ac:dyDescent="0.25">
      <c r="A116" s="140" t="s">
        <v>81</v>
      </c>
      <c r="B116" s="141" t="s">
        <v>82</v>
      </c>
      <c r="C116" s="139">
        <v>300</v>
      </c>
      <c r="D116" s="139" t="s">
        <v>116</v>
      </c>
      <c r="E116" s="261">
        <v>9133</v>
      </c>
      <c r="F116" s="261">
        <v>5761</v>
      </c>
      <c r="G116" s="287" t="s">
        <v>480</v>
      </c>
      <c r="H116" s="261">
        <v>3372</v>
      </c>
      <c r="I116" s="152">
        <v>0</v>
      </c>
      <c r="J116" s="152">
        <v>0</v>
      </c>
      <c r="K116" s="152">
        <v>0</v>
      </c>
      <c r="L116" s="261">
        <v>3372</v>
      </c>
    </row>
    <row r="117" spans="1:12" ht="30.75" x14ac:dyDescent="0.25">
      <c r="A117" s="140" t="s">
        <v>83</v>
      </c>
      <c r="B117" s="141" t="s">
        <v>84</v>
      </c>
      <c r="C117" s="139">
        <v>203</v>
      </c>
      <c r="D117" s="139" t="s">
        <v>116</v>
      </c>
      <c r="E117" s="261">
        <v>3146513</v>
      </c>
      <c r="F117" s="152">
        <v>0</v>
      </c>
      <c r="G117" s="287" t="s">
        <v>480</v>
      </c>
      <c r="H117" s="261">
        <v>3146513</v>
      </c>
      <c r="I117" s="152">
        <v>0</v>
      </c>
      <c r="J117" s="152">
        <v>0</v>
      </c>
      <c r="K117" s="152">
        <v>0</v>
      </c>
      <c r="L117" s="261">
        <v>3146513</v>
      </c>
    </row>
    <row r="118" spans="1:12" ht="30.75" x14ac:dyDescent="0.25">
      <c r="A118" s="140" t="s">
        <v>85</v>
      </c>
      <c r="B118" s="141" t="s">
        <v>86</v>
      </c>
      <c r="C118" s="139">
        <v>39</v>
      </c>
      <c r="D118" s="139" t="s">
        <v>116</v>
      </c>
      <c r="E118" s="261">
        <v>295550</v>
      </c>
      <c r="F118" s="152">
        <v>0</v>
      </c>
      <c r="G118" s="287" t="s">
        <v>480</v>
      </c>
      <c r="H118" s="261">
        <v>295550</v>
      </c>
      <c r="I118" s="152">
        <v>0</v>
      </c>
      <c r="J118" s="152">
        <v>0</v>
      </c>
      <c r="K118" s="152">
        <v>0</v>
      </c>
      <c r="L118" s="261">
        <v>295550</v>
      </c>
    </row>
    <row r="119" spans="1:12" x14ac:dyDescent="0.25">
      <c r="A119" s="140" t="s">
        <v>87</v>
      </c>
      <c r="B119" s="141" t="s">
        <v>88</v>
      </c>
      <c r="C119" s="139">
        <v>66</v>
      </c>
      <c r="D119" s="139" t="s">
        <v>116</v>
      </c>
      <c r="E119" s="261">
        <v>16698</v>
      </c>
      <c r="F119" s="152">
        <v>0</v>
      </c>
      <c r="G119" s="287" t="s">
        <v>480</v>
      </c>
      <c r="H119" s="261">
        <v>16698</v>
      </c>
      <c r="I119" s="152">
        <v>0</v>
      </c>
      <c r="J119" s="152">
        <v>0</v>
      </c>
      <c r="K119" s="152">
        <v>0</v>
      </c>
      <c r="L119" s="261">
        <v>16698</v>
      </c>
    </row>
    <row r="120" spans="1:12" x14ac:dyDescent="0.25">
      <c r="A120" s="140" t="s">
        <v>89</v>
      </c>
      <c r="B120" s="141" t="s">
        <v>90</v>
      </c>
      <c r="C120" s="139">
        <v>200</v>
      </c>
      <c r="D120" s="139" t="s">
        <v>116</v>
      </c>
      <c r="E120" s="261">
        <v>2338247</v>
      </c>
      <c r="F120" s="152">
        <v>0</v>
      </c>
      <c r="G120" s="287" t="s">
        <v>480</v>
      </c>
      <c r="H120" s="261">
        <v>2338247</v>
      </c>
      <c r="I120" s="152">
        <v>0</v>
      </c>
      <c r="J120" s="152">
        <v>0</v>
      </c>
      <c r="K120" s="152">
        <v>0</v>
      </c>
      <c r="L120" s="261">
        <v>2338247</v>
      </c>
    </row>
    <row r="121" spans="1:12" x14ac:dyDescent="0.25">
      <c r="A121" s="140" t="s">
        <v>56</v>
      </c>
      <c r="B121" s="141" t="s">
        <v>57</v>
      </c>
      <c r="C121" s="139">
        <v>219</v>
      </c>
      <c r="D121" s="139" t="s">
        <v>116</v>
      </c>
      <c r="E121" s="261">
        <v>15545535</v>
      </c>
      <c r="F121" s="152">
        <v>0</v>
      </c>
      <c r="G121" s="287" t="s">
        <v>480</v>
      </c>
      <c r="H121" s="261">
        <v>15545535</v>
      </c>
      <c r="I121" s="152">
        <v>0</v>
      </c>
      <c r="J121" s="152">
        <v>0</v>
      </c>
      <c r="K121" s="152">
        <v>0</v>
      </c>
      <c r="L121" s="261">
        <v>15545535</v>
      </c>
    </row>
    <row r="122" spans="1:12" ht="30.75" x14ac:dyDescent="0.25">
      <c r="A122" s="140" t="s">
        <v>91</v>
      </c>
      <c r="B122" s="141" t="s">
        <v>92</v>
      </c>
      <c r="C122" s="139">
        <v>122</v>
      </c>
      <c r="D122" s="139" t="s">
        <v>116</v>
      </c>
      <c r="E122" s="261">
        <v>277610</v>
      </c>
      <c r="F122" s="152">
        <v>0</v>
      </c>
      <c r="G122" s="287" t="s">
        <v>480</v>
      </c>
      <c r="H122" s="261">
        <v>277610</v>
      </c>
      <c r="I122" s="152">
        <v>0</v>
      </c>
      <c r="J122" s="152">
        <v>0</v>
      </c>
      <c r="K122" s="152">
        <v>0</v>
      </c>
      <c r="L122" s="261">
        <v>277610</v>
      </c>
    </row>
    <row r="123" spans="1:12" x14ac:dyDescent="0.25">
      <c r="A123" s="140" t="s">
        <v>119</v>
      </c>
      <c r="B123" s="141" t="s">
        <v>120</v>
      </c>
      <c r="C123" s="139">
        <v>118</v>
      </c>
      <c r="D123" s="139" t="s">
        <v>116</v>
      </c>
      <c r="E123" s="261">
        <v>4797410</v>
      </c>
      <c r="F123" s="152">
        <v>0</v>
      </c>
      <c r="G123" s="287" t="s">
        <v>480</v>
      </c>
      <c r="H123" s="261">
        <v>4797410</v>
      </c>
      <c r="I123" s="152">
        <v>0</v>
      </c>
      <c r="J123" s="152">
        <v>0</v>
      </c>
      <c r="K123" s="152">
        <v>0</v>
      </c>
      <c r="L123" s="261">
        <v>4797410</v>
      </c>
    </row>
    <row r="124" spans="1:12" x14ac:dyDescent="0.25">
      <c r="A124" s="140" t="s">
        <v>51</v>
      </c>
      <c r="B124" s="141" t="s">
        <v>52</v>
      </c>
      <c r="C124" s="139">
        <v>187</v>
      </c>
      <c r="D124" s="139" t="s">
        <v>116</v>
      </c>
      <c r="E124" s="261">
        <v>9211360</v>
      </c>
      <c r="F124" s="152">
        <v>0</v>
      </c>
      <c r="G124" s="287" t="s">
        <v>480</v>
      </c>
      <c r="H124" s="261">
        <v>9211360</v>
      </c>
      <c r="I124" s="152">
        <v>0</v>
      </c>
      <c r="J124" s="152">
        <v>0</v>
      </c>
      <c r="K124" s="152">
        <v>0</v>
      </c>
      <c r="L124" s="261">
        <v>9211360</v>
      </c>
    </row>
    <row r="125" spans="1:12" x14ac:dyDescent="0.25">
      <c r="A125" s="140" t="s">
        <v>93</v>
      </c>
      <c r="B125" s="141" t="s">
        <v>94</v>
      </c>
      <c r="C125" s="139">
        <v>124</v>
      </c>
      <c r="D125" s="139" t="s">
        <v>116</v>
      </c>
      <c r="E125" s="261">
        <v>1280819</v>
      </c>
      <c r="F125" s="152">
        <v>0</v>
      </c>
      <c r="G125" s="287" t="s">
        <v>480</v>
      </c>
      <c r="H125" s="261">
        <v>1280819</v>
      </c>
      <c r="I125" s="152">
        <v>0</v>
      </c>
      <c r="J125" s="152">
        <v>0</v>
      </c>
      <c r="K125" s="152">
        <v>0</v>
      </c>
      <c r="L125" s="261">
        <v>1280819</v>
      </c>
    </row>
    <row r="126" spans="1:12" x14ac:dyDescent="0.25">
      <c r="A126" s="140" t="s">
        <v>97</v>
      </c>
      <c r="B126" s="141" t="s">
        <v>98</v>
      </c>
      <c r="C126" s="139">
        <v>215</v>
      </c>
      <c r="D126" s="139" t="s">
        <v>116</v>
      </c>
      <c r="E126" s="261">
        <v>163955</v>
      </c>
      <c r="F126" s="152">
        <v>0</v>
      </c>
      <c r="G126" s="287" t="s">
        <v>480</v>
      </c>
      <c r="H126" s="261">
        <v>163955</v>
      </c>
      <c r="I126" s="152">
        <v>0</v>
      </c>
      <c r="J126" s="152">
        <v>0</v>
      </c>
      <c r="K126" s="152">
        <v>0</v>
      </c>
      <c r="L126" s="261">
        <v>163955</v>
      </c>
    </row>
    <row r="127" spans="1:12" x14ac:dyDescent="0.25">
      <c r="A127" s="140" t="s">
        <v>99</v>
      </c>
      <c r="B127" s="141" t="s">
        <v>100</v>
      </c>
      <c r="C127" s="139">
        <v>279</v>
      </c>
      <c r="D127" s="139" t="s">
        <v>116</v>
      </c>
      <c r="E127" s="261">
        <v>123677</v>
      </c>
      <c r="F127" s="152">
        <v>0</v>
      </c>
      <c r="G127" s="287" t="s">
        <v>480</v>
      </c>
      <c r="H127" s="261">
        <v>123677</v>
      </c>
      <c r="I127" s="152">
        <v>0</v>
      </c>
      <c r="J127" s="152">
        <v>0</v>
      </c>
      <c r="K127" s="152">
        <v>0</v>
      </c>
      <c r="L127" s="261">
        <v>123677</v>
      </c>
    </row>
    <row r="128" spans="1:12" ht="30.75" x14ac:dyDescent="0.25">
      <c r="A128" s="140" t="s">
        <v>112</v>
      </c>
      <c r="B128" s="141" t="s">
        <v>113</v>
      </c>
      <c r="C128" s="139">
        <v>255</v>
      </c>
      <c r="D128" s="139" t="s">
        <v>116</v>
      </c>
      <c r="E128" s="261">
        <v>4338</v>
      </c>
      <c r="F128" s="152">
        <v>0</v>
      </c>
      <c r="G128" s="287" t="s">
        <v>480</v>
      </c>
      <c r="H128" s="261">
        <v>4338</v>
      </c>
      <c r="I128" s="152">
        <v>0</v>
      </c>
      <c r="J128" s="152">
        <v>0</v>
      </c>
      <c r="K128" s="152">
        <v>0</v>
      </c>
      <c r="L128" s="261">
        <v>4338</v>
      </c>
    </row>
    <row r="129" spans="1:12" x14ac:dyDescent="0.25">
      <c r="A129" s="140" t="s">
        <v>101</v>
      </c>
      <c r="B129" s="141" t="s">
        <v>102</v>
      </c>
      <c r="C129" s="139">
        <v>73</v>
      </c>
      <c r="D129" s="139" t="s">
        <v>116</v>
      </c>
      <c r="E129" s="261">
        <v>834422</v>
      </c>
      <c r="F129" s="152">
        <v>0</v>
      </c>
      <c r="G129" s="287" t="s">
        <v>480</v>
      </c>
      <c r="H129" s="261">
        <v>834422</v>
      </c>
      <c r="I129" s="152">
        <v>0</v>
      </c>
      <c r="J129" s="152">
        <v>0</v>
      </c>
      <c r="K129" s="152">
        <v>0</v>
      </c>
      <c r="L129" s="261">
        <v>834422</v>
      </c>
    </row>
    <row r="130" spans="1:12" ht="30.75" x14ac:dyDescent="0.25">
      <c r="A130" s="140" t="s">
        <v>114</v>
      </c>
      <c r="B130" s="141" t="s">
        <v>115</v>
      </c>
      <c r="C130" s="139">
        <v>18</v>
      </c>
      <c r="D130" s="139" t="s">
        <v>116</v>
      </c>
      <c r="E130" s="261">
        <v>284904</v>
      </c>
      <c r="F130" s="152">
        <v>0</v>
      </c>
      <c r="G130" s="287" t="s">
        <v>480</v>
      </c>
      <c r="H130" s="261">
        <v>284904</v>
      </c>
      <c r="I130" s="152">
        <v>0</v>
      </c>
      <c r="J130" s="152">
        <v>0</v>
      </c>
      <c r="K130" s="152">
        <v>0</v>
      </c>
      <c r="L130" s="261">
        <v>284904</v>
      </c>
    </row>
    <row r="131" spans="1:12" x14ac:dyDescent="0.25">
      <c r="A131" s="140" t="s">
        <v>103</v>
      </c>
      <c r="B131" s="141" t="s">
        <v>104</v>
      </c>
      <c r="C131" s="139">
        <v>120</v>
      </c>
      <c r="D131" s="139" t="s">
        <v>116</v>
      </c>
      <c r="E131" s="261">
        <v>551719</v>
      </c>
      <c r="F131" s="152">
        <v>0</v>
      </c>
      <c r="G131" s="287" t="s">
        <v>480</v>
      </c>
      <c r="H131" s="261">
        <v>551719</v>
      </c>
      <c r="I131" s="152">
        <v>0</v>
      </c>
      <c r="J131" s="152">
        <v>0</v>
      </c>
      <c r="K131" s="152">
        <v>0</v>
      </c>
      <c r="L131" s="261">
        <v>551719</v>
      </c>
    </row>
    <row r="132" spans="1:12" x14ac:dyDescent="0.25">
      <c r="A132" s="140" t="s">
        <v>71</v>
      </c>
      <c r="B132" s="141" t="s">
        <v>72</v>
      </c>
      <c r="C132" s="139">
        <v>213</v>
      </c>
      <c r="D132" s="139" t="s">
        <v>121</v>
      </c>
      <c r="E132" s="261">
        <v>17241364</v>
      </c>
      <c r="F132" s="261">
        <v>17241364</v>
      </c>
      <c r="G132" s="287" t="s">
        <v>480</v>
      </c>
      <c r="H132" s="152">
        <v>0</v>
      </c>
      <c r="I132" s="261">
        <v>7522234</v>
      </c>
      <c r="J132" s="261">
        <v>6773030</v>
      </c>
      <c r="K132" s="261">
        <v>749204</v>
      </c>
      <c r="L132" s="261">
        <v>-749204</v>
      </c>
    </row>
    <row r="133" spans="1:12" x14ac:dyDescent="0.25">
      <c r="A133" s="140" t="s">
        <v>63</v>
      </c>
      <c r="B133" s="141" t="s">
        <v>64</v>
      </c>
      <c r="C133" s="139">
        <v>353</v>
      </c>
      <c r="D133" s="139" t="s">
        <v>121</v>
      </c>
      <c r="E133" s="261">
        <v>866729</v>
      </c>
      <c r="F133" s="261">
        <v>866729</v>
      </c>
      <c r="G133" s="287" t="s">
        <v>480</v>
      </c>
      <c r="H133" s="152">
        <v>0</v>
      </c>
      <c r="I133" s="261">
        <v>6573</v>
      </c>
      <c r="J133" s="152">
        <v>0</v>
      </c>
      <c r="K133" s="261">
        <v>6573</v>
      </c>
      <c r="L133" s="261">
        <v>-6573</v>
      </c>
    </row>
    <row r="134" spans="1:12" x14ac:dyDescent="0.25">
      <c r="A134" s="140" t="s">
        <v>117</v>
      </c>
      <c r="B134" s="141" t="s">
        <v>118</v>
      </c>
      <c r="C134" s="139">
        <v>23</v>
      </c>
      <c r="D134" s="139" t="s">
        <v>121</v>
      </c>
      <c r="E134" s="261">
        <v>4926471</v>
      </c>
      <c r="F134" s="261">
        <v>4901214</v>
      </c>
      <c r="G134" s="287" t="s">
        <v>480</v>
      </c>
      <c r="H134" s="261">
        <v>25257</v>
      </c>
      <c r="I134" s="261">
        <v>319599</v>
      </c>
      <c r="J134" s="261">
        <v>262355</v>
      </c>
      <c r="K134" s="261">
        <v>57244</v>
      </c>
      <c r="L134" s="261">
        <v>-31987</v>
      </c>
    </row>
    <row r="135" spans="1:12" ht="30.75" x14ac:dyDescent="0.25">
      <c r="A135" s="140" t="s">
        <v>83</v>
      </c>
      <c r="B135" s="141" t="s">
        <v>84</v>
      </c>
      <c r="C135" s="139">
        <v>203</v>
      </c>
      <c r="D135" s="139" t="s">
        <v>121</v>
      </c>
      <c r="E135" s="261">
        <v>3003738</v>
      </c>
      <c r="F135" s="261">
        <v>2950498</v>
      </c>
      <c r="G135" s="287" t="s">
        <v>480</v>
      </c>
      <c r="H135" s="261">
        <v>53240</v>
      </c>
      <c r="I135" s="261">
        <v>341376</v>
      </c>
      <c r="J135" s="261">
        <v>341376</v>
      </c>
      <c r="K135" s="152">
        <v>0</v>
      </c>
      <c r="L135" s="261">
        <v>53240</v>
      </c>
    </row>
    <row r="136" spans="1:12" x14ac:dyDescent="0.25">
      <c r="A136" s="140" t="s">
        <v>89</v>
      </c>
      <c r="B136" s="141" t="s">
        <v>90</v>
      </c>
      <c r="C136" s="139">
        <v>200</v>
      </c>
      <c r="D136" s="139" t="s">
        <v>121</v>
      </c>
      <c r="E136" s="261">
        <v>1707977</v>
      </c>
      <c r="F136" s="261">
        <v>1702574</v>
      </c>
      <c r="G136" s="287" t="s">
        <v>480</v>
      </c>
      <c r="H136" s="261">
        <v>5403</v>
      </c>
      <c r="I136" s="261">
        <v>439438</v>
      </c>
      <c r="J136" s="261">
        <v>439438</v>
      </c>
      <c r="K136" s="152">
        <v>0</v>
      </c>
      <c r="L136" s="261">
        <v>5403</v>
      </c>
    </row>
    <row r="137" spans="1:12" x14ac:dyDescent="0.25">
      <c r="A137" s="140" t="s">
        <v>56</v>
      </c>
      <c r="B137" s="141" t="s">
        <v>57</v>
      </c>
      <c r="C137" s="139">
        <v>219</v>
      </c>
      <c r="D137" s="139" t="s">
        <v>121</v>
      </c>
      <c r="E137" s="261">
        <v>14755073</v>
      </c>
      <c r="F137" s="152">
        <v>0</v>
      </c>
      <c r="G137" s="287" t="s">
        <v>480</v>
      </c>
      <c r="H137" s="261">
        <v>14755073</v>
      </c>
      <c r="I137" s="152">
        <v>0</v>
      </c>
      <c r="J137" s="152">
        <v>0</v>
      </c>
      <c r="K137" s="152">
        <v>0</v>
      </c>
      <c r="L137" s="261">
        <v>14755073</v>
      </c>
    </row>
    <row r="138" spans="1:12" x14ac:dyDescent="0.25">
      <c r="A138" s="140" t="s">
        <v>119</v>
      </c>
      <c r="B138" s="141" t="s">
        <v>120</v>
      </c>
      <c r="C138" s="139">
        <v>118</v>
      </c>
      <c r="D138" s="139" t="s">
        <v>121</v>
      </c>
      <c r="E138" s="261">
        <v>5458348</v>
      </c>
      <c r="F138" s="261">
        <v>5346969</v>
      </c>
      <c r="G138" s="287" t="s">
        <v>480</v>
      </c>
      <c r="H138" s="261">
        <v>111379</v>
      </c>
      <c r="I138" s="261">
        <v>499658</v>
      </c>
      <c r="J138" s="261">
        <v>499658</v>
      </c>
      <c r="K138" s="152">
        <v>0</v>
      </c>
      <c r="L138" s="261">
        <v>111379</v>
      </c>
    </row>
    <row r="139" spans="1:12" x14ac:dyDescent="0.25">
      <c r="A139" s="140" t="s">
        <v>51</v>
      </c>
      <c r="B139" s="141" t="s">
        <v>52</v>
      </c>
      <c r="C139" s="139">
        <v>187</v>
      </c>
      <c r="D139" s="139" t="s">
        <v>121</v>
      </c>
      <c r="E139" s="261">
        <v>9846865</v>
      </c>
      <c r="F139" s="261">
        <v>7917464</v>
      </c>
      <c r="G139" s="287" t="s">
        <v>480</v>
      </c>
      <c r="H139" s="261">
        <v>1929401</v>
      </c>
      <c r="I139" s="261">
        <v>10543101</v>
      </c>
      <c r="J139" s="261">
        <v>10543101</v>
      </c>
      <c r="K139" s="152">
        <v>0</v>
      </c>
      <c r="L139" s="261">
        <v>1929401</v>
      </c>
    </row>
    <row r="140" spans="1:12" x14ac:dyDescent="0.25">
      <c r="A140" s="140" t="s">
        <v>97</v>
      </c>
      <c r="B140" s="141" t="s">
        <v>98</v>
      </c>
      <c r="C140" s="139">
        <v>215</v>
      </c>
      <c r="D140" s="139" t="s">
        <v>121</v>
      </c>
      <c r="E140" s="261">
        <v>309808</v>
      </c>
      <c r="F140" s="261">
        <v>298328</v>
      </c>
      <c r="G140" s="287" t="s">
        <v>480</v>
      </c>
      <c r="H140" s="261">
        <v>11480</v>
      </c>
      <c r="I140" s="261">
        <v>224111</v>
      </c>
      <c r="J140" s="261">
        <v>224111</v>
      </c>
      <c r="K140" s="152">
        <v>0</v>
      </c>
      <c r="L140" s="261">
        <v>11480</v>
      </c>
    </row>
    <row r="141" spans="1:12" x14ac:dyDescent="0.25">
      <c r="A141" s="140" t="s">
        <v>99</v>
      </c>
      <c r="B141" s="141" t="s">
        <v>100</v>
      </c>
      <c r="C141" s="139">
        <v>279</v>
      </c>
      <c r="D141" s="139" t="s">
        <v>121</v>
      </c>
      <c r="E141" s="261">
        <v>359305</v>
      </c>
      <c r="F141" s="261">
        <v>334797</v>
      </c>
      <c r="G141" s="287" t="s">
        <v>480</v>
      </c>
      <c r="H141" s="261">
        <v>24508</v>
      </c>
      <c r="I141" s="152">
        <v>0</v>
      </c>
      <c r="J141" s="152">
        <v>0</v>
      </c>
      <c r="K141" s="152">
        <v>0</v>
      </c>
      <c r="L141" s="261">
        <v>24508</v>
      </c>
    </row>
    <row r="142" spans="1:12" ht="30.75" x14ac:dyDescent="0.25">
      <c r="A142" s="140" t="s">
        <v>114</v>
      </c>
      <c r="B142" s="141" t="s">
        <v>115</v>
      </c>
      <c r="C142" s="139">
        <v>18</v>
      </c>
      <c r="D142" s="139" t="s">
        <v>121</v>
      </c>
      <c r="E142" s="261">
        <v>273468</v>
      </c>
      <c r="F142" s="261">
        <v>273084</v>
      </c>
      <c r="G142" s="287" t="s">
        <v>480</v>
      </c>
      <c r="H142" s="261">
        <v>384</v>
      </c>
      <c r="I142" s="261">
        <v>384</v>
      </c>
      <c r="J142" s="261">
        <v>384</v>
      </c>
      <c r="K142" s="152">
        <v>0</v>
      </c>
      <c r="L142" s="261">
        <v>384</v>
      </c>
    </row>
    <row r="143" spans="1:12" x14ac:dyDescent="0.25">
      <c r="A143" s="140" t="s">
        <v>71</v>
      </c>
      <c r="B143" s="141" t="s">
        <v>72</v>
      </c>
      <c r="C143" s="139">
        <v>213</v>
      </c>
      <c r="D143" s="139" t="s">
        <v>122</v>
      </c>
      <c r="E143" s="261">
        <v>17225079</v>
      </c>
      <c r="F143" s="261">
        <v>17202021</v>
      </c>
      <c r="G143" s="287" t="s">
        <v>480</v>
      </c>
      <c r="H143" s="261">
        <v>23058</v>
      </c>
      <c r="I143" s="261">
        <v>4824796</v>
      </c>
      <c r="J143" s="261">
        <v>4383227</v>
      </c>
      <c r="K143" s="261">
        <v>441569</v>
      </c>
      <c r="L143" s="261">
        <v>-418511</v>
      </c>
    </row>
    <row r="144" spans="1:12" x14ac:dyDescent="0.25">
      <c r="A144" s="140" t="s">
        <v>63</v>
      </c>
      <c r="B144" s="141" t="s">
        <v>64</v>
      </c>
      <c r="C144" s="139">
        <v>353</v>
      </c>
      <c r="D144" s="139" t="s">
        <v>122</v>
      </c>
      <c r="E144" s="261">
        <v>660948</v>
      </c>
      <c r="F144" s="261">
        <v>660948</v>
      </c>
      <c r="G144" s="287" t="s">
        <v>480</v>
      </c>
      <c r="H144" s="152">
        <v>0</v>
      </c>
      <c r="I144" s="261">
        <v>6766</v>
      </c>
      <c r="J144" s="152">
        <v>0</v>
      </c>
      <c r="K144" s="261">
        <v>6766</v>
      </c>
      <c r="L144" s="261">
        <v>-6766</v>
      </c>
    </row>
    <row r="145" spans="1:12" ht="30.75" x14ac:dyDescent="0.25">
      <c r="A145" s="140" t="s">
        <v>81</v>
      </c>
      <c r="B145" s="141" t="s">
        <v>82</v>
      </c>
      <c r="C145" s="139">
        <v>300</v>
      </c>
      <c r="D145" s="139" t="s">
        <v>122</v>
      </c>
      <c r="E145" s="261">
        <v>196139</v>
      </c>
      <c r="F145" s="261">
        <v>192604</v>
      </c>
      <c r="G145" s="287" t="s">
        <v>480</v>
      </c>
      <c r="H145" s="261">
        <v>3535</v>
      </c>
      <c r="I145" s="152">
        <v>0</v>
      </c>
      <c r="J145" s="152">
        <v>0</v>
      </c>
      <c r="K145" s="152">
        <v>0</v>
      </c>
      <c r="L145" s="261">
        <v>3535</v>
      </c>
    </row>
    <row r="146" spans="1:12" x14ac:dyDescent="0.25">
      <c r="A146" s="140" t="s">
        <v>56</v>
      </c>
      <c r="B146" s="141" t="s">
        <v>57</v>
      </c>
      <c r="C146" s="139">
        <v>219</v>
      </c>
      <c r="D146" s="139" t="s">
        <v>122</v>
      </c>
      <c r="E146" s="261">
        <v>13579524</v>
      </c>
      <c r="F146" s="261">
        <v>400803</v>
      </c>
      <c r="G146" s="287" t="s">
        <v>480</v>
      </c>
      <c r="H146" s="261">
        <v>13178721</v>
      </c>
      <c r="I146" s="261">
        <v>187248</v>
      </c>
      <c r="J146" s="261">
        <v>179625</v>
      </c>
      <c r="K146" s="261">
        <v>7623</v>
      </c>
      <c r="L146" s="261">
        <v>13171098</v>
      </c>
    </row>
    <row r="147" spans="1:12" x14ac:dyDescent="0.25">
      <c r="A147" s="140" t="s">
        <v>51</v>
      </c>
      <c r="B147" s="141" t="s">
        <v>52</v>
      </c>
      <c r="C147" s="139">
        <v>187</v>
      </c>
      <c r="D147" s="139" t="s">
        <v>122</v>
      </c>
      <c r="E147" s="261">
        <v>13310225</v>
      </c>
      <c r="F147" s="261">
        <v>11075800</v>
      </c>
      <c r="G147" s="287" t="s">
        <v>480</v>
      </c>
      <c r="H147" s="261">
        <v>2234425</v>
      </c>
      <c r="I147" s="261">
        <v>6047022</v>
      </c>
      <c r="J147" s="261">
        <v>6047022</v>
      </c>
      <c r="K147" s="152">
        <v>0</v>
      </c>
      <c r="L147" s="261">
        <v>2234425</v>
      </c>
    </row>
    <row r="148" spans="1:12" x14ac:dyDescent="0.25">
      <c r="A148" s="140" t="s">
        <v>99</v>
      </c>
      <c r="B148" s="141" t="s">
        <v>100</v>
      </c>
      <c r="C148" s="139">
        <v>279</v>
      </c>
      <c r="D148" s="139" t="s">
        <v>122</v>
      </c>
      <c r="E148" s="261">
        <v>173372</v>
      </c>
      <c r="F148" s="261">
        <v>134566</v>
      </c>
      <c r="G148" s="287" t="s">
        <v>480</v>
      </c>
      <c r="H148" s="261">
        <v>38806</v>
      </c>
      <c r="I148" s="152">
        <v>0</v>
      </c>
      <c r="J148" s="152">
        <v>0</v>
      </c>
      <c r="K148" s="152">
        <v>0</v>
      </c>
      <c r="L148" s="261">
        <v>38806</v>
      </c>
    </row>
    <row r="149" spans="1:12" ht="30.75" x14ac:dyDescent="0.25">
      <c r="A149" s="140" t="s">
        <v>114</v>
      </c>
      <c r="B149" s="141" t="s">
        <v>115</v>
      </c>
      <c r="C149" s="139">
        <v>18</v>
      </c>
      <c r="D149" s="139" t="s">
        <v>122</v>
      </c>
      <c r="E149" s="261">
        <v>258165</v>
      </c>
      <c r="F149" s="261">
        <v>258032</v>
      </c>
      <c r="G149" s="287" t="s">
        <v>480</v>
      </c>
      <c r="H149" s="261">
        <v>133</v>
      </c>
      <c r="I149" s="261">
        <v>133</v>
      </c>
      <c r="J149" s="261">
        <v>133</v>
      </c>
      <c r="K149" s="152">
        <v>0</v>
      </c>
      <c r="L149" s="261">
        <v>133</v>
      </c>
    </row>
    <row r="150" spans="1:12" x14ac:dyDescent="0.25">
      <c r="A150" s="140" t="s">
        <v>59</v>
      </c>
      <c r="B150" s="141" t="s">
        <v>60</v>
      </c>
      <c r="C150" s="139">
        <v>2</v>
      </c>
      <c r="D150" s="139" t="s">
        <v>123</v>
      </c>
      <c r="E150" s="261">
        <v>17563599</v>
      </c>
      <c r="F150" s="261">
        <v>17516451</v>
      </c>
      <c r="G150" s="287" t="s">
        <v>480</v>
      </c>
      <c r="H150" s="261">
        <v>47148</v>
      </c>
      <c r="I150" s="261">
        <v>2316857</v>
      </c>
      <c r="J150" s="261">
        <v>2316857</v>
      </c>
      <c r="K150" s="152">
        <v>0</v>
      </c>
      <c r="L150" s="261">
        <v>47148</v>
      </c>
    </row>
    <row r="151" spans="1:12" x14ac:dyDescent="0.25">
      <c r="A151" s="140" t="s">
        <v>71</v>
      </c>
      <c r="B151" s="141" t="s">
        <v>72</v>
      </c>
      <c r="C151" s="139">
        <v>213</v>
      </c>
      <c r="D151" s="139" t="s">
        <v>123</v>
      </c>
      <c r="E151" s="261">
        <v>19847433</v>
      </c>
      <c r="F151" s="261">
        <v>19847433</v>
      </c>
      <c r="G151" s="287" t="s">
        <v>480</v>
      </c>
      <c r="H151" s="152">
        <v>0</v>
      </c>
      <c r="I151" s="261">
        <v>3917590</v>
      </c>
      <c r="J151" s="261">
        <v>3843233</v>
      </c>
      <c r="K151" s="261">
        <v>74357</v>
      </c>
      <c r="L151" s="261">
        <v>-74357</v>
      </c>
    </row>
    <row r="152" spans="1:12" x14ac:dyDescent="0.25">
      <c r="A152" s="140" t="s">
        <v>63</v>
      </c>
      <c r="B152" s="141" t="s">
        <v>64</v>
      </c>
      <c r="C152" s="139">
        <v>353</v>
      </c>
      <c r="D152" s="139" t="s">
        <v>123</v>
      </c>
      <c r="E152" s="261">
        <v>515185</v>
      </c>
      <c r="F152" s="261">
        <v>515185</v>
      </c>
      <c r="G152" s="287" t="s">
        <v>480</v>
      </c>
      <c r="H152" s="152">
        <v>0</v>
      </c>
      <c r="I152" s="261">
        <v>5351</v>
      </c>
      <c r="J152" s="152">
        <v>0</v>
      </c>
      <c r="K152" s="261">
        <v>5351</v>
      </c>
      <c r="L152" s="261">
        <v>-5351</v>
      </c>
    </row>
    <row r="153" spans="1:12" x14ac:dyDescent="0.25">
      <c r="A153" s="140" t="s">
        <v>56</v>
      </c>
      <c r="B153" s="141" t="s">
        <v>57</v>
      </c>
      <c r="C153" s="139">
        <v>219</v>
      </c>
      <c r="D153" s="139" t="s">
        <v>123</v>
      </c>
      <c r="E153" s="261">
        <v>14784873</v>
      </c>
      <c r="F153" s="261">
        <v>14433621</v>
      </c>
      <c r="G153" s="287" t="s">
        <v>480</v>
      </c>
      <c r="H153" s="261">
        <v>351252</v>
      </c>
      <c r="I153" s="261">
        <v>1695469</v>
      </c>
      <c r="J153" s="261">
        <v>1688569</v>
      </c>
      <c r="K153" s="261">
        <v>6900</v>
      </c>
      <c r="L153" s="261">
        <v>344352</v>
      </c>
    </row>
    <row r="154" spans="1:12" x14ac:dyDescent="0.25">
      <c r="A154" s="140" t="s">
        <v>51</v>
      </c>
      <c r="B154" s="141" t="s">
        <v>52</v>
      </c>
      <c r="C154" s="139">
        <v>187</v>
      </c>
      <c r="D154" s="139" t="s">
        <v>123</v>
      </c>
      <c r="E154" s="261">
        <v>13187078</v>
      </c>
      <c r="F154" s="152">
        <v>0</v>
      </c>
      <c r="G154" s="287" t="s">
        <v>480</v>
      </c>
      <c r="H154" s="261">
        <v>13187078</v>
      </c>
      <c r="I154" s="152">
        <v>0</v>
      </c>
      <c r="J154" s="152">
        <v>0</v>
      </c>
      <c r="K154" s="152">
        <v>0</v>
      </c>
      <c r="L154" s="261">
        <v>13187078</v>
      </c>
    </row>
    <row r="155" spans="1:12" x14ac:dyDescent="0.25">
      <c r="A155" s="140" t="s">
        <v>99</v>
      </c>
      <c r="B155" s="141" t="s">
        <v>100</v>
      </c>
      <c r="C155" s="139">
        <v>279</v>
      </c>
      <c r="D155" s="139" t="s">
        <v>123</v>
      </c>
      <c r="E155" s="261">
        <v>31183</v>
      </c>
      <c r="F155" s="261">
        <v>17053</v>
      </c>
      <c r="G155" s="287" t="s">
        <v>480</v>
      </c>
      <c r="H155" s="261">
        <v>14130</v>
      </c>
      <c r="I155" s="152">
        <v>0</v>
      </c>
      <c r="J155" s="152">
        <v>0</v>
      </c>
      <c r="K155" s="152">
        <v>0</v>
      </c>
      <c r="L155" s="261">
        <v>14130</v>
      </c>
    </row>
    <row r="156" spans="1:12" x14ac:dyDescent="0.25">
      <c r="A156" s="140" t="s">
        <v>65</v>
      </c>
      <c r="B156" s="141" t="s">
        <v>66</v>
      </c>
      <c r="C156" s="139">
        <v>289</v>
      </c>
      <c r="D156" s="139" t="s">
        <v>36</v>
      </c>
      <c r="E156" s="261">
        <v>11904</v>
      </c>
      <c r="F156" s="152">
        <v>0</v>
      </c>
      <c r="G156" s="287" t="s">
        <v>480</v>
      </c>
      <c r="H156" s="261">
        <v>11904</v>
      </c>
      <c r="I156" s="152">
        <v>0</v>
      </c>
      <c r="J156" s="152">
        <v>0</v>
      </c>
      <c r="K156" s="152">
        <v>0</v>
      </c>
      <c r="L156" s="261">
        <v>11904</v>
      </c>
    </row>
    <row r="157" spans="1:12" x14ac:dyDescent="0.25">
      <c r="A157" s="140" t="s">
        <v>99</v>
      </c>
      <c r="B157" s="141" t="s">
        <v>100</v>
      </c>
      <c r="C157" s="139">
        <v>279</v>
      </c>
      <c r="D157" s="139" t="s">
        <v>36</v>
      </c>
      <c r="E157" s="261">
        <v>148711</v>
      </c>
      <c r="F157" s="261">
        <v>124059</v>
      </c>
      <c r="G157" s="287" t="s">
        <v>480</v>
      </c>
      <c r="H157" s="261">
        <v>24652</v>
      </c>
      <c r="I157" s="152">
        <v>0</v>
      </c>
      <c r="J157" s="152">
        <v>0</v>
      </c>
      <c r="K157" s="152">
        <v>0</v>
      </c>
      <c r="L157" s="261">
        <v>24652</v>
      </c>
    </row>
    <row r="158" spans="1:12" x14ac:dyDescent="0.25">
      <c r="A158" s="140" t="s">
        <v>65</v>
      </c>
      <c r="B158" s="141" t="s">
        <v>66</v>
      </c>
      <c r="C158" s="139">
        <v>289</v>
      </c>
      <c r="D158" s="139" t="s">
        <v>124</v>
      </c>
      <c r="E158" s="261">
        <v>132994</v>
      </c>
      <c r="F158" s="152">
        <v>0</v>
      </c>
      <c r="G158" s="287" t="s">
        <v>480</v>
      </c>
      <c r="H158" s="261">
        <v>132994</v>
      </c>
      <c r="I158" s="152">
        <v>0</v>
      </c>
      <c r="J158" s="152">
        <v>0</v>
      </c>
      <c r="K158" s="152">
        <v>0</v>
      </c>
      <c r="L158" s="261">
        <v>132994</v>
      </c>
    </row>
    <row r="159" spans="1:12" x14ac:dyDescent="0.25">
      <c r="A159" s="140" t="s">
        <v>99</v>
      </c>
      <c r="B159" s="141" t="s">
        <v>100</v>
      </c>
      <c r="C159" s="139">
        <v>279</v>
      </c>
      <c r="D159" s="139" t="s">
        <v>124</v>
      </c>
      <c r="E159" s="261">
        <v>135482</v>
      </c>
      <c r="F159" s="261">
        <v>112687</v>
      </c>
      <c r="G159" s="287" t="s">
        <v>480</v>
      </c>
      <c r="H159" s="261">
        <v>22795</v>
      </c>
      <c r="I159" s="152">
        <v>0</v>
      </c>
      <c r="J159" s="152">
        <v>0</v>
      </c>
      <c r="K159" s="152">
        <v>0</v>
      </c>
      <c r="L159" s="261">
        <v>22795</v>
      </c>
    </row>
    <row r="160" spans="1:12" x14ac:dyDescent="0.25">
      <c r="A160" s="140" t="s">
        <v>71</v>
      </c>
      <c r="B160" s="141" t="s">
        <v>72</v>
      </c>
      <c r="C160" s="139">
        <v>213</v>
      </c>
      <c r="D160" s="139" t="s">
        <v>125</v>
      </c>
      <c r="E160" s="261">
        <v>14577947</v>
      </c>
      <c r="F160" s="261">
        <v>14577947</v>
      </c>
      <c r="G160" s="287" t="s">
        <v>480</v>
      </c>
      <c r="H160" s="152">
        <f t="shared" ref="H160:H182" si="4">E160-F160</f>
        <v>0</v>
      </c>
      <c r="I160" s="261">
        <v>25647</v>
      </c>
      <c r="J160" s="261">
        <v>18475</v>
      </c>
      <c r="K160" s="261">
        <f t="shared" ref="K160:K182" si="5">I160-J160</f>
        <v>7172</v>
      </c>
      <c r="L160" s="261">
        <f t="shared" ref="L160:L182" si="6">H160-K160</f>
        <v>-7172</v>
      </c>
    </row>
    <row r="161" spans="1:12" s="38" customFormat="1" x14ac:dyDescent="0.25">
      <c r="A161" s="140" t="s">
        <v>65</v>
      </c>
      <c r="B161" s="141" t="s">
        <v>66</v>
      </c>
      <c r="C161" s="139">
        <v>289</v>
      </c>
      <c r="D161" s="139" t="s">
        <v>125</v>
      </c>
      <c r="E161" s="261">
        <v>116534</v>
      </c>
      <c r="F161" s="152">
        <v>0</v>
      </c>
      <c r="G161" s="287" t="s">
        <v>480</v>
      </c>
      <c r="H161" s="261">
        <f t="shared" si="4"/>
        <v>116534</v>
      </c>
      <c r="I161" s="152">
        <v>0</v>
      </c>
      <c r="J161" s="152">
        <v>0</v>
      </c>
      <c r="K161" s="152">
        <f t="shared" si="5"/>
        <v>0</v>
      </c>
      <c r="L161" s="261">
        <f t="shared" si="6"/>
        <v>116534</v>
      </c>
    </row>
    <row r="162" spans="1:12" s="38" customFormat="1" x14ac:dyDescent="0.25">
      <c r="A162" s="140" t="s">
        <v>126</v>
      </c>
      <c r="B162" s="141" t="s">
        <v>127</v>
      </c>
      <c r="C162" s="139">
        <v>161</v>
      </c>
      <c r="D162" s="139" t="s">
        <v>125</v>
      </c>
      <c r="E162" s="261">
        <v>6083222</v>
      </c>
      <c r="F162" s="261">
        <v>6083222</v>
      </c>
      <c r="G162" s="287" t="s">
        <v>480</v>
      </c>
      <c r="H162" s="152">
        <f t="shared" si="4"/>
        <v>0</v>
      </c>
      <c r="I162" s="261">
        <v>214181</v>
      </c>
      <c r="J162" s="261">
        <v>212019</v>
      </c>
      <c r="K162" s="261">
        <f t="shared" si="5"/>
        <v>2162</v>
      </c>
      <c r="L162" s="261">
        <f t="shared" si="6"/>
        <v>-2162</v>
      </c>
    </row>
    <row r="163" spans="1:12" s="38" customFormat="1" x14ac:dyDescent="0.25">
      <c r="A163" s="140" t="s">
        <v>99</v>
      </c>
      <c r="B163" s="141" t="s">
        <v>100</v>
      </c>
      <c r="C163" s="139">
        <v>279</v>
      </c>
      <c r="D163" s="139" t="s">
        <v>125</v>
      </c>
      <c r="E163" s="261">
        <v>73775</v>
      </c>
      <c r="F163" s="261">
        <v>62375</v>
      </c>
      <c r="G163" s="287" t="s">
        <v>480</v>
      </c>
      <c r="H163" s="261">
        <f t="shared" si="4"/>
        <v>11400</v>
      </c>
      <c r="I163" s="152">
        <v>0</v>
      </c>
      <c r="J163" s="152">
        <v>0</v>
      </c>
      <c r="K163" s="152">
        <f t="shared" si="5"/>
        <v>0</v>
      </c>
      <c r="L163" s="261">
        <f t="shared" si="6"/>
        <v>11400</v>
      </c>
    </row>
    <row r="164" spans="1:12" s="38" customFormat="1" x14ac:dyDescent="0.25">
      <c r="A164" s="140" t="s">
        <v>65</v>
      </c>
      <c r="B164" s="141" t="s">
        <v>66</v>
      </c>
      <c r="C164" s="139">
        <v>289</v>
      </c>
      <c r="D164" s="139" t="s">
        <v>128</v>
      </c>
      <c r="E164" s="261">
        <v>112301</v>
      </c>
      <c r="F164" s="152">
        <v>0</v>
      </c>
      <c r="G164" s="287" t="s">
        <v>480</v>
      </c>
      <c r="H164" s="261">
        <f t="shared" si="4"/>
        <v>112301</v>
      </c>
      <c r="I164" s="152">
        <v>0</v>
      </c>
      <c r="J164" s="152">
        <v>0</v>
      </c>
      <c r="K164" s="152">
        <f t="shared" si="5"/>
        <v>0</v>
      </c>
      <c r="L164" s="261">
        <f t="shared" si="6"/>
        <v>112301</v>
      </c>
    </row>
    <row r="165" spans="1:12" s="38" customFormat="1" x14ac:dyDescent="0.25">
      <c r="A165" s="140" t="s">
        <v>71</v>
      </c>
      <c r="B165" s="141" t="s">
        <v>72</v>
      </c>
      <c r="C165" s="139">
        <v>213</v>
      </c>
      <c r="D165" s="139" t="s">
        <v>129</v>
      </c>
      <c r="E165" s="261">
        <v>13692831</v>
      </c>
      <c r="F165" s="261">
        <v>13692379</v>
      </c>
      <c r="G165" s="287" t="s">
        <v>480</v>
      </c>
      <c r="H165" s="261">
        <f t="shared" si="4"/>
        <v>452</v>
      </c>
      <c r="I165" s="261">
        <v>3459493</v>
      </c>
      <c r="J165" s="261">
        <v>3459493</v>
      </c>
      <c r="K165" s="152">
        <f t="shared" si="5"/>
        <v>0</v>
      </c>
      <c r="L165" s="261">
        <f t="shared" si="6"/>
        <v>452</v>
      </c>
    </row>
    <row r="166" spans="1:12" x14ac:dyDescent="0.25">
      <c r="A166" s="140" t="s">
        <v>65</v>
      </c>
      <c r="B166" s="141" t="s">
        <v>66</v>
      </c>
      <c r="C166" s="139">
        <v>289</v>
      </c>
      <c r="D166" s="139" t="s">
        <v>129</v>
      </c>
      <c r="E166" s="261">
        <v>32985</v>
      </c>
      <c r="F166" s="152">
        <v>0</v>
      </c>
      <c r="G166" s="287" t="s">
        <v>480</v>
      </c>
      <c r="H166" s="261">
        <f t="shared" si="4"/>
        <v>32985</v>
      </c>
      <c r="I166" s="152">
        <v>0</v>
      </c>
      <c r="J166" s="152">
        <v>0</v>
      </c>
      <c r="K166" s="152">
        <f t="shared" si="5"/>
        <v>0</v>
      </c>
      <c r="L166" s="261">
        <f t="shared" si="6"/>
        <v>32985</v>
      </c>
    </row>
    <row r="167" spans="1:12" x14ac:dyDescent="0.25">
      <c r="A167" s="140" t="s">
        <v>93</v>
      </c>
      <c r="B167" s="141" t="s">
        <v>94</v>
      </c>
      <c r="C167" s="139">
        <v>124</v>
      </c>
      <c r="D167" s="139" t="s">
        <v>129</v>
      </c>
      <c r="E167" s="261">
        <v>811698</v>
      </c>
      <c r="F167" s="261">
        <v>811698</v>
      </c>
      <c r="G167" s="287" t="s">
        <v>480</v>
      </c>
      <c r="H167" s="152">
        <f t="shared" si="4"/>
        <v>0</v>
      </c>
      <c r="I167" s="261">
        <v>1488386</v>
      </c>
      <c r="J167" s="261">
        <v>1402610</v>
      </c>
      <c r="K167" s="261">
        <f t="shared" si="5"/>
        <v>85776</v>
      </c>
      <c r="L167" s="261">
        <f t="shared" si="6"/>
        <v>-85776</v>
      </c>
    </row>
    <row r="168" spans="1:12" x14ac:dyDescent="0.25">
      <c r="A168" s="140" t="s">
        <v>130</v>
      </c>
      <c r="B168" s="141" t="s">
        <v>131</v>
      </c>
      <c r="C168" s="139">
        <v>180</v>
      </c>
      <c r="D168" s="139" t="s">
        <v>129</v>
      </c>
      <c r="E168" s="261">
        <v>105659</v>
      </c>
      <c r="F168" s="261">
        <v>105659</v>
      </c>
      <c r="G168" s="287" t="s">
        <v>480</v>
      </c>
      <c r="H168" s="152">
        <f t="shared" si="4"/>
        <v>0</v>
      </c>
      <c r="I168" s="261">
        <v>14707</v>
      </c>
      <c r="J168" s="261">
        <v>13726</v>
      </c>
      <c r="K168" s="261">
        <f t="shared" si="5"/>
        <v>981</v>
      </c>
      <c r="L168" s="261">
        <f t="shared" si="6"/>
        <v>-981</v>
      </c>
    </row>
    <row r="169" spans="1:12" x14ac:dyDescent="0.25">
      <c r="A169" s="140" t="s">
        <v>71</v>
      </c>
      <c r="B169" s="141" t="s">
        <v>72</v>
      </c>
      <c r="C169" s="139">
        <v>213</v>
      </c>
      <c r="D169" s="139" t="s">
        <v>132</v>
      </c>
      <c r="E169" s="261">
        <v>2654301</v>
      </c>
      <c r="F169" s="261">
        <v>2613916</v>
      </c>
      <c r="G169" s="287" t="s">
        <v>480</v>
      </c>
      <c r="H169" s="261">
        <f t="shared" si="4"/>
        <v>40385</v>
      </c>
      <c r="I169" s="261">
        <v>1280135</v>
      </c>
      <c r="J169" s="261">
        <v>1280135</v>
      </c>
      <c r="K169" s="152">
        <f t="shared" si="5"/>
        <v>0</v>
      </c>
      <c r="L169" s="261">
        <f t="shared" si="6"/>
        <v>40385</v>
      </c>
    </row>
    <row r="170" spans="1:12" x14ac:dyDescent="0.25">
      <c r="A170" s="140" t="s">
        <v>133</v>
      </c>
      <c r="B170" s="141" t="s">
        <v>57</v>
      </c>
      <c r="C170" s="139">
        <v>49</v>
      </c>
      <c r="D170" s="139" t="s">
        <v>132</v>
      </c>
      <c r="E170" s="261">
        <v>5316132</v>
      </c>
      <c r="F170" s="261">
        <v>5316132</v>
      </c>
      <c r="G170" s="287" t="s">
        <v>480</v>
      </c>
      <c r="H170" s="152">
        <f t="shared" si="4"/>
        <v>0</v>
      </c>
      <c r="I170" s="261">
        <v>670665</v>
      </c>
      <c r="J170" s="261">
        <v>669938</v>
      </c>
      <c r="K170" s="261">
        <f t="shared" si="5"/>
        <v>727</v>
      </c>
      <c r="L170" s="261">
        <f t="shared" si="6"/>
        <v>-727</v>
      </c>
    </row>
    <row r="171" spans="1:12" x14ac:dyDescent="0.25">
      <c r="A171" s="140" t="s">
        <v>134</v>
      </c>
      <c r="B171" s="141" t="s">
        <v>135</v>
      </c>
      <c r="C171" s="139">
        <v>55</v>
      </c>
      <c r="D171" s="139" t="s">
        <v>132</v>
      </c>
      <c r="E171" s="261">
        <v>1323819</v>
      </c>
      <c r="F171" s="261">
        <v>1323819</v>
      </c>
      <c r="G171" s="287" t="s">
        <v>480</v>
      </c>
      <c r="H171" s="152">
        <f t="shared" si="4"/>
        <v>0</v>
      </c>
      <c r="I171" s="261">
        <v>647104</v>
      </c>
      <c r="J171" s="261">
        <v>481403</v>
      </c>
      <c r="K171" s="261">
        <f t="shared" si="5"/>
        <v>165701</v>
      </c>
      <c r="L171" s="261">
        <f t="shared" si="6"/>
        <v>-165701</v>
      </c>
    </row>
    <row r="172" spans="1:12" x14ac:dyDescent="0.25">
      <c r="A172" s="140" t="s">
        <v>67</v>
      </c>
      <c r="B172" s="141" t="s">
        <v>68</v>
      </c>
      <c r="C172" s="139">
        <v>41</v>
      </c>
      <c r="D172" s="139" t="s">
        <v>136</v>
      </c>
      <c r="E172" s="261">
        <v>3841394</v>
      </c>
      <c r="F172" s="261">
        <v>3841394</v>
      </c>
      <c r="G172" s="287" t="s">
        <v>480</v>
      </c>
      <c r="H172" s="152">
        <f t="shared" si="4"/>
        <v>0</v>
      </c>
      <c r="I172" s="261">
        <v>230325</v>
      </c>
      <c r="J172" s="261">
        <v>229212</v>
      </c>
      <c r="K172" s="261">
        <f t="shared" si="5"/>
        <v>1113</v>
      </c>
      <c r="L172" s="261">
        <f t="shared" si="6"/>
        <v>-1113</v>
      </c>
    </row>
    <row r="173" spans="1:12" x14ac:dyDescent="0.25">
      <c r="A173" s="140" t="s">
        <v>133</v>
      </c>
      <c r="B173" s="141" t="s">
        <v>57</v>
      </c>
      <c r="C173" s="139">
        <v>49</v>
      </c>
      <c r="D173" s="139" t="s">
        <v>136</v>
      </c>
      <c r="E173" s="261">
        <v>4707412</v>
      </c>
      <c r="F173" s="261">
        <v>4707412</v>
      </c>
      <c r="G173" s="287" t="s">
        <v>480</v>
      </c>
      <c r="H173" s="152">
        <f t="shared" si="4"/>
        <v>0</v>
      </c>
      <c r="I173" s="261">
        <v>183902</v>
      </c>
      <c r="J173" s="261">
        <v>183169</v>
      </c>
      <c r="K173" s="261">
        <f t="shared" si="5"/>
        <v>733</v>
      </c>
      <c r="L173" s="261">
        <f t="shared" si="6"/>
        <v>-733</v>
      </c>
    </row>
    <row r="174" spans="1:12" x14ac:dyDescent="0.25">
      <c r="A174" s="140" t="s">
        <v>67</v>
      </c>
      <c r="B174" s="141" t="s">
        <v>68</v>
      </c>
      <c r="C174" s="139">
        <v>41</v>
      </c>
      <c r="D174" s="139" t="s">
        <v>137</v>
      </c>
      <c r="E174" s="261">
        <v>3560480</v>
      </c>
      <c r="F174" s="261">
        <v>3560480</v>
      </c>
      <c r="G174" s="287" t="s">
        <v>480</v>
      </c>
      <c r="H174" s="152">
        <f t="shared" si="4"/>
        <v>0</v>
      </c>
      <c r="I174" s="261">
        <v>319940</v>
      </c>
      <c r="J174" s="261">
        <v>319763</v>
      </c>
      <c r="K174" s="261">
        <f t="shared" si="5"/>
        <v>177</v>
      </c>
      <c r="L174" s="261">
        <f t="shared" si="6"/>
        <v>-177</v>
      </c>
    </row>
    <row r="175" spans="1:12" x14ac:dyDescent="0.25">
      <c r="A175" s="140" t="s">
        <v>67</v>
      </c>
      <c r="B175" s="141" t="s">
        <v>68</v>
      </c>
      <c r="C175" s="139">
        <v>41</v>
      </c>
      <c r="D175" s="139" t="s">
        <v>138</v>
      </c>
      <c r="E175" s="261">
        <v>2968144</v>
      </c>
      <c r="F175" s="261">
        <v>2968144</v>
      </c>
      <c r="G175" s="287" t="s">
        <v>480</v>
      </c>
      <c r="H175" s="152">
        <f t="shared" si="4"/>
        <v>0</v>
      </c>
      <c r="I175" s="261">
        <v>661263</v>
      </c>
      <c r="J175" s="261">
        <v>658009</v>
      </c>
      <c r="K175" s="261">
        <f t="shared" si="5"/>
        <v>3254</v>
      </c>
      <c r="L175" s="261">
        <f t="shared" si="6"/>
        <v>-3254</v>
      </c>
    </row>
    <row r="176" spans="1:12" x14ac:dyDescent="0.25">
      <c r="A176" s="140" t="s">
        <v>133</v>
      </c>
      <c r="B176" s="141" t="s">
        <v>57</v>
      </c>
      <c r="C176" s="139">
        <v>49</v>
      </c>
      <c r="D176" s="139" t="s">
        <v>138</v>
      </c>
      <c r="E176" s="261">
        <v>3690222</v>
      </c>
      <c r="F176" s="261">
        <v>3690222</v>
      </c>
      <c r="G176" s="287" t="s">
        <v>480</v>
      </c>
      <c r="H176" s="152">
        <f t="shared" si="4"/>
        <v>0</v>
      </c>
      <c r="I176" s="261">
        <v>870559</v>
      </c>
      <c r="J176" s="261">
        <v>867771</v>
      </c>
      <c r="K176" s="261">
        <f t="shared" si="5"/>
        <v>2788</v>
      </c>
      <c r="L176" s="261">
        <f t="shared" si="6"/>
        <v>-2788</v>
      </c>
    </row>
    <row r="177" spans="1:12" x14ac:dyDescent="0.25">
      <c r="A177" s="140" t="s">
        <v>67</v>
      </c>
      <c r="B177" s="141" t="s">
        <v>68</v>
      </c>
      <c r="C177" s="139">
        <v>41</v>
      </c>
      <c r="D177" s="139" t="s">
        <v>139</v>
      </c>
      <c r="E177" s="261">
        <v>3097183</v>
      </c>
      <c r="F177" s="261">
        <v>3097183</v>
      </c>
      <c r="G177" s="287" t="s">
        <v>480</v>
      </c>
      <c r="H177" s="152">
        <f t="shared" si="4"/>
        <v>0</v>
      </c>
      <c r="I177" s="261">
        <v>201105</v>
      </c>
      <c r="J177" s="261">
        <v>200520</v>
      </c>
      <c r="K177" s="261">
        <f t="shared" si="5"/>
        <v>585</v>
      </c>
      <c r="L177" s="261">
        <f t="shared" si="6"/>
        <v>-585</v>
      </c>
    </row>
    <row r="178" spans="1:12" x14ac:dyDescent="0.25">
      <c r="A178" s="140" t="s">
        <v>133</v>
      </c>
      <c r="B178" s="141" t="s">
        <v>57</v>
      </c>
      <c r="C178" s="139">
        <v>49</v>
      </c>
      <c r="D178" s="139" t="s">
        <v>140</v>
      </c>
      <c r="E178" s="261">
        <v>4970992</v>
      </c>
      <c r="F178" s="261">
        <v>4970992</v>
      </c>
      <c r="G178" s="287" t="s">
        <v>480</v>
      </c>
      <c r="H178" s="152">
        <f t="shared" si="4"/>
        <v>0</v>
      </c>
      <c r="I178" s="261">
        <v>713</v>
      </c>
      <c r="J178" s="152">
        <v>0</v>
      </c>
      <c r="K178" s="261">
        <f t="shared" si="5"/>
        <v>713</v>
      </c>
      <c r="L178" s="261">
        <f t="shared" si="6"/>
        <v>-713</v>
      </c>
    </row>
    <row r="179" spans="1:12" x14ac:dyDescent="0.25">
      <c r="A179" s="140" t="s">
        <v>141</v>
      </c>
      <c r="B179" s="141" t="s">
        <v>142</v>
      </c>
      <c r="C179" s="139">
        <v>24</v>
      </c>
      <c r="D179" s="139" t="s">
        <v>140</v>
      </c>
      <c r="E179" s="261">
        <v>722127</v>
      </c>
      <c r="F179" s="261">
        <v>722127</v>
      </c>
      <c r="G179" s="287" t="s">
        <v>480</v>
      </c>
      <c r="H179" s="152">
        <f t="shared" si="4"/>
        <v>0</v>
      </c>
      <c r="I179" s="261">
        <v>2253</v>
      </c>
      <c r="J179" s="152">
        <v>0</v>
      </c>
      <c r="K179" s="261">
        <f t="shared" si="5"/>
        <v>2253</v>
      </c>
      <c r="L179" s="261">
        <f t="shared" si="6"/>
        <v>-2253</v>
      </c>
    </row>
    <row r="180" spans="1:12" x14ac:dyDescent="0.25">
      <c r="A180" s="140" t="s">
        <v>67</v>
      </c>
      <c r="B180" s="141" t="s">
        <v>68</v>
      </c>
      <c r="C180" s="139">
        <v>41</v>
      </c>
      <c r="D180" s="139" t="s">
        <v>143</v>
      </c>
      <c r="E180" s="261">
        <v>2102143</v>
      </c>
      <c r="F180" s="261">
        <v>2102143</v>
      </c>
      <c r="G180" s="287" t="s">
        <v>480</v>
      </c>
      <c r="H180" s="152">
        <f t="shared" si="4"/>
        <v>0</v>
      </c>
      <c r="I180" s="261">
        <v>153432</v>
      </c>
      <c r="J180" s="261">
        <v>114504</v>
      </c>
      <c r="K180" s="261">
        <f t="shared" si="5"/>
        <v>38928</v>
      </c>
      <c r="L180" s="261">
        <f t="shared" si="6"/>
        <v>-38928</v>
      </c>
    </row>
    <row r="181" spans="1:12" x14ac:dyDescent="0.25">
      <c r="A181" s="140" t="s">
        <v>133</v>
      </c>
      <c r="B181" s="141" t="s">
        <v>57</v>
      </c>
      <c r="C181" s="139">
        <v>49</v>
      </c>
      <c r="D181" s="139" t="s">
        <v>143</v>
      </c>
      <c r="E181" s="261">
        <v>5350067</v>
      </c>
      <c r="F181" s="261">
        <v>5350067</v>
      </c>
      <c r="G181" s="287" t="s">
        <v>480</v>
      </c>
      <c r="H181" s="152">
        <f t="shared" si="4"/>
        <v>0</v>
      </c>
      <c r="I181" s="261">
        <v>48328</v>
      </c>
      <c r="J181" s="261">
        <v>47747</v>
      </c>
      <c r="K181" s="261">
        <f t="shared" si="5"/>
        <v>581</v>
      </c>
      <c r="L181" s="261">
        <f t="shared" si="6"/>
        <v>-581</v>
      </c>
    </row>
    <row r="182" spans="1:12" ht="30.75" x14ac:dyDescent="0.25">
      <c r="A182" s="140" t="s">
        <v>144</v>
      </c>
      <c r="B182" s="141" t="s">
        <v>145</v>
      </c>
      <c r="C182" s="139">
        <v>64</v>
      </c>
      <c r="D182" s="139" t="s">
        <v>143</v>
      </c>
      <c r="E182" s="261">
        <v>7349099</v>
      </c>
      <c r="F182" s="261">
        <v>7349099</v>
      </c>
      <c r="G182" s="288" t="s">
        <v>480</v>
      </c>
      <c r="H182" s="152">
        <f t="shared" si="4"/>
        <v>0</v>
      </c>
      <c r="I182" s="261">
        <v>293279</v>
      </c>
      <c r="J182" s="261">
        <v>284557</v>
      </c>
      <c r="K182" s="261">
        <f t="shared" si="5"/>
        <v>8722</v>
      </c>
      <c r="L182" s="261">
        <f t="shared" si="6"/>
        <v>-8722</v>
      </c>
    </row>
    <row r="183" spans="1:12" ht="18" customHeight="1" x14ac:dyDescent="0.25">
      <c r="A183" s="70" t="s">
        <v>504</v>
      </c>
      <c r="B183" s="351" t="s">
        <v>480</v>
      </c>
      <c r="C183" s="351" t="s">
        <v>480</v>
      </c>
      <c r="D183" s="351" t="s">
        <v>480</v>
      </c>
      <c r="E183" s="263">
        <f>SUBTOTAL(109,fundedlocal[Program
Costs])</f>
        <v>769688505</v>
      </c>
      <c r="F183" s="263">
        <f>SUBTOTAL(109,fundedlocal[Less: Net Payments and Offsets 1])</f>
        <v>394928316</v>
      </c>
      <c r="G183" s="351" t="s">
        <v>480</v>
      </c>
      <c r="H183" s="183">
        <f>SUBTOTAL(109,fundedlocal[Account Payable
 Balance])</f>
        <v>374760189</v>
      </c>
      <c r="I183" s="263">
        <f>SUBTOTAL(109,fundedlocal[Established
Account Receivable])</f>
        <v>77247653</v>
      </c>
      <c r="J183" s="263">
        <f>SUBTOTAL(109,fundedlocal[Less: Recovered Amount])</f>
        <v>68429359</v>
      </c>
      <c r="K183" s="263">
        <f>SUBTOTAL(109,fundedlocal[Account Receivable
Balance])</f>
        <v>8818294</v>
      </c>
      <c r="L183" s="352">
        <f>SUBTOTAL(109,fundedlocal[Net
Balance])</f>
        <v>365941895</v>
      </c>
    </row>
    <row r="184" spans="1:12" ht="18.75" customHeight="1" x14ac:dyDescent="0.25">
      <c r="A184" s="379" t="s">
        <v>572</v>
      </c>
      <c r="B184" s="2"/>
      <c r="C184" s="2"/>
      <c r="F184" s="154"/>
      <c r="G184" s="291"/>
      <c r="H184" s="264"/>
      <c r="I184" s="154"/>
      <c r="J184" s="154"/>
      <c r="K184" s="154"/>
      <c r="L184" s="261"/>
    </row>
    <row r="185" spans="1:12" ht="18.75" x14ac:dyDescent="0.25">
      <c r="A185" s="134" t="s">
        <v>498</v>
      </c>
    </row>
  </sheetData>
  <hyperlinks>
    <hyperlink ref="F2" location="'Schedule B1-Local Agencies'!A184" display="Less: Net Payments and Offsets 1"/>
  </hyperlinks>
  <printOptions horizontalCentered="1" gridLines="1"/>
  <pageMargins left="0.3" right="0.3" top="1" bottom="0.75" header="0.3" footer="0.3"/>
  <pageSetup scale="57" firstPageNumber="7" fitToHeight="0" orientation="landscape" r:id="rId1"/>
  <headerFooter>
    <oddHeader xml:space="preserve">&amp;C&amp;"Arial,Bold"&amp;12 </oddHeader>
    <oddFooter>&amp;L&amp;"Arial,Regular"&amp;12Schedule B1: Detail of Funded State-Mandated Programs by Fiscal Year
Local Agencies&amp;R&amp;"Arial,Regular"&amp;12Page &amp;P of &amp;N</oddFooter>
  </headerFooter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L864"/>
  <sheetViews>
    <sheetView zoomScaleNormal="100" zoomScalePageLayoutView="77" workbookViewId="0">
      <selection sqref="A1:L1"/>
    </sheetView>
  </sheetViews>
  <sheetFormatPr defaultColWidth="9.140625" defaultRowHeight="15.75" x14ac:dyDescent="0.25"/>
  <cols>
    <col min="1" max="1" width="39.42578125" style="22" customWidth="1"/>
    <col min="2" max="2" width="17" style="23" bestFit="1" customWidth="1"/>
    <col min="3" max="3" width="17" style="24" bestFit="1" customWidth="1"/>
    <col min="4" max="4" width="13.7109375" style="22" customWidth="1"/>
    <col min="5" max="5" width="18.42578125" style="22" customWidth="1"/>
    <col min="6" max="6" width="20" style="69" customWidth="1"/>
    <col min="7" max="7" width="1.7109375" style="292" customWidth="1"/>
    <col min="8" max="8" width="22.42578125" style="69" customWidth="1"/>
    <col min="9" max="9" width="18.140625" style="69" customWidth="1"/>
    <col min="10" max="10" width="17.42578125" style="69" customWidth="1"/>
    <col min="11" max="11" width="18.140625" style="69" customWidth="1"/>
    <col min="12" max="12" width="16.85546875" style="36" bestFit="1" customWidth="1"/>
    <col min="13" max="16384" width="9.140625" style="36"/>
  </cols>
  <sheetData>
    <row r="1" spans="1:12" s="159" customFormat="1" ht="54" x14ac:dyDescent="0.25">
      <c r="A1" s="160" t="s">
        <v>494</v>
      </c>
      <c r="B1" s="162"/>
      <c r="C1" s="161"/>
      <c r="D1" s="162"/>
      <c r="E1" s="162"/>
      <c r="F1" s="172"/>
      <c r="G1" s="173"/>
      <c r="H1" s="173"/>
      <c r="I1" s="172"/>
      <c r="J1" s="172"/>
      <c r="K1" s="172"/>
      <c r="L1" s="174"/>
    </row>
    <row r="2" spans="1:12" s="21" customFormat="1" ht="47.25" customHeight="1" x14ac:dyDescent="0.25">
      <c r="A2" s="123" t="s">
        <v>10</v>
      </c>
      <c r="B2" s="123" t="s">
        <v>0</v>
      </c>
      <c r="C2" s="123" t="s">
        <v>48</v>
      </c>
      <c r="D2" s="123" t="s">
        <v>9</v>
      </c>
      <c r="E2" s="179" t="s">
        <v>43</v>
      </c>
      <c r="F2" s="180" t="s">
        <v>509</v>
      </c>
      <c r="G2" s="286" t="s">
        <v>571</v>
      </c>
      <c r="H2" s="179" t="s">
        <v>495</v>
      </c>
      <c r="I2" s="179" t="s">
        <v>496</v>
      </c>
      <c r="J2" s="179" t="s">
        <v>50</v>
      </c>
      <c r="K2" s="179" t="s">
        <v>497</v>
      </c>
      <c r="L2" s="179" t="s">
        <v>49</v>
      </c>
    </row>
    <row r="3" spans="1:12" s="21" customFormat="1" ht="30.75" x14ac:dyDescent="0.25">
      <c r="A3" s="145" t="s">
        <v>185</v>
      </c>
      <c r="B3" s="78" t="s">
        <v>186</v>
      </c>
      <c r="C3" s="148">
        <v>250</v>
      </c>
      <c r="D3" s="148" t="s">
        <v>371</v>
      </c>
      <c r="E3" s="262">
        <v>8064</v>
      </c>
      <c r="F3" s="262">
        <v>1000</v>
      </c>
      <c r="G3" s="287" t="s">
        <v>480</v>
      </c>
      <c r="H3" s="262">
        <v>7064</v>
      </c>
      <c r="I3" s="151">
        <v>0</v>
      </c>
      <c r="J3" s="151">
        <v>0</v>
      </c>
      <c r="K3" s="151">
        <v>0</v>
      </c>
      <c r="L3" s="262">
        <v>7064</v>
      </c>
    </row>
    <row r="4" spans="1:12" s="21" customFormat="1" ht="30.75" x14ac:dyDescent="0.25">
      <c r="A4" s="145" t="s">
        <v>189</v>
      </c>
      <c r="B4" s="78" t="s">
        <v>190</v>
      </c>
      <c r="C4" s="148">
        <v>172</v>
      </c>
      <c r="D4" s="148" t="s">
        <v>371</v>
      </c>
      <c r="E4" s="262">
        <v>1073</v>
      </c>
      <c r="F4" s="262">
        <v>1000</v>
      </c>
      <c r="G4" s="287" t="s">
        <v>570</v>
      </c>
      <c r="H4" s="262">
        <v>73</v>
      </c>
      <c r="I4" s="151">
        <v>0</v>
      </c>
      <c r="J4" s="151">
        <v>0</v>
      </c>
      <c r="K4" s="151">
        <v>0</v>
      </c>
      <c r="L4" s="262">
        <v>73</v>
      </c>
    </row>
    <row r="5" spans="1:12" s="21" customFormat="1" ht="30.75" x14ac:dyDescent="0.25">
      <c r="A5" s="145" t="s">
        <v>191</v>
      </c>
      <c r="B5" s="78" t="s">
        <v>192</v>
      </c>
      <c r="C5" s="148">
        <v>11</v>
      </c>
      <c r="D5" s="148" t="s">
        <v>371</v>
      </c>
      <c r="E5" s="262">
        <v>39075</v>
      </c>
      <c r="F5" s="262">
        <v>1000</v>
      </c>
      <c r="G5" s="287" t="s">
        <v>570</v>
      </c>
      <c r="H5" s="262">
        <v>38075</v>
      </c>
      <c r="I5" s="151">
        <v>0</v>
      </c>
      <c r="J5" s="151">
        <v>0</v>
      </c>
      <c r="K5" s="151">
        <v>0</v>
      </c>
      <c r="L5" s="262">
        <v>38075</v>
      </c>
    </row>
    <row r="6" spans="1:12" s="21" customFormat="1" ht="30.75" x14ac:dyDescent="0.25">
      <c r="A6" s="145" t="s">
        <v>193</v>
      </c>
      <c r="B6" s="78" t="s">
        <v>194</v>
      </c>
      <c r="C6" s="148">
        <v>313</v>
      </c>
      <c r="D6" s="148" t="s">
        <v>371</v>
      </c>
      <c r="E6" s="262">
        <v>1646</v>
      </c>
      <c r="F6" s="262">
        <v>1000</v>
      </c>
      <c r="G6" s="287" t="s">
        <v>570</v>
      </c>
      <c r="H6" s="262">
        <v>646</v>
      </c>
      <c r="I6" s="151">
        <v>0</v>
      </c>
      <c r="J6" s="151">
        <v>0</v>
      </c>
      <c r="K6" s="151">
        <v>0</v>
      </c>
      <c r="L6" s="262">
        <v>646</v>
      </c>
    </row>
    <row r="7" spans="1:12" s="21" customFormat="1" ht="30.75" x14ac:dyDescent="0.25">
      <c r="A7" s="145" t="s">
        <v>195</v>
      </c>
      <c r="B7" s="78" t="s">
        <v>196</v>
      </c>
      <c r="C7" s="148">
        <v>330</v>
      </c>
      <c r="D7" s="148" t="s">
        <v>371</v>
      </c>
      <c r="E7" s="262">
        <v>25018</v>
      </c>
      <c r="F7" s="262">
        <v>1000</v>
      </c>
      <c r="G7" s="287" t="s">
        <v>570</v>
      </c>
      <c r="H7" s="262">
        <v>24018</v>
      </c>
      <c r="I7" s="151">
        <v>0</v>
      </c>
      <c r="J7" s="151">
        <v>0</v>
      </c>
      <c r="K7" s="151">
        <v>0</v>
      </c>
      <c r="L7" s="262">
        <v>24018</v>
      </c>
    </row>
    <row r="8" spans="1:12" s="21" customFormat="1" ht="45.75" x14ac:dyDescent="0.25">
      <c r="A8" s="145" t="s">
        <v>197</v>
      </c>
      <c r="B8" s="78" t="s">
        <v>198</v>
      </c>
      <c r="C8" s="148">
        <v>272</v>
      </c>
      <c r="D8" s="148" t="s">
        <v>371</v>
      </c>
      <c r="E8" s="262">
        <v>12367</v>
      </c>
      <c r="F8" s="262">
        <v>1000</v>
      </c>
      <c r="G8" s="287" t="s">
        <v>570</v>
      </c>
      <c r="H8" s="262">
        <v>11367</v>
      </c>
      <c r="I8" s="151">
        <v>0</v>
      </c>
      <c r="J8" s="151">
        <v>0</v>
      </c>
      <c r="K8" s="151">
        <v>0</v>
      </c>
      <c r="L8" s="262">
        <v>11367</v>
      </c>
    </row>
    <row r="9" spans="1:12" s="21" customFormat="1" ht="30.75" x14ac:dyDescent="0.25">
      <c r="A9" s="145" t="s">
        <v>203</v>
      </c>
      <c r="B9" s="78" t="s">
        <v>204</v>
      </c>
      <c r="C9" s="148">
        <v>209</v>
      </c>
      <c r="D9" s="148" t="s">
        <v>371</v>
      </c>
      <c r="E9" s="262">
        <v>21629</v>
      </c>
      <c r="F9" s="262">
        <v>1000</v>
      </c>
      <c r="G9" s="287" t="s">
        <v>570</v>
      </c>
      <c r="H9" s="262">
        <v>20629</v>
      </c>
      <c r="I9" s="151">
        <v>0</v>
      </c>
      <c r="J9" s="151">
        <v>0</v>
      </c>
      <c r="K9" s="151">
        <v>0</v>
      </c>
      <c r="L9" s="262">
        <v>20629</v>
      </c>
    </row>
    <row r="10" spans="1:12" s="21" customFormat="1" x14ac:dyDescent="0.25">
      <c r="A10" s="145" t="s">
        <v>205</v>
      </c>
      <c r="B10" s="78" t="s">
        <v>206</v>
      </c>
      <c r="C10" s="148">
        <v>183</v>
      </c>
      <c r="D10" s="148" t="s">
        <v>371</v>
      </c>
      <c r="E10" s="262">
        <v>4485</v>
      </c>
      <c r="F10" s="262">
        <v>1000</v>
      </c>
      <c r="G10" s="287" t="s">
        <v>570</v>
      </c>
      <c r="H10" s="262">
        <v>3485</v>
      </c>
      <c r="I10" s="151">
        <v>0</v>
      </c>
      <c r="J10" s="151">
        <v>0</v>
      </c>
      <c r="K10" s="151">
        <v>0</v>
      </c>
      <c r="L10" s="262">
        <v>3485</v>
      </c>
    </row>
    <row r="11" spans="1:12" s="21" customFormat="1" x14ac:dyDescent="0.25">
      <c r="A11" s="145" t="s">
        <v>207</v>
      </c>
      <c r="B11" s="78" t="s">
        <v>208</v>
      </c>
      <c r="C11" s="148">
        <v>192</v>
      </c>
      <c r="D11" s="148" t="s">
        <v>371</v>
      </c>
      <c r="E11" s="262">
        <v>3656</v>
      </c>
      <c r="F11" s="262">
        <v>1000</v>
      </c>
      <c r="G11" s="287" t="s">
        <v>570</v>
      </c>
      <c r="H11" s="262">
        <v>2656</v>
      </c>
      <c r="I11" s="151">
        <v>0</v>
      </c>
      <c r="J11" s="151">
        <v>0</v>
      </c>
      <c r="K11" s="151">
        <v>0</v>
      </c>
      <c r="L11" s="262">
        <v>2656</v>
      </c>
    </row>
    <row r="12" spans="1:12" s="21" customFormat="1" ht="30.75" x14ac:dyDescent="0.25">
      <c r="A12" s="145" t="s">
        <v>209</v>
      </c>
      <c r="B12" s="78" t="s">
        <v>210</v>
      </c>
      <c r="C12" s="148">
        <v>297</v>
      </c>
      <c r="D12" s="148" t="s">
        <v>371</v>
      </c>
      <c r="E12" s="262">
        <v>22236</v>
      </c>
      <c r="F12" s="262">
        <v>1000</v>
      </c>
      <c r="G12" s="287" t="s">
        <v>570</v>
      </c>
      <c r="H12" s="262">
        <v>21236</v>
      </c>
      <c r="I12" s="151">
        <v>0</v>
      </c>
      <c r="J12" s="151">
        <v>0</v>
      </c>
      <c r="K12" s="151">
        <v>0</v>
      </c>
      <c r="L12" s="262">
        <v>21236</v>
      </c>
    </row>
    <row r="13" spans="1:12" x14ac:dyDescent="0.25">
      <c r="A13" s="140" t="s">
        <v>211</v>
      </c>
      <c r="B13" s="142" t="s">
        <v>212</v>
      </c>
      <c r="C13" s="139">
        <v>166</v>
      </c>
      <c r="D13" s="139" t="s">
        <v>371</v>
      </c>
      <c r="E13" s="261">
        <v>9662</v>
      </c>
      <c r="F13" s="261">
        <v>1000</v>
      </c>
      <c r="G13" s="287" t="s">
        <v>570</v>
      </c>
      <c r="H13" s="261">
        <v>8662</v>
      </c>
      <c r="I13" s="152">
        <v>0</v>
      </c>
      <c r="J13" s="152">
        <v>0</v>
      </c>
      <c r="K13" s="152">
        <v>0</v>
      </c>
      <c r="L13" s="261">
        <v>8662</v>
      </c>
    </row>
    <row r="14" spans="1:12" x14ac:dyDescent="0.25">
      <c r="A14" s="140" t="s">
        <v>213</v>
      </c>
      <c r="B14" s="142" t="s">
        <v>214</v>
      </c>
      <c r="C14" s="139">
        <v>32</v>
      </c>
      <c r="D14" s="139" t="s">
        <v>371</v>
      </c>
      <c r="E14" s="261">
        <v>3955</v>
      </c>
      <c r="F14" s="261">
        <v>1000</v>
      </c>
      <c r="G14" s="287" t="s">
        <v>570</v>
      </c>
      <c r="H14" s="261">
        <v>2955</v>
      </c>
      <c r="I14" s="152">
        <v>0</v>
      </c>
      <c r="J14" s="152">
        <v>0</v>
      </c>
      <c r="K14" s="152">
        <v>0</v>
      </c>
      <c r="L14" s="261">
        <v>2955</v>
      </c>
    </row>
    <row r="15" spans="1:12" x14ac:dyDescent="0.25">
      <c r="A15" s="140" t="s">
        <v>219</v>
      </c>
      <c r="B15" s="142" t="s">
        <v>220</v>
      </c>
      <c r="C15" s="139">
        <v>153</v>
      </c>
      <c r="D15" s="139" t="s">
        <v>371</v>
      </c>
      <c r="E15" s="261">
        <v>4184</v>
      </c>
      <c r="F15" s="261">
        <v>1000</v>
      </c>
      <c r="G15" s="287" t="s">
        <v>570</v>
      </c>
      <c r="H15" s="261">
        <v>3184</v>
      </c>
      <c r="I15" s="152">
        <v>0</v>
      </c>
      <c r="J15" s="152">
        <v>0</v>
      </c>
      <c r="K15" s="152">
        <v>0</v>
      </c>
      <c r="L15" s="261">
        <v>3184</v>
      </c>
    </row>
    <row r="16" spans="1:12" x14ac:dyDescent="0.25">
      <c r="A16" s="140" t="s">
        <v>221</v>
      </c>
      <c r="B16" s="142" t="s">
        <v>210</v>
      </c>
      <c r="C16" s="139">
        <v>48</v>
      </c>
      <c r="D16" s="139" t="s">
        <v>371</v>
      </c>
      <c r="E16" s="261">
        <v>76083</v>
      </c>
      <c r="F16" s="261">
        <v>1000</v>
      </c>
      <c r="G16" s="287" t="s">
        <v>570</v>
      </c>
      <c r="H16" s="261">
        <v>75083</v>
      </c>
      <c r="I16" s="152">
        <v>0</v>
      </c>
      <c r="J16" s="152">
        <v>0</v>
      </c>
      <c r="K16" s="152">
        <v>0</v>
      </c>
      <c r="L16" s="261">
        <v>75083</v>
      </c>
    </row>
    <row r="17" spans="1:12" ht="30.75" x14ac:dyDescent="0.25">
      <c r="A17" s="140" t="s">
        <v>224</v>
      </c>
      <c r="B17" s="142" t="s">
        <v>225</v>
      </c>
      <c r="C17" s="139">
        <v>374</v>
      </c>
      <c r="D17" s="139" t="s">
        <v>371</v>
      </c>
      <c r="E17" s="261">
        <v>28543</v>
      </c>
      <c r="F17" s="261">
        <v>1000</v>
      </c>
      <c r="G17" s="287" t="s">
        <v>570</v>
      </c>
      <c r="H17" s="261">
        <v>27543</v>
      </c>
      <c r="I17" s="152">
        <v>0</v>
      </c>
      <c r="J17" s="152">
        <v>0</v>
      </c>
      <c r="K17" s="152">
        <v>0</v>
      </c>
      <c r="L17" s="261">
        <v>27543</v>
      </c>
    </row>
    <row r="18" spans="1:12" x14ac:dyDescent="0.25">
      <c r="A18" s="140" t="s">
        <v>226</v>
      </c>
      <c r="B18" s="142" t="s">
        <v>227</v>
      </c>
      <c r="C18" s="139">
        <v>171</v>
      </c>
      <c r="D18" s="139" t="s">
        <v>371</v>
      </c>
      <c r="E18" s="261">
        <v>3199</v>
      </c>
      <c r="F18" s="261">
        <v>1000</v>
      </c>
      <c r="G18" s="287" t="s">
        <v>570</v>
      </c>
      <c r="H18" s="261">
        <v>2199</v>
      </c>
      <c r="I18" s="152">
        <v>0</v>
      </c>
      <c r="J18" s="152">
        <v>0</v>
      </c>
      <c r="K18" s="152">
        <v>0</v>
      </c>
      <c r="L18" s="261">
        <v>2199</v>
      </c>
    </row>
    <row r="19" spans="1:12" ht="45.75" x14ac:dyDescent="0.25">
      <c r="A19" s="140" t="s">
        <v>228</v>
      </c>
      <c r="B19" s="142" t="s">
        <v>229</v>
      </c>
      <c r="C19" s="139">
        <v>258</v>
      </c>
      <c r="D19" s="139" t="s">
        <v>371</v>
      </c>
      <c r="E19" s="261">
        <v>10561</v>
      </c>
      <c r="F19" s="261">
        <v>1000</v>
      </c>
      <c r="G19" s="287" t="s">
        <v>570</v>
      </c>
      <c r="H19" s="261">
        <v>9561</v>
      </c>
      <c r="I19" s="152">
        <v>0</v>
      </c>
      <c r="J19" s="152">
        <v>0</v>
      </c>
      <c r="K19" s="152">
        <v>0</v>
      </c>
      <c r="L19" s="261">
        <v>9561</v>
      </c>
    </row>
    <row r="20" spans="1:12" x14ac:dyDescent="0.25">
      <c r="A20" s="140" t="s">
        <v>230</v>
      </c>
      <c r="B20" s="142" t="s">
        <v>210</v>
      </c>
      <c r="C20" s="139">
        <v>260</v>
      </c>
      <c r="D20" s="139" t="s">
        <v>371</v>
      </c>
      <c r="E20" s="261">
        <v>33492</v>
      </c>
      <c r="F20" s="261">
        <v>1000</v>
      </c>
      <c r="G20" s="287" t="s">
        <v>570</v>
      </c>
      <c r="H20" s="261">
        <v>32492</v>
      </c>
      <c r="I20" s="152">
        <v>0</v>
      </c>
      <c r="J20" s="152">
        <v>0</v>
      </c>
      <c r="K20" s="152">
        <v>0</v>
      </c>
      <c r="L20" s="261">
        <v>32492</v>
      </c>
    </row>
    <row r="21" spans="1:12" ht="30.75" x14ac:dyDescent="0.25">
      <c r="A21" s="140" t="s">
        <v>231</v>
      </c>
      <c r="B21" s="142" t="s">
        <v>232</v>
      </c>
      <c r="C21" s="139">
        <v>367</v>
      </c>
      <c r="D21" s="139" t="s">
        <v>371</v>
      </c>
      <c r="E21" s="261">
        <v>32583</v>
      </c>
      <c r="F21" s="261">
        <v>1000</v>
      </c>
      <c r="G21" s="287" t="s">
        <v>570</v>
      </c>
      <c r="H21" s="261">
        <v>31583</v>
      </c>
      <c r="I21" s="152">
        <v>0</v>
      </c>
      <c r="J21" s="152">
        <v>0</v>
      </c>
      <c r="K21" s="152">
        <v>0</v>
      </c>
      <c r="L21" s="261">
        <v>31583</v>
      </c>
    </row>
    <row r="22" spans="1:12" ht="30.75" x14ac:dyDescent="0.25">
      <c r="A22" s="140" t="s">
        <v>244</v>
      </c>
      <c r="B22" s="142" t="s">
        <v>245</v>
      </c>
      <c r="C22" s="139">
        <v>346</v>
      </c>
      <c r="D22" s="139" t="s">
        <v>371</v>
      </c>
      <c r="E22" s="261">
        <v>21301</v>
      </c>
      <c r="F22" s="261">
        <v>1000</v>
      </c>
      <c r="G22" s="287" t="s">
        <v>570</v>
      </c>
      <c r="H22" s="261">
        <v>20301</v>
      </c>
      <c r="I22" s="152">
        <v>0</v>
      </c>
      <c r="J22" s="152">
        <v>0</v>
      </c>
      <c r="K22" s="152">
        <v>0</v>
      </c>
      <c r="L22" s="261">
        <v>20301</v>
      </c>
    </row>
    <row r="23" spans="1:12" ht="30.75" x14ac:dyDescent="0.25">
      <c r="A23" s="140" t="s">
        <v>233</v>
      </c>
      <c r="B23" s="142" t="s">
        <v>234</v>
      </c>
      <c r="C23" s="139">
        <v>351</v>
      </c>
      <c r="D23" s="139" t="s">
        <v>371</v>
      </c>
      <c r="E23" s="261">
        <v>1265</v>
      </c>
      <c r="F23" s="261">
        <v>1000</v>
      </c>
      <c r="G23" s="287" t="s">
        <v>570</v>
      </c>
      <c r="H23" s="261">
        <v>265</v>
      </c>
      <c r="I23" s="152">
        <v>0</v>
      </c>
      <c r="J23" s="152">
        <v>0</v>
      </c>
      <c r="K23" s="152">
        <v>0</v>
      </c>
      <c r="L23" s="261">
        <v>265</v>
      </c>
    </row>
    <row r="24" spans="1:12" ht="30.75" x14ac:dyDescent="0.25">
      <c r="A24" s="140" t="s">
        <v>185</v>
      </c>
      <c r="B24" s="142" t="s">
        <v>186</v>
      </c>
      <c r="C24" s="139">
        <v>250</v>
      </c>
      <c r="D24" s="139" t="s">
        <v>184</v>
      </c>
      <c r="E24" s="261">
        <v>6120</v>
      </c>
      <c r="F24" s="261">
        <v>1000</v>
      </c>
      <c r="G24" s="287" t="s">
        <v>570</v>
      </c>
      <c r="H24" s="261">
        <v>5120</v>
      </c>
      <c r="I24" s="152">
        <v>0</v>
      </c>
      <c r="J24" s="152">
        <v>0</v>
      </c>
      <c r="K24" s="152">
        <v>0</v>
      </c>
      <c r="L24" s="261">
        <v>5120</v>
      </c>
    </row>
    <row r="25" spans="1:12" ht="45.75" x14ac:dyDescent="0.25">
      <c r="A25" s="140" t="s">
        <v>187</v>
      </c>
      <c r="B25" s="142" t="s">
        <v>188</v>
      </c>
      <c r="C25" s="139">
        <v>369</v>
      </c>
      <c r="D25" s="139" t="s">
        <v>184</v>
      </c>
      <c r="E25" s="261">
        <v>2472</v>
      </c>
      <c r="F25" s="261">
        <v>1000</v>
      </c>
      <c r="G25" s="287" t="s">
        <v>570</v>
      </c>
      <c r="H25" s="261">
        <v>1472</v>
      </c>
      <c r="I25" s="152">
        <v>0</v>
      </c>
      <c r="J25" s="152">
        <v>0</v>
      </c>
      <c r="K25" s="152">
        <v>0</v>
      </c>
      <c r="L25" s="261">
        <v>1472</v>
      </c>
    </row>
    <row r="26" spans="1:12" ht="30.75" x14ac:dyDescent="0.25">
      <c r="A26" s="140" t="s">
        <v>189</v>
      </c>
      <c r="B26" s="142" t="s">
        <v>190</v>
      </c>
      <c r="C26" s="139">
        <v>172</v>
      </c>
      <c r="D26" s="139" t="s">
        <v>184</v>
      </c>
      <c r="E26" s="261">
        <v>2602</v>
      </c>
      <c r="F26" s="261">
        <v>1000</v>
      </c>
      <c r="G26" s="287" t="s">
        <v>570</v>
      </c>
      <c r="H26" s="261">
        <v>1602</v>
      </c>
      <c r="I26" s="152">
        <v>0</v>
      </c>
      <c r="J26" s="152">
        <v>0</v>
      </c>
      <c r="K26" s="152">
        <v>0</v>
      </c>
      <c r="L26" s="261">
        <v>1602</v>
      </c>
    </row>
    <row r="27" spans="1:12" ht="30.75" x14ac:dyDescent="0.25">
      <c r="A27" s="140" t="s">
        <v>191</v>
      </c>
      <c r="B27" s="142" t="s">
        <v>192</v>
      </c>
      <c r="C27" s="139">
        <v>11</v>
      </c>
      <c r="D27" s="139" t="s">
        <v>184</v>
      </c>
      <c r="E27" s="261">
        <v>24319</v>
      </c>
      <c r="F27" s="261">
        <v>1000</v>
      </c>
      <c r="G27" s="287" t="s">
        <v>570</v>
      </c>
      <c r="H27" s="261">
        <v>23319</v>
      </c>
      <c r="I27" s="152">
        <v>0</v>
      </c>
      <c r="J27" s="152">
        <v>0</v>
      </c>
      <c r="K27" s="152">
        <v>0</v>
      </c>
      <c r="L27" s="261">
        <v>23319</v>
      </c>
    </row>
    <row r="28" spans="1:12" ht="30.75" x14ac:dyDescent="0.25">
      <c r="A28" s="140" t="s">
        <v>193</v>
      </c>
      <c r="B28" s="142" t="s">
        <v>194</v>
      </c>
      <c r="C28" s="139">
        <v>313</v>
      </c>
      <c r="D28" s="139" t="s">
        <v>184</v>
      </c>
      <c r="E28" s="261">
        <v>7145</v>
      </c>
      <c r="F28" s="261">
        <v>1000</v>
      </c>
      <c r="G28" s="287" t="s">
        <v>570</v>
      </c>
      <c r="H28" s="261">
        <v>6145</v>
      </c>
      <c r="I28" s="152">
        <v>0</v>
      </c>
      <c r="J28" s="152">
        <v>0</v>
      </c>
      <c r="K28" s="152">
        <v>0</v>
      </c>
      <c r="L28" s="261">
        <v>6145</v>
      </c>
    </row>
    <row r="29" spans="1:12" ht="30.75" x14ac:dyDescent="0.25">
      <c r="A29" s="140" t="s">
        <v>195</v>
      </c>
      <c r="B29" s="142" t="s">
        <v>196</v>
      </c>
      <c r="C29" s="139">
        <v>330</v>
      </c>
      <c r="D29" s="139" t="s">
        <v>184</v>
      </c>
      <c r="E29" s="261">
        <v>5781</v>
      </c>
      <c r="F29" s="261">
        <v>1000</v>
      </c>
      <c r="G29" s="287" t="s">
        <v>570</v>
      </c>
      <c r="H29" s="261">
        <v>4781</v>
      </c>
      <c r="I29" s="152">
        <v>0</v>
      </c>
      <c r="J29" s="152">
        <v>0</v>
      </c>
      <c r="K29" s="152">
        <v>0</v>
      </c>
      <c r="L29" s="261">
        <v>4781</v>
      </c>
    </row>
    <row r="30" spans="1:12" ht="45.75" x14ac:dyDescent="0.25">
      <c r="A30" s="140" t="s">
        <v>197</v>
      </c>
      <c r="B30" s="142" t="s">
        <v>198</v>
      </c>
      <c r="C30" s="139">
        <v>272</v>
      </c>
      <c r="D30" s="139" t="s">
        <v>184</v>
      </c>
      <c r="E30" s="261">
        <v>12692</v>
      </c>
      <c r="F30" s="261">
        <v>1000</v>
      </c>
      <c r="G30" s="287" t="s">
        <v>570</v>
      </c>
      <c r="H30" s="261">
        <v>11692</v>
      </c>
      <c r="I30" s="152">
        <v>0</v>
      </c>
      <c r="J30" s="152">
        <v>0</v>
      </c>
      <c r="K30" s="152">
        <v>0</v>
      </c>
      <c r="L30" s="261">
        <v>11692</v>
      </c>
    </row>
    <row r="31" spans="1:12" ht="45.75" x14ac:dyDescent="0.25">
      <c r="A31" s="140" t="s">
        <v>199</v>
      </c>
      <c r="B31" s="142" t="s">
        <v>200</v>
      </c>
      <c r="C31" s="139">
        <v>276</v>
      </c>
      <c r="D31" s="139" t="s">
        <v>184</v>
      </c>
      <c r="E31" s="261">
        <v>1122</v>
      </c>
      <c r="F31" s="261">
        <v>1000</v>
      </c>
      <c r="G31" s="287" t="s">
        <v>570</v>
      </c>
      <c r="H31" s="261">
        <v>122</v>
      </c>
      <c r="I31" s="152">
        <v>0</v>
      </c>
      <c r="J31" s="152">
        <v>0</v>
      </c>
      <c r="K31" s="152">
        <v>0</v>
      </c>
      <c r="L31" s="261">
        <v>122</v>
      </c>
    </row>
    <row r="32" spans="1:12" ht="90.75" x14ac:dyDescent="0.25">
      <c r="A32" s="140" t="s">
        <v>201</v>
      </c>
      <c r="B32" s="142" t="s">
        <v>202</v>
      </c>
      <c r="C32" s="139">
        <v>292</v>
      </c>
      <c r="D32" s="139" t="s">
        <v>184</v>
      </c>
      <c r="E32" s="261">
        <v>3493</v>
      </c>
      <c r="F32" s="152">
        <v>0</v>
      </c>
      <c r="G32" s="287" t="s">
        <v>570</v>
      </c>
      <c r="H32" s="261">
        <v>3493</v>
      </c>
      <c r="I32" s="152">
        <v>0</v>
      </c>
      <c r="J32" s="152">
        <v>0</v>
      </c>
      <c r="K32" s="152">
        <v>0</v>
      </c>
      <c r="L32" s="261">
        <v>3493</v>
      </c>
    </row>
    <row r="33" spans="1:12" ht="30.75" x14ac:dyDescent="0.25">
      <c r="A33" s="140" t="s">
        <v>203</v>
      </c>
      <c r="B33" s="142" t="s">
        <v>204</v>
      </c>
      <c r="C33" s="139">
        <v>209</v>
      </c>
      <c r="D33" s="139" t="s">
        <v>184</v>
      </c>
      <c r="E33" s="261">
        <v>22232</v>
      </c>
      <c r="F33" s="261">
        <v>1000</v>
      </c>
      <c r="G33" s="287" t="s">
        <v>570</v>
      </c>
      <c r="H33" s="261">
        <v>21232</v>
      </c>
      <c r="I33" s="152">
        <v>0</v>
      </c>
      <c r="J33" s="152">
        <v>0</v>
      </c>
      <c r="K33" s="152">
        <v>0</v>
      </c>
      <c r="L33" s="261">
        <v>21232</v>
      </c>
    </row>
    <row r="34" spans="1:12" x14ac:dyDescent="0.25">
      <c r="A34" s="140" t="s">
        <v>205</v>
      </c>
      <c r="B34" s="142" t="s">
        <v>206</v>
      </c>
      <c r="C34" s="139">
        <v>183</v>
      </c>
      <c r="D34" s="139" t="s">
        <v>184</v>
      </c>
      <c r="E34" s="261">
        <v>1471</v>
      </c>
      <c r="F34" s="261">
        <v>1000</v>
      </c>
      <c r="G34" s="287" t="s">
        <v>570</v>
      </c>
      <c r="H34" s="261">
        <v>471</v>
      </c>
      <c r="I34" s="152">
        <v>0</v>
      </c>
      <c r="J34" s="152">
        <v>0</v>
      </c>
      <c r="K34" s="152">
        <v>0</v>
      </c>
      <c r="L34" s="261">
        <v>471</v>
      </c>
    </row>
    <row r="35" spans="1:12" x14ac:dyDescent="0.25">
      <c r="A35" s="140" t="s">
        <v>207</v>
      </c>
      <c r="B35" s="142" t="s">
        <v>208</v>
      </c>
      <c r="C35" s="139">
        <v>192</v>
      </c>
      <c r="D35" s="139" t="s">
        <v>184</v>
      </c>
      <c r="E35" s="261">
        <v>1429</v>
      </c>
      <c r="F35" s="261">
        <v>1000</v>
      </c>
      <c r="G35" s="287" t="s">
        <v>570</v>
      </c>
      <c r="H35" s="261">
        <v>429</v>
      </c>
      <c r="I35" s="152">
        <v>0</v>
      </c>
      <c r="J35" s="152">
        <v>0</v>
      </c>
      <c r="K35" s="152">
        <v>0</v>
      </c>
      <c r="L35" s="261">
        <v>429</v>
      </c>
    </row>
    <row r="36" spans="1:12" ht="30.75" x14ac:dyDescent="0.25">
      <c r="A36" s="140" t="s">
        <v>209</v>
      </c>
      <c r="B36" s="142" t="s">
        <v>210</v>
      </c>
      <c r="C36" s="139">
        <v>297</v>
      </c>
      <c r="D36" s="139" t="s">
        <v>184</v>
      </c>
      <c r="E36" s="261">
        <v>15484</v>
      </c>
      <c r="F36" s="261">
        <v>1000</v>
      </c>
      <c r="G36" s="287" t="s">
        <v>570</v>
      </c>
      <c r="H36" s="261">
        <v>14484</v>
      </c>
      <c r="I36" s="152">
        <v>0</v>
      </c>
      <c r="J36" s="152">
        <v>0</v>
      </c>
      <c r="K36" s="152">
        <v>0</v>
      </c>
      <c r="L36" s="261">
        <v>14484</v>
      </c>
    </row>
    <row r="37" spans="1:12" x14ac:dyDescent="0.25">
      <c r="A37" s="140" t="s">
        <v>211</v>
      </c>
      <c r="B37" s="142" t="s">
        <v>212</v>
      </c>
      <c r="C37" s="139">
        <v>166</v>
      </c>
      <c r="D37" s="139" t="s">
        <v>184</v>
      </c>
      <c r="E37" s="261">
        <v>32116</v>
      </c>
      <c r="F37" s="261">
        <v>1000</v>
      </c>
      <c r="G37" s="287" t="s">
        <v>570</v>
      </c>
      <c r="H37" s="261">
        <v>31116</v>
      </c>
      <c r="I37" s="152">
        <v>0</v>
      </c>
      <c r="J37" s="152">
        <v>0</v>
      </c>
      <c r="K37" s="152">
        <v>0</v>
      </c>
      <c r="L37" s="261">
        <v>31116</v>
      </c>
    </row>
    <row r="38" spans="1:12" x14ac:dyDescent="0.25">
      <c r="A38" s="140" t="s">
        <v>213</v>
      </c>
      <c r="B38" s="142" t="s">
        <v>214</v>
      </c>
      <c r="C38" s="139">
        <v>32</v>
      </c>
      <c r="D38" s="139" t="s">
        <v>184</v>
      </c>
      <c r="E38" s="261">
        <v>5067</v>
      </c>
      <c r="F38" s="261">
        <v>1000</v>
      </c>
      <c r="G38" s="287" t="s">
        <v>570</v>
      </c>
      <c r="H38" s="261">
        <v>4067</v>
      </c>
      <c r="I38" s="152">
        <v>0</v>
      </c>
      <c r="J38" s="152">
        <v>0</v>
      </c>
      <c r="K38" s="152">
        <v>0</v>
      </c>
      <c r="L38" s="261">
        <v>4067</v>
      </c>
    </row>
    <row r="39" spans="1:12" ht="30.75" x14ac:dyDescent="0.25">
      <c r="A39" s="140" t="s">
        <v>215</v>
      </c>
      <c r="B39" s="142" t="s">
        <v>216</v>
      </c>
      <c r="C39" s="139">
        <v>368</v>
      </c>
      <c r="D39" s="139" t="s">
        <v>184</v>
      </c>
      <c r="E39" s="261">
        <v>1067</v>
      </c>
      <c r="F39" s="261">
        <v>1000</v>
      </c>
      <c r="G39" s="287" t="s">
        <v>570</v>
      </c>
      <c r="H39" s="261">
        <v>67</v>
      </c>
      <c r="I39" s="152">
        <v>0</v>
      </c>
      <c r="J39" s="152">
        <v>0</v>
      </c>
      <c r="K39" s="152">
        <v>0</v>
      </c>
      <c r="L39" s="261">
        <v>67</v>
      </c>
    </row>
    <row r="40" spans="1:12" x14ac:dyDescent="0.25">
      <c r="A40" s="140" t="s">
        <v>217</v>
      </c>
      <c r="B40" s="142" t="s">
        <v>218</v>
      </c>
      <c r="C40" s="139">
        <v>357</v>
      </c>
      <c r="D40" s="139" t="s">
        <v>184</v>
      </c>
      <c r="E40" s="261">
        <v>2744</v>
      </c>
      <c r="F40" s="261">
        <v>1000</v>
      </c>
      <c r="G40" s="287" t="s">
        <v>570</v>
      </c>
      <c r="H40" s="261">
        <v>1744</v>
      </c>
      <c r="I40" s="152">
        <v>0</v>
      </c>
      <c r="J40" s="152">
        <v>0</v>
      </c>
      <c r="K40" s="152">
        <v>0</v>
      </c>
      <c r="L40" s="261">
        <v>1744</v>
      </c>
    </row>
    <row r="41" spans="1:12" x14ac:dyDescent="0.25">
      <c r="A41" s="140" t="s">
        <v>219</v>
      </c>
      <c r="B41" s="142" t="s">
        <v>220</v>
      </c>
      <c r="C41" s="139">
        <v>153</v>
      </c>
      <c r="D41" s="139" t="s">
        <v>184</v>
      </c>
      <c r="E41" s="261">
        <v>2912</v>
      </c>
      <c r="F41" s="261">
        <v>1000</v>
      </c>
      <c r="G41" s="287" t="s">
        <v>570</v>
      </c>
      <c r="H41" s="261">
        <v>1912</v>
      </c>
      <c r="I41" s="152">
        <v>0</v>
      </c>
      <c r="J41" s="152">
        <v>0</v>
      </c>
      <c r="K41" s="152">
        <v>0</v>
      </c>
      <c r="L41" s="261">
        <v>1912</v>
      </c>
    </row>
    <row r="42" spans="1:12" x14ac:dyDescent="0.25">
      <c r="A42" s="140" t="s">
        <v>221</v>
      </c>
      <c r="B42" s="142" t="s">
        <v>210</v>
      </c>
      <c r="C42" s="139">
        <v>48</v>
      </c>
      <c r="D42" s="139" t="s">
        <v>184</v>
      </c>
      <c r="E42" s="261">
        <v>72708</v>
      </c>
      <c r="F42" s="261">
        <v>1000</v>
      </c>
      <c r="G42" s="287" t="s">
        <v>570</v>
      </c>
      <c r="H42" s="261">
        <v>71708</v>
      </c>
      <c r="I42" s="152">
        <v>0</v>
      </c>
      <c r="J42" s="152">
        <v>0</v>
      </c>
      <c r="K42" s="152">
        <v>0</v>
      </c>
      <c r="L42" s="261">
        <v>71708</v>
      </c>
    </row>
    <row r="43" spans="1:12" x14ac:dyDescent="0.25">
      <c r="A43" s="140" t="s">
        <v>222</v>
      </c>
      <c r="B43" s="142" t="s">
        <v>223</v>
      </c>
      <c r="C43" s="139">
        <v>350</v>
      </c>
      <c r="D43" s="139" t="s">
        <v>184</v>
      </c>
      <c r="E43" s="261">
        <v>1129</v>
      </c>
      <c r="F43" s="261">
        <v>1000</v>
      </c>
      <c r="G43" s="287" t="s">
        <v>570</v>
      </c>
      <c r="H43" s="261">
        <v>129</v>
      </c>
      <c r="I43" s="152">
        <v>0</v>
      </c>
      <c r="J43" s="152">
        <v>0</v>
      </c>
      <c r="K43" s="152">
        <v>0</v>
      </c>
      <c r="L43" s="261">
        <v>129</v>
      </c>
    </row>
    <row r="44" spans="1:12" x14ac:dyDescent="0.25">
      <c r="A44" s="140" t="s">
        <v>226</v>
      </c>
      <c r="B44" s="142" t="s">
        <v>227</v>
      </c>
      <c r="C44" s="139">
        <v>171</v>
      </c>
      <c r="D44" s="139" t="s">
        <v>184</v>
      </c>
      <c r="E44" s="261">
        <v>4940</v>
      </c>
      <c r="F44" s="261">
        <v>1000</v>
      </c>
      <c r="G44" s="287" t="s">
        <v>570</v>
      </c>
      <c r="H44" s="261">
        <v>3940</v>
      </c>
      <c r="I44" s="152">
        <v>0</v>
      </c>
      <c r="J44" s="152">
        <v>0</v>
      </c>
      <c r="K44" s="152">
        <v>0</v>
      </c>
      <c r="L44" s="261">
        <v>3940</v>
      </c>
    </row>
    <row r="45" spans="1:12" ht="45.75" x14ac:dyDescent="0.25">
      <c r="A45" s="140" t="s">
        <v>228</v>
      </c>
      <c r="B45" s="142" t="s">
        <v>229</v>
      </c>
      <c r="C45" s="139">
        <v>258</v>
      </c>
      <c r="D45" s="139" t="s">
        <v>184</v>
      </c>
      <c r="E45" s="261">
        <v>13704</v>
      </c>
      <c r="F45" s="261">
        <v>1000</v>
      </c>
      <c r="G45" s="287" t="s">
        <v>570</v>
      </c>
      <c r="H45" s="261">
        <v>12704</v>
      </c>
      <c r="I45" s="152">
        <v>0</v>
      </c>
      <c r="J45" s="152">
        <v>0</v>
      </c>
      <c r="K45" s="152">
        <v>0</v>
      </c>
      <c r="L45" s="261">
        <v>12704</v>
      </c>
    </row>
    <row r="46" spans="1:12" x14ac:dyDescent="0.25">
      <c r="A46" s="140" t="s">
        <v>230</v>
      </c>
      <c r="B46" s="142" t="s">
        <v>210</v>
      </c>
      <c r="C46" s="139">
        <v>260</v>
      </c>
      <c r="D46" s="139" t="s">
        <v>184</v>
      </c>
      <c r="E46" s="261">
        <v>29348</v>
      </c>
      <c r="F46" s="261">
        <v>1000</v>
      </c>
      <c r="G46" s="287" t="s">
        <v>570</v>
      </c>
      <c r="H46" s="261">
        <v>28348</v>
      </c>
      <c r="I46" s="152">
        <v>0</v>
      </c>
      <c r="J46" s="152">
        <v>0</v>
      </c>
      <c r="K46" s="152">
        <v>0</v>
      </c>
      <c r="L46" s="261">
        <v>28348</v>
      </c>
    </row>
    <row r="47" spans="1:12" ht="30.75" x14ac:dyDescent="0.25">
      <c r="A47" s="140" t="s">
        <v>231</v>
      </c>
      <c r="B47" s="142" t="s">
        <v>232</v>
      </c>
      <c r="C47" s="139">
        <v>367</v>
      </c>
      <c r="D47" s="139" t="s">
        <v>184</v>
      </c>
      <c r="E47" s="261">
        <v>35338</v>
      </c>
      <c r="F47" s="261">
        <v>1000</v>
      </c>
      <c r="G47" s="287" t="s">
        <v>570</v>
      </c>
      <c r="H47" s="261">
        <v>34338</v>
      </c>
      <c r="I47" s="152">
        <v>0</v>
      </c>
      <c r="J47" s="152">
        <v>0</v>
      </c>
      <c r="K47" s="152">
        <v>0</v>
      </c>
      <c r="L47" s="261">
        <v>34338</v>
      </c>
    </row>
    <row r="48" spans="1:12" ht="30.75" x14ac:dyDescent="0.25">
      <c r="A48" s="140" t="s">
        <v>233</v>
      </c>
      <c r="B48" s="142" t="s">
        <v>234</v>
      </c>
      <c r="C48" s="139">
        <v>351</v>
      </c>
      <c r="D48" s="139" t="s">
        <v>184</v>
      </c>
      <c r="E48" s="261">
        <v>2094</v>
      </c>
      <c r="F48" s="261">
        <v>1000</v>
      </c>
      <c r="G48" s="287" t="s">
        <v>570</v>
      </c>
      <c r="H48" s="261">
        <v>1094</v>
      </c>
      <c r="I48" s="152">
        <v>0</v>
      </c>
      <c r="J48" s="152">
        <v>0</v>
      </c>
      <c r="K48" s="152">
        <v>0</v>
      </c>
      <c r="L48" s="261">
        <v>1094</v>
      </c>
    </row>
    <row r="49" spans="1:12" ht="30.75" x14ac:dyDescent="0.25">
      <c r="A49" s="140" t="s">
        <v>185</v>
      </c>
      <c r="B49" s="142" t="s">
        <v>186</v>
      </c>
      <c r="C49" s="139">
        <v>250</v>
      </c>
      <c r="D49" s="139" t="s">
        <v>177</v>
      </c>
      <c r="E49" s="261">
        <v>6108</v>
      </c>
      <c r="F49" s="261">
        <v>1000</v>
      </c>
      <c r="G49" s="287" t="s">
        <v>570</v>
      </c>
      <c r="H49" s="261">
        <v>5108</v>
      </c>
      <c r="I49" s="152">
        <v>0</v>
      </c>
      <c r="J49" s="152">
        <v>0</v>
      </c>
      <c r="K49" s="152">
        <v>0</v>
      </c>
      <c r="L49" s="261">
        <v>5108</v>
      </c>
    </row>
    <row r="50" spans="1:12" ht="45.75" x14ac:dyDescent="0.25">
      <c r="A50" s="140" t="s">
        <v>187</v>
      </c>
      <c r="B50" s="142" t="s">
        <v>188</v>
      </c>
      <c r="C50" s="139">
        <v>369</v>
      </c>
      <c r="D50" s="139" t="s">
        <v>177</v>
      </c>
      <c r="E50" s="261">
        <v>5946</v>
      </c>
      <c r="F50" s="261">
        <v>1000</v>
      </c>
      <c r="G50" s="287" t="s">
        <v>570</v>
      </c>
      <c r="H50" s="261">
        <v>4946</v>
      </c>
      <c r="I50" s="152">
        <v>0</v>
      </c>
      <c r="J50" s="152">
        <v>0</v>
      </c>
      <c r="K50" s="152">
        <v>0</v>
      </c>
      <c r="L50" s="261">
        <v>4946</v>
      </c>
    </row>
    <row r="51" spans="1:12" ht="30.75" x14ac:dyDescent="0.25">
      <c r="A51" s="140" t="s">
        <v>189</v>
      </c>
      <c r="B51" s="142" t="s">
        <v>190</v>
      </c>
      <c r="C51" s="139">
        <v>172</v>
      </c>
      <c r="D51" s="139" t="s">
        <v>177</v>
      </c>
      <c r="E51" s="261">
        <v>1074</v>
      </c>
      <c r="F51" s="261">
        <v>1000</v>
      </c>
      <c r="G51" s="287" t="s">
        <v>570</v>
      </c>
      <c r="H51" s="261">
        <v>74</v>
      </c>
      <c r="I51" s="152">
        <v>0</v>
      </c>
      <c r="J51" s="152">
        <v>0</v>
      </c>
      <c r="K51" s="152">
        <v>0</v>
      </c>
      <c r="L51" s="261">
        <v>74</v>
      </c>
    </row>
    <row r="52" spans="1:12" ht="30.75" x14ac:dyDescent="0.25">
      <c r="A52" s="140" t="s">
        <v>191</v>
      </c>
      <c r="B52" s="142" t="s">
        <v>192</v>
      </c>
      <c r="C52" s="139">
        <v>11</v>
      </c>
      <c r="D52" s="139" t="s">
        <v>177</v>
      </c>
      <c r="E52" s="261">
        <v>69874</v>
      </c>
      <c r="F52" s="261">
        <v>1000</v>
      </c>
      <c r="G52" s="287" t="s">
        <v>570</v>
      </c>
      <c r="H52" s="261">
        <v>68874</v>
      </c>
      <c r="I52" s="152">
        <v>0</v>
      </c>
      <c r="J52" s="152">
        <v>0</v>
      </c>
      <c r="K52" s="152">
        <v>0</v>
      </c>
      <c r="L52" s="261">
        <v>68874</v>
      </c>
    </row>
    <row r="53" spans="1:12" ht="30.75" x14ac:dyDescent="0.25">
      <c r="A53" s="140" t="s">
        <v>193</v>
      </c>
      <c r="B53" s="142" t="s">
        <v>194</v>
      </c>
      <c r="C53" s="139">
        <v>313</v>
      </c>
      <c r="D53" s="139" t="s">
        <v>177</v>
      </c>
      <c r="E53" s="261">
        <v>13548</v>
      </c>
      <c r="F53" s="261">
        <v>1000</v>
      </c>
      <c r="G53" s="287" t="s">
        <v>570</v>
      </c>
      <c r="H53" s="261">
        <v>12548</v>
      </c>
      <c r="I53" s="152">
        <v>0</v>
      </c>
      <c r="J53" s="152">
        <v>0</v>
      </c>
      <c r="K53" s="152">
        <v>0</v>
      </c>
      <c r="L53" s="261">
        <v>12548</v>
      </c>
    </row>
    <row r="54" spans="1:12" ht="45.75" x14ac:dyDescent="0.25">
      <c r="A54" s="140" t="s">
        <v>197</v>
      </c>
      <c r="B54" s="142" t="s">
        <v>198</v>
      </c>
      <c r="C54" s="139">
        <v>272</v>
      </c>
      <c r="D54" s="139" t="s">
        <v>177</v>
      </c>
      <c r="E54" s="261">
        <v>17195</v>
      </c>
      <c r="F54" s="261">
        <v>1000</v>
      </c>
      <c r="G54" s="287" t="s">
        <v>570</v>
      </c>
      <c r="H54" s="261">
        <v>16195</v>
      </c>
      <c r="I54" s="152">
        <v>0</v>
      </c>
      <c r="J54" s="152">
        <v>0</v>
      </c>
      <c r="K54" s="152">
        <v>0</v>
      </c>
      <c r="L54" s="261">
        <v>16195</v>
      </c>
    </row>
    <row r="55" spans="1:12" ht="90.75" x14ac:dyDescent="0.25">
      <c r="A55" s="140" t="s">
        <v>201</v>
      </c>
      <c r="B55" s="142" t="s">
        <v>202</v>
      </c>
      <c r="C55" s="139">
        <v>292</v>
      </c>
      <c r="D55" s="139" t="s">
        <v>177</v>
      </c>
      <c r="E55" s="261">
        <v>15031</v>
      </c>
      <c r="F55" s="261">
        <v>1000</v>
      </c>
      <c r="G55" s="287" t="s">
        <v>570</v>
      </c>
      <c r="H55" s="261">
        <v>14031</v>
      </c>
      <c r="I55" s="152">
        <v>0</v>
      </c>
      <c r="J55" s="152">
        <v>0</v>
      </c>
      <c r="K55" s="152">
        <v>0</v>
      </c>
      <c r="L55" s="261">
        <v>14031</v>
      </c>
    </row>
    <row r="56" spans="1:12" ht="30.75" x14ac:dyDescent="0.25">
      <c r="A56" s="140" t="s">
        <v>203</v>
      </c>
      <c r="B56" s="142" t="s">
        <v>204</v>
      </c>
      <c r="C56" s="139">
        <v>209</v>
      </c>
      <c r="D56" s="139" t="s">
        <v>177</v>
      </c>
      <c r="E56" s="261">
        <v>30835</v>
      </c>
      <c r="F56" s="261">
        <v>1000</v>
      </c>
      <c r="G56" s="287" t="s">
        <v>570</v>
      </c>
      <c r="H56" s="261">
        <v>29835</v>
      </c>
      <c r="I56" s="152">
        <v>0</v>
      </c>
      <c r="J56" s="152">
        <v>0</v>
      </c>
      <c r="K56" s="152">
        <v>0</v>
      </c>
      <c r="L56" s="261">
        <v>29835</v>
      </c>
    </row>
    <row r="57" spans="1:12" x14ac:dyDescent="0.25">
      <c r="A57" s="140" t="s">
        <v>205</v>
      </c>
      <c r="B57" s="142" t="s">
        <v>206</v>
      </c>
      <c r="C57" s="139">
        <v>183</v>
      </c>
      <c r="D57" s="139" t="s">
        <v>177</v>
      </c>
      <c r="E57" s="261">
        <v>4625</v>
      </c>
      <c r="F57" s="261">
        <v>1000</v>
      </c>
      <c r="G57" s="287" t="s">
        <v>570</v>
      </c>
      <c r="H57" s="261">
        <v>3625</v>
      </c>
      <c r="I57" s="152">
        <v>0</v>
      </c>
      <c r="J57" s="152">
        <v>0</v>
      </c>
      <c r="K57" s="152">
        <v>0</v>
      </c>
      <c r="L57" s="261">
        <v>3625</v>
      </c>
    </row>
    <row r="58" spans="1:12" x14ac:dyDescent="0.25">
      <c r="A58" s="140" t="s">
        <v>207</v>
      </c>
      <c r="B58" s="142" t="s">
        <v>208</v>
      </c>
      <c r="C58" s="139">
        <v>192</v>
      </c>
      <c r="D58" s="139" t="s">
        <v>177</v>
      </c>
      <c r="E58" s="261">
        <v>1617</v>
      </c>
      <c r="F58" s="261">
        <v>1000</v>
      </c>
      <c r="G58" s="287" t="s">
        <v>570</v>
      </c>
      <c r="H58" s="261">
        <v>617</v>
      </c>
      <c r="I58" s="152">
        <v>0</v>
      </c>
      <c r="J58" s="152">
        <v>0</v>
      </c>
      <c r="K58" s="152">
        <v>0</v>
      </c>
      <c r="L58" s="261">
        <v>617</v>
      </c>
    </row>
    <row r="59" spans="1:12" ht="30.75" x14ac:dyDescent="0.25">
      <c r="A59" s="140" t="s">
        <v>209</v>
      </c>
      <c r="B59" s="142" t="s">
        <v>210</v>
      </c>
      <c r="C59" s="139">
        <v>297</v>
      </c>
      <c r="D59" s="139" t="s">
        <v>177</v>
      </c>
      <c r="E59" s="261">
        <v>12193</v>
      </c>
      <c r="F59" s="261">
        <v>1000</v>
      </c>
      <c r="G59" s="287" t="s">
        <v>570</v>
      </c>
      <c r="H59" s="261">
        <v>11193</v>
      </c>
      <c r="I59" s="152">
        <v>0</v>
      </c>
      <c r="J59" s="152">
        <v>0</v>
      </c>
      <c r="K59" s="152">
        <v>0</v>
      </c>
      <c r="L59" s="261">
        <v>11193</v>
      </c>
    </row>
    <row r="60" spans="1:12" x14ac:dyDescent="0.25">
      <c r="A60" s="140" t="s">
        <v>211</v>
      </c>
      <c r="B60" s="142" t="s">
        <v>212</v>
      </c>
      <c r="C60" s="139">
        <v>166</v>
      </c>
      <c r="D60" s="139" t="s">
        <v>177</v>
      </c>
      <c r="E60" s="261">
        <v>16225</v>
      </c>
      <c r="F60" s="261">
        <v>1000</v>
      </c>
      <c r="G60" s="287" t="s">
        <v>570</v>
      </c>
      <c r="H60" s="261">
        <v>15225</v>
      </c>
      <c r="I60" s="152">
        <v>0</v>
      </c>
      <c r="J60" s="152">
        <v>0</v>
      </c>
      <c r="K60" s="152">
        <v>0</v>
      </c>
      <c r="L60" s="261">
        <v>15225</v>
      </c>
    </row>
    <row r="61" spans="1:12" x14ac:dyDescent="0.25">
      <c r="A61" s="140" t="s">
        <v>213</v>
      </c>
      <c r="B61" s="142" t="s">
        <v>214</v>
      </c>
      <c r="C61" s="139">
        <v>32</v>
      </c>
      <c r="D61" s="139" t="s">
        <v>177</v>
      </c>
      <c r="E61" s="261">
        <v>7415</v>
      </c>
      <c r="F61" s="261">
        <v>1000</v>
      </c>
      <c r="G61" s="287" t="s">
        <v>570</v>
      </c>
      <c r="H61" s="261">
        <v>6415</v>
      </c>
      <c r="I61" s="152">
        <v>0</v>
      </c>
      <c r="J61" s="152">
        <v>0</v>
      </c>
      <c r="K61" s="152">
        <v>0</v>
      </c>
      <c r="L61" s="261">
        <v>6415</v>
      </c>
    </row>
    <row r="62" spans="1:12" ht="30.75" x14ac:dyDescent="0.25">
      <c r="A62" s="140" t="s">
        <v>215</v>
      </c>
      <c r="B62" s="142" t="s">
        <v>216</v>
      </c>
      <c r="C62" s="139">
        <v>368</v>
      </c>
      <c r="D62" s="139" t="s">
        <v>177</v>
      </c>
      <c r="E62" s="261">
        <v>7898</v>
      </c>
      <c r="F62" s="261">
        <v>1000</v>
      </c>
      <c r="G62" s="287" t="s">
        <v>570</v>
      </c>
      <c r="H62" s="261">
        <v>6898</v>
      </c>
      <c r="I62" s="152">
        <v>0</v>
      </c>
      <c r="J62" s="152">
        <v>0</v>
      </c>
      <c r="K62" s="152">
        <v>0</v>
      </c>
      <c r="L62" s="261">
        <v>6898</v>
      </c>
    </row>
    <row r="63" spans="1:12" x14ac:dyDescent="0.25">
      <c r="A63" s="140" t="s">
        <v>217</v>
      </c>
      <c r="B63" s="142" t="s">
        <v>218</v>
      </c>
      <c r="C63" s="139">
        <v>357</v>
      </c>
      <c r="D63" s="139" t="s">
        <v>177</v>
      </c>
      <c r="E63" s="261">
        <v>6448</v>
      </c>
      <c r="F63" s="261">
        <v>1000</v>
      </c>
      <c r="G63" s="287" t="s">
        <v>570</v>
      </c>
      <c r="H63" s="261">
        <v>5448</v>
      </c>
      <c r="I63" s="152">
        <v>0</v>
      </c>
      <c r="J63" s="152">
        <v>0</v>
      </c>
      <c r="K63" s="152">
        <v>0</v>
      </c>
      <c r="L63" s="261">
        <v>5448</v>
      </c>
    </row>
    <row r="64" spans="1:12" x14ac:dyDescent="0.25">
      <c r="A64" s="140" t="s">
        <v>219</v>
      </c>
      <c r="B64" s="142" t="s">
        <v>220</v>
      </c>
      <c r="C64" s="139">
        <v>153</v>
      </c>
      <c r="D64" s="139" t="s">
        <v>177</v>
      </c>
      <c r="E64" s="261">
        <v>2634</v>
      </c>
      <c r="F64" s="261">
        <v>1000</v>
      </c>
      <c r="G64" s="287" t="s">
        <v>570</v>
      </c>
      <c r="H64" s="261">
        <v>1634</v>
      </c>
      <c r="I64" s="152">
        <v>0</v>
      </c>
      <c r="J64" s="152">
        <v>0</v>
      </c>
      <c r="K64" s="152">
        <v>0</v>
      </c>
      <c r="L64" s="261">
        <v>1634</v>
      </c>
    </row>
    <row r="65" spans="1:12" x14ac:dyDescent="0.25">
      <c r="A65" s="140" t="s">
        <v>221</v>
      </c>
      <c r="B65" s="142" t="s">
        <v>210</v>
      </c>
      <c r="C65" s="139">
        <v>48</v>
      </c>
      <c r="D65" s="139" t="s">
        <v>177</v>
      </c>
      <c r="E65" s="261">
        <v>24675</v>
      </c>
      <c r="F65" s="261">
        <v>1000</v>
      </c>
      <c r="G65" s="287" t="s">
        <v>570</v>
      </c>
      <c r="H65" s="261">
        <v>23675</v>
      </c>
      <c r="I65" s="152">
        <v>0</v>
      </c>
      <c r="J65" s="152">
        <v>0</v>
      </c>
      <c r="K65" s="152">
        <v>0</v>
      </c>
      <c r="L65" s="261">
        <v>23675</v>
      </c>
    </row>
    <row r="66" spans="1:12" ht="30.75" x14ac:dyDescent="0.25">
      <c r="A66" s="140" t="s">
        <v>224</v>
      </c>
      <c r="B66" s="142" t="s">
        <v>225</v>
      </c>
      <c r="C66" s="139">
        <v>374</v>
      </c>
      <c r="D66" s="139" t="s">
        <v>177</v>
      </c>
      <c r="E66" s="261">
        <v>99676</v>
      </c>
      <c r="F66" s="261">
        <v>1000</v>
      </c>
      <c r="G66" s="287" t="s">
        <v>570</v>
      </c>
      <c r="H66" s="261">
        <v>98676</v>
      </c>
      <c r="I66" s="152">
        <v>0</v>
      </c>
      <c r="J66" s="152">
        <v>0</v>
      </c>
      <c r="K66" s="152">
        <v>0</v>
      </c>
      <c r="L66" s="261">
        <v>98676</v>
      </c>
    </row>
    <row r="67" spans="1:12" x14ac:dyDescent="0.25">
      <c r="A67" s="140" t="s">
        <v>226</v>
      </c>
      <c r="B67" s="142" t="s">
        <v>227</v>
      </c>
      <c r="C67" s="139">
        <v>171</v>
      </c>
      <c r="D67" s="139" t="s">
        <v>177</v>
      </c>
      <c r="E67" s="261">
        <v>6401</v>
      </c>
      <c r="F67" s="261">
        <v>1000</v>
      </c>
      <c r="G67" s="287" t="s">
        <v>570</v>
      </c>
      <c r="H67" s="261">
        <v>5401</v>
      </c>
      <c r="I67" s="152">
        <v>0</v>
      </c>
      <c r="J67" s="152">
        <v>0</v>
      </c>
      <c r="K67" s="152">
        <v>0</v>
      </c>
      <c r="L67" s="261">
        <v>5401</v>
      </c>
    </row>
    <row r="68" spans="1:12" ht="45.75" x14ac:dyDescent="0.25">
      <c r="A68" s="140" t="s">
        <v>228</v>
      </c>
      <c r="B68" s="142" t="s">
        <v>229</v>
      </c>
      <c r="C68" s="139">
        <v>258</v>
      </c>
      <c r="D68" s="139" t="s">
        <v>177</v>
      </c>
      <c r="E68" s="261">
        <v>25763</v>
      </c>
      <c r="F68" s="261">
        <v>1000</v>
      </c>
      <c r="G68" s="287" t="s">
        <v>570</v>
      </c>
      <c r="H68" s="261">
        <v>24763</v>
      </c>
      <c r="I68" s="152">
        <v>0</v>
      </c>
      <c r="J68" s="152">
        <v>0</v>
      </c>
      <c r="K68" s="152">
        <v>0</v>
      </c>
      <c r="L68" s="261">
        <v>24763</v>
      </c>
    </row>
    <row r="69" spans="1:12" x14ac:dyDescent="0.25">
      <c r="A69" s="140" t="s">
        <v>230</v>
      </c>
      <c r="B69" s="142" t="s">
        <v>210</v>
      </c>
      <c r="C69" s="139">
        <v>260</v>
      </c>
      <c r="D69" s="139" t="s">
        <v>177</v>
      </c>
      <c r="E69" s="261">
        <v>83397</v>
      </c>
      <c r="F69" s="261">
        <v>1000</v>
      </c>
      <c r="G69" s="287" t="s">
        <v>570</v>
      </c>
      <c r="H69" s="261">
        <v>82397</v>
      </c>
      <c r="I69" s="152">
        <v>0</v>
      </c>
      <c r="J69" s="152">
        <v>0</v>
      </c>
      <c r="K69" s="152">
        <v>0</v>
      </c>
      <c r="L69" s="261">
        <v>82397</v>
      </c>
    </row>
    <row r="70" spans="1:12" ht="30.75" x14ac:dyDescent="0.25">
      <c r="A70" s="140" t="s">
        <v>231</v>
      </c>
      <c r="B70" s="142" t="s">
        <v>232</v>
      </c>
      <c r="C70" s="139">
        <v>367</v>
      </c>
      <c r="D70" s="139" t="s">
        <v>177</v>
      </c>
      <c r="E70" s="261">
        <v>87340</v>
      </c>
      <c r="F70" s="261">
        <v>1000</v>
      </c>
      <c r="G70" s="287" t="s">
        <v>570</v>
      </c>
      <c r="H70" s="261">
        <v>86340</v>
      </c>
      <c r="I70" s="152">
        <v>0</v>
      </c>
      <c r="J70" s="152">
        <v>0</v>
      </c>
      <c r="K70" s="152">
        <v>0</v>
      </c>
      <c r="L70" s="261">
        <v>86340</v>
      </c>
    </row>
    <row r="71" spans="1:12" ht="30.75" x14ac:dyDescent="0.25">
      <c r="A71" s="140" t="s">
        <v>233</v>
      </c>
      <c r="B71" s="142" t="s">
        <v>234</v>
      </c>
      <c r="C71" s="139">
        <v>351</v>
      </c>
      <c r="D71" s="139" t="s">
        <v>177</v>
      </c>
      <c r="E71" s="261">
        <v>3404</v>
      </c>
      <c r="F71" s="261">
        <v>1000</v>
      </c>
      <c r="G71" s="287" t="s">
        <v>570</v>
      </c>
      <c r="H71" s="261">
        <v>2404</v>
      </c>
      <c r="I71" s="152">
        <v>0</v>
      </c>
      <c r="J71" s="152">
        <v>0</v>
      </c>
      <c r="K71" s="152">
        <v>0</v>
      </c>
      <c r="L71" s="261">
        <v>2404</v>
      </c>
    </row>
    <row r="72" spans="1:12" ht="30.75" x14ac:dyDescent="0.25">
      <c r="A72" s="140" t="s">
        <v>185</v>
      </c>
      <c r="B72" s="142" t="s">
        <v>186</v>
      </c>
      <c r="C72" s="139">
        <v>250</v>
      </c>
      <c r="D72" s="139" t="s">
        <v>22</v>
      </c>
      <c r="E72" s="261">
        <v>7166</v>
      </c>
      <c r="F72" s="261">
        <v>1000</v>
      </c>
      <c r="G72" s="287" t="s">
        <v>570</v>
      </c>
      <c r="H72" s="261">
        <v>6166</v>
      </c>
      <c r="I72" s="152">
        <v>0</v>
      </c>
      <c r="J72" s="152">
        <v>0</v>
      </c>
      <c r="K72" s="152">
        <v>0</v>
      </c>
      <c r="L72" s="261">
        <v>6166</v>
      </c>
    </row>
    <row r="73" spans="1:12" ht="45.75" x14ac:dyDescent="0.25">
      <c r="A73" s="140" t="s">
        <v>187</v>
      </c>
      <c r="B73" s="142" t="s">
        <v>188</v>
      </c>
      <c r="C73" s="139">
        <v>369</v>
      </c>
      <c r="D73" s="139" t="s">
        <v>22</v>
      </c>
      <c r="E73" s="261">
        <v>8376</v>
      </c>
      <c r="F73" s="261">
        <v>1000</v>
      </c>
      <c r="G73" s="287" t="s">
        <v>570</v>
      </c>
      <c r="H73" s="261">
        <v>7376</v>
      </c>
      <c r="I73" s="152">
        <v>0</v>
      </c>
      <c r="J73" s="152">
        <v>0</v>
      </c>
      <c r="K73" s="152">
        <v>0</v>
      </c>
      <c r="L73" s="261">
        <v>7376</v>
      </c>
    </row>
    <row r="74" spans="1:12" ht="30.75" x14ac:dyDescent="0.25">
      <c r="A74" s="140" t="s">
        <v>189</v>
      </c>
      <c r="B74" s="142" t="s">
        <v>190</v>
      </c>
      <c r="C74" s="139">
        <v>172</v>
      </c>
      <c r="D74" s="139" t="s">
        <v>22</v>
      </c>
      <c r="E74" s="261">
        <v>1202</v>
      </c>
      <c r="F74" s="261">
        <v>1000</v>
      </c>
      <c r="G74" s="287" t="s">
        <v>570</v>
      </c>
      <c r="H74" s="261">
        <v>202</v>
      </c>
      <c r="I74" s="152">
        <v>0</v>
      </c>
      <c r="J74" s="152">
        <v>0</v>
      </c>
      <c r="K74" s="152">
        <v>0</v>
      </c>
      <c r="L74" s="261">
        <v>202</v>
      </c>
    </row>
    <row r="75" spans="1:12" ht="30.75" x14ac:dyDescent="0.25">
      <c r="A75" s="140" t="s">
        <v>191</v>
      </c>
      <c r="B75" s="142" t="s">
        <v>192</v>
      </c>
      <c r="C75" s="139">
        <v>11</v>
      </c>
      <c r="D75" s="139" t="s">
        <v>22</v>
      </c>
      <c r="E75" s="261">
        <v>27854</v>
      </c>
      <c r="F75" s="261">
        <v>1000</v>
      </c>
      <c r="G75" s="287" t="s">
        <v>570</v>
      </c>
      <c r="H75" s="261">
        <v>26854</v>
      </c>
      <c r="I75" s="152">
        <v>0</v>
      </c>
      <c r="J75" s="152">
        <v>0</v>
      </c>
      <c r="K75" s="152">
        <v>0</v>
      </c>
      <c r="L75" s="261">
        <v>26854</v>
      </c>
    </row>
    <row r="76" spans="1:12" ht="30.75" x14ac:dyDescent="0.25">
      <c r="A76" s="140" t="s">
        <v>193</v>
      </c>
      <c r="B76" s="142" t="s">
        <v>194</v>
      </c>
      <c r="C76" s="139">
        <v>313</v>
      </c>
      <c r="D76" s="139" t="s">
        <v>22</v>
      </c>
      <c r="E76" s="261">
        <v>14450</v>
      </c>
      <c r="F76" s="261">
        <v>1000</v>
      </c>
      <c r="G76" s="287" t="s">
        <v>570</v>
      </c>
      <c r="H76" s="261">
        <v>13450</v>
      </c>
      <c r="I76" s="152">
        <v>0</v>
      </c>
      <c r="J76" s="152">
        <v>0</v>
      </c>
      <c r="K76" s="152">
        <v>0</v>
      </c>
      <c r="L76" s="261">
        <v>13450</v>
      </c>
    </row>
    <row r="77" spans="1:12" ht="30.75" x14ac:dyDescent="0.25">
      <c r="A77" s="140" t="s">
        <v>195</v>
      </c>
      <c r="B77" s="142" t="s">
        <v>196</v>
      </c>
      <c r="C77" s="139">
        <v>330</v>
      </c>
      <c r="D77" s="139" t="s">
        <v>22</v>
      </c>
      <c r="E77" s="261">
        <v>21004</v>
      </c>
      <c r="F77" s="261">
        <v>1000</v>
      </c>
      <c r="G77" s="287" t="s">
        <v>570</v>
      </c>
      <c r="H77" s="261">
        <v>20004</v>
      </c>
      <c r="I77" s="152">
        <v>0</v>
      </c>
      <c r="J77" s="152">
        <v>0</v>
      </c>
      <c r="K77" s="152">
        <v>0</v>
      </c>
      <c r="L77" s="261">
        <v>20004</v>
      </c>
    </row>
    <row r="78" spans="1:12" ht="45.75" x14ac:dyDescent="0.25">
      <c r="A78" s="140" t="s">
        <v>197</v>
      </c>
      <c r="B78" s="142" t="s">
        <v>198</v>
      </c>
      <c r="C78" s="139">
        <v>272</v>
      </c>
      <c r="D78" s="139" t="s">
        <v>22</v>
      </c>
      <c r="E78" s="261">
        <v>25757</v>
      </c>
      <c r="F78" s="261">
        <v>1000</v>
      </c>
      <c r="G78" s="287" t="s">
        <v>570</v>
      </c>
      <c r="H78" s="261">
        <v>24757</v>
      </c>
      <c r="I78" s="152">
        <v>0</v>
      </c>
      <c r="J78" s="152">
        <v>0</v>
      </c>
      <c r="K78" s="152">
        <v>0</v>
      </c>
      <c r="L78" s="261">
        <v>24757</v>
      </c>
    </row>
    <row r="79" spans="1:12" ht="45.75" x14ac:dyDescent="0.25">
      <c r="A79" s="140" t="s">
        <v>199</v>
      </c>
      <c r="B79" s="142" t="s">
        <v>200</v>
      </c>
      <c r="C79" s="139">
        <v>276</v>
      </c>
      <c r="D79" s="139" t="s">
        <v>22</v>
      </c>
      <c r="E79" s="261">
        <v>7997</v>
      </c>
      <c r="F79" s="261">
        <v>1000</v>
      </c>
      <c r="G79" s="287" t="s">
        <v>570</v>
      </c>
      <c r="H79" s="261">
        <v>6997</v>
      </c>
      <c r="I79" s="152">
        <v>0</v>
      </c>
      <c r="J79" s="152">
        <v>0</v>
      </c>
      <c r="K79" s="152">
        <v>0</v>
      </c>
      <c r="L79" s="261">
        <v>6997</v>
      </c>
    </row>
    <row r="80" spans="1:12" ht="90.75" x14ac:dyDescent="0.25">
      <c r="A80" s="140" t="s">
        <v>201</v>
      </c>
      <c r="B80" s="142" t="s">
        <v>202</v>
      </c>
      <c r="C80" s="139">
        <v>292</v>
      </c>
      <c r="D80" s="139" t="s">
        <v>22</v>
      </c>
      <c r="E80" s="261">
        <v>33163</v>
      </c>
      <c r="F80" s="261">
        <v>1000</v>
      </c>
      <c r="G80" s="287" t="s">
        <v>570</v>
      </c>
      <c r="H80" s="261">
        <v>32163</v>
      </c>
      <c r="I80" s="152">
        <v>0</v>
      </c>
      <c r="J80" s="152">
        <v>0</v>
      </c>
      <c r="K80" s="152">
        <v>0</v>
      </c>
      <c r="L80" s="261">
        <v>32163</v>
      </c>
    </row>
    <row r="81" spans="1:12" ht="30.75" x14ac:dyDescent="0.25">
      <c r="A81" s="140" t="s">
        <v>203</v>
      </c>
      <c r="B81" s="142" t="s">
        <v>204</v>
      </c>
      <c r="C81" s="139">
        <v>209</v>
      </c>
      <c r="D81" s="139" t="s">
        <v>22</v>
      </c>
      <c r="E81" s="261">
        <v>35550</v>
      </c>
      <c r="F81" s="261">
        <v>1000</v>
      </c>
      <c r="G81" s="287" t="s">
        <v>570</v>
      </c>
      <c r="H81" s="261">
        <v>34550</v>
      </c>
      <c r="I81" s="152">
        <v>0</v>
      </c>
      <c r="J81" s="152">
        <v>0</v>
      </c>
      <c r="K81" s="152">
        <v>0</v>
      </c>
      <c r="L81" s="261">
        <v>34550</v>
      </c>
    </row>
    <row r="82" spans="1:12" x14ac:dyDescent="0.25">
      <c r="A82" s="140" t="s">
        <v>205</v>
      </c>
      <c r="B82" s="142" t="s">
        <v>206</v>
      </c>
      <c r="C82" s="139">
        <v>183</v>
      </c>
      <c r="D82" s="139" t="s">
        <v>22</v>
      </c>
      <c r="E82" s="261">
        <v>3443</v>
      </c>
      <c r="F82" s="261">
        <v>1000</v>
      </c>
      <c r="G82" s="287" t="s">
        <v>570</v>
      </c>
      <c r="H82" s="261">
        <v>2443</v>
      </c>
      <c r="I82" s="152">
        <v>0</v>
      </c>
      <c r="J82" s="152">
        <v>0</v>
      </c>
      <c r="K82" s="152">
        <v>0</v>
      </c>
      <c r="L82" s="261">
        <v>2443</v>
      </c>
    </row>
    <row r="83" spans="1:12" x14ac:dyDescent="0.25">
      <c r="A83" s="140" t="s">
        <v>207</v>
      </c>
      <c r="B83" s="142" t="s">
        <v>208</v>
      </c>
      <c r="C83" s="139">
        <v>192</v>
      </c>
      <c r="D83" s="139" t="s">
        <v>22</v>
      </c>
      <c r="E83" s="261">
        <v>4921</v>
      </c>
      <c r="F83" s="261">
        <v>1000</v>
      </c>
      <c r="G83" s="287" t="s">
        <v>570</v>
      </c>
      <c r="H83" s="261">
        <v>3921</v>
      </c>
      <c r="I83" s="152">
        <v>0</v>
      </c>
      <c r="J83" s="152">
        <v>0</v>
      </c>
      <c r="K83" s="152">
        <v>0</v>
      </c>
      <c r="L83" s="261">
        <v>3921</v>
      </c>
    </row>
    <row r="84" spans="1:12" ht="30.75" x14ac:dyDescent="0.25">
      <c r="A84" s="140" t="s">
        <v>209</v>
      </c>
      <c r="B84" s="142" t="s">
        <v>210</v>
      </c>
      <c r="C84" s="139">
        <v>297</v>
      </c>
      <c r="D84" s="139" t="s">
        <v>22</v>
      </c>
      <c r="E84" s="261">
        <v>368429</v>
      </c>
      <c r="F84" s="261">
        <v>1000</v>
      </c>
      <c r="G84" s="287" t="s">
        <v>570</v>
      </c>
      <c r="H84" s="261">
        <v>367429</v>
      </c>
      <c r="I84" s="152">
        <v>0</v>
      </c>
      <c r="J84" s="152">
        <v>0</v>
      </c>
      <c r="K84" s="152">
        <v>0</v>
      </c>
      <c r="L84" s="261">
        <v>367429</v>
      </c>
    </row>
    <row r="85" spans="1:12" x14ac:dyDescent="0.25">
      <c r="A85" s="140" t="s">
        <v>211</v>
      </c>
      <c r="B85" s="142" t="s">
        <v>212</v>
      </c>
      <c r="C85" s="139">
        <v>166</v>
      </c>
      <c r="D85" s="139" t="s">
        <v>22</v>
      </c>
      <c r="E85" s="261">
        <v>47272</v>
      </c>
      <c r="F85" s="261">
        <v>1000</v>
      </c>
      <c r="G85" s="287" t="s">
        <v>570</v>
      </c>
      <c r="H85" s="261">
        <v>46272</v>
      </c>
      <c r="I85" s="152">
        <v>0</v>
      </c>
      <c r="J85" s="152">
        <v>0</v>
      </c>
      <c r="K85" s="152">
        <v>0</v>
      </c>
      <c r="L85" s="261">
        <v>46272</v>
      </c>
    </row>
    <row r="86" spans="1:12" x14ac:dyDescent="0.25">
      <c r="A86" s="140" t="s">
        <v>213</v>
      </c>
      <c r="B86" s="142" t="s">
        <v>214</v>
      </c>
      <c r="C86" s="139">
        <v>32</v>
      </c>
      <c r="D86" s="139" t="s">
        <v>22</v>
      </c>
      <c r="E86" s="261">
        <v>7722</v>
      </c>
      <c r="F86" s="261">
        <v>1000</v>
      </c>
      <c r="G86" s="287" t="s">
        <v>570</v>
      </c>
      <c r="H86" s="261">
        <v>6722</v>
      </c>
      <c r="I86" s="152">
        <v>0</v>
      </c>
      <c r="J86" s="152">
        <v>0</v>
      </c>
      <c r="K86" s="152">
        <v>0</v>
      </c>
      <c r="L86" s="261">
        <v>6722</v>
      </c>
    </row>
    <row r="87" spans="1:12" ht="30.75" x14ac:dyDescent="0.25">
      <c r="A87" s="140" t="s">
        <v>215</v>
      </c>
      <c r="B87" s="142" t="s">
        <v>216</v>
      </c>
      <c r="C87" s="139">
        <v>368</v>
      </c>
      <c r="D87" s="139" t="s">
        <v>22</v>
      </c>
      <c r="E87" s="261">
        <v>11813</v>
      </c>
      <c r="F87" s="261">
        <v>1000</v>
      </c>
      <c r="G87" s="287" t="s">
        <v>570</v>
      </c>
      <c r="H87" s="261">
        <v>10813</v>
      </c>
      <c r="I87" s="152">
        <v>0</v>
      </c>
      <c r="J87" s="152">
        <v>0</v>
      </c>
      <c r="K87" s="152">
        <v>0</v>
      </c>
      <c r="L87" s="261">
        <v>10813</v>
      </c>
    </row>
    <row r="88" spans="1:12" x14ac:dyDescent="0.25">
      <c r="A88" s="140" t="s">
        <v>217</v>
      </c>
      <c r="B88" s="142" t="s">
        <v>218</v>
      </c>
      <c r="C88" s="139">
        <v>357</v>
      </c>
      <c r="D88" s="139" t="s">
        <v>22</v>
      </c>
      <c r="E88" s="261">
        <v>6108</v>
      </c>
      <c r="F88" s="261">
        <v>1000</v>
      </c>
      <c r="G88" s="287" t="s">
        <v>570</v>
      </c>
      <c r="H88" s="261">
        <v>5108</v>
      </c>
      <c r="I88" s="152">
        <v>0</v>
      </c>
      <c r="J88" s="152">
        <v>0</v>
      </c>
      <c r="K88" s="152">
        <v>0</v>
      </c>
      <c r="L88" s="261">
        <v>5108</v>
      </c>
    </row>
    <row r="89" spans="1:12" x14ac:dyDescent="0.25">
      <c r="A89" s="140" t="s">
        <v>219</v>
      </c>
      <c r="B89" s="142" t="s">
        <v>220</v>
      </c>
      <c r="C89" s="139">
        <v>153</v>
      </c>
      <c r="D89" s="139" t="s">
        <v>22</v>
      </c>
      <c r="E89" s="261">
        <v>8974</v>
      </c>
      <c r="F89" s="261">
        <v>1000</v>
      </c>
      <c r="G89" s="287" t="s">
        <v>570</v>
      </c>
      <c r="H89" s="261">
        <v>7974</v>
      </c>
      <c r="I89" s="152">
        <v>0</v>
      </c>
      <c r="J89" s="152">
        <v>0</v>
      </c>
      <c r="K89" s="152">
        <v>0</v>
      </c>
      <c r="L89" s="261">
        <v>7974</v>
      </c>
    </row>
    <row r="90" spans="1:12" x14ac:dyDescent="0.25">
      <c r="A90" s="140" t="s">
        <v>221</v>
      </c>
      <c r="B90" s="142" t="s">
        <v>210</v>
      </c>
      <c r="C90" s="139">
        <v>48</v>
      </c>
      <c r="D90" s="139" t="s">
        <v>22</v>
      </c>
      <c r="E90" s="261">
        <v>74680</v>
      </c>
      <c r="F90" s="261">
        <v>1000</v>
      </c>
      <c r="G90" s="287" t="s">
        <v>570</v>
      </c>
      <c r="H90" s="261">
        <v>73680</v>
      </c>
      <c r="I90" s="152">
        <v>0</v>
      </c>
      <c r="J90" s="152">
        <v>0</v>
      </c>
      <c r="K90" s="152">
        <v>0</v>
      </c>
      <c r="L90" s="261">
        <v>73680</v>
      </c>
    </row>
    <row r="91" spans="1:12" x14ac:dyDescent="0.25">
      <c r="A91" s="140" t="s">
        <v>222</v>
      </c>
      <c r="B91" s="142" t="s">
        <v>223</v>
      </c>
      <c r="C91" s="139">
        <v>350</v>
      </c>
      <c r="D91" s="139" t="s">
        <v>22</v>
      </c>
      <c r="E91" s="261">
        <v>2007</v>
      </c>
      <c r="F91" s="261">
        <v>1000</v>
      </c>
      <c r="G91" s="287" t="s">
        <v>570</v>
      </c>
      <c r="H91" s="261">
        <v>1007</v>
      </c>
      <c r="I91" s="152">
        <v>0</v>
      </c>
      <c r="J91" s="152">
        <v>0</v>
      </c>
      <c r="K91" s="152">
        <v>0</v>
      </c>
      <c r="L91" s="261">
        <v>1007</v>
      </c>
    </row>
    <row r="92" spans="1:12" ht="30.75" x14ac:dyDescent="0.25">
      <c r="A92" s="140" t="s">
        <v>224</v>
      </c>
      <c r="B92" s="142" t="s">
        <v>225</v>
      </c>
      <c r="C92" s="139">
        <v>374</v>
      </c>
      <c r="D92" s="139" t="s">
        <v>22</v>
      </c>
      <c r="E92" s="261">
        <v>310292</v>
      </c>
      <c r="F92" s="261">
        <v>1000</v>
      </c>
      <c r="G92" s="287" t="s">
        <v>570</v>
      </c>
      <c r="H92" s="261">
        <v>309292</v>
      </c>
      <c r="I92" s="152">
        <v>0</v>
      </c>
      <c r="J92" s="152">
        <v>0</v>
      </c>
      <c r="K92" s="152">
        <v>0</v>
      </c>
      <c r="L92" s="261">
        <v>309292</v>
      </c>
    </row>
    <row r="93" spans="1:12" x14ac:dyDescent="0.25">
      <c r="A93" s="140" t="s">
        <v>226</v>
      </c>
      <c r="B93" s="142" t="s">
        <v>227</v>
      </c>
      <c r="C93" s="139">
        <v>171</v>
      </c>
      <c r="D93" s="139" t="s">
        <v>22</v>
      </c>
      <c r="E93" s="261">
        <v>11486</v>
      </c>
      <c r="F93" s="261">
        <v>1000</v>
      </c>
      <c r="G93" s="287" t="s">
        <v>570</v>
      </c>
      <c r="H93" s="261">
        <v>10486</v>
      </c>
      <c r="I93" s="152">
        <v>0</v>
      </c>
      <c r="J93" s="152">
        <v>0</v>
      </c>
      <c r="K93" s="152">
        <v>0</v>
      </c>
      <c r="L93" s="261">
        <v>10486</v>
      </c>
    </row>
    <row r="94" spans="1:12" ht="45.75" x14ac:dyDescent="0.25">
      <c r="A94" s="140" t="s">
        <v>228</v>
      </c>
      <c r="B94" s="142" t="s">
        <v>229</v>
      </c>
      <c r="C94" s="139">
        <v>258</v>
      </c>
      <c r="D94" s="139" t="s">
        <v>22</v>
      </c>
      <c r="E94" s="261">
        <v>27399</v>
      </c>
      <c r="F94" s="261">
        <v>1000</v>
      </c>
      <c r="G94" s="287" t="s">
        <v>570</v>
      </c>
      <c r="H94" s="261">
        <v>26399</v>
      </c>
      <c r="I94" s="152">
        <v>0</v>
      </c>
      <c r="J94" s="152">
        <v>0</v>
      </c>
      <c r="K94" s="152">
        <v>0</v>
      </c>
      <c r="L94" s="261">
        <v>26399</v>
      </c>
    </row>
    <row r="95" spans="1:12" x14ac:dyDescent="0.25">
      <c r="A95" s="140" t="s">
        <v>230</v>
      </c>
      <c r="B95" s="142" t="s">
        <v>210</v>
      </c>
      <c r="C95" s="139">
        <v>260</v>
      </c>
      <c r="D95" s="139" t="s">
        <v>22</v>
      </c>
      <c r="E95" s="261">
        <v>78666</v>
      </c>
      <c r="F95" s="261">
        <v>1000</v>
      </c>
      <c r="G95" s="287" t="s">
        <v>570</v>
      </c>
      <c r="H95" s="261">
        <v>77666</v>
      </c>
      <c r="I95" s="152">
        <v>0</v>
      </c>
      <c r="J95" s="152">
        <v>0</v>
      </c>
      <c r="K95" s="152">
        <v>0</v>
      </c>
      <c r="L95" s="261">
        <v>77666</v>
      </c>
    </row>
    <row r="96" spans="1:12" ht="30.75" x14ac:dyDescent="0.25">
      <c r="A96" s="140" t="s">
        <v>231</v>
      </c>
      <c r="B96" s="142" t="s">
        <v>232</v>
      </c>
      <c r="C96" s="139">
        <v>367</v>
      </c>
      <c r="D96" s="139" t="s">
        <v>22</v>
      </c>
      <c r="E96" s="261">
        <v>114612</v>
      </c>
      <c r="F96" s="261">
        <v>1000</v>
      </c>
      <c r="G96" s="287" t="s">
        <v>570</v>
      </c>
      <c r="H96" s="261">
        <v>113612</v>
      </c>
      <c r="I96" s="152">
        <v>0</v>
      </c>
      <c r="J96" s="152">
        <v>0</v>
      </c>
      <c r="K96" s="152">
        <v>0</v>
      </c>
      <c r="L96" s="261">
        <v>113612</v>
      </c>
    </row>
    <row r="97" spans="1:12" ht="30.75" x14ac:dyDescent="0.25">
      <c r="A97" s="140" t="s">
        <v>233</v>
      </c>
      <c r="B97" s="142" t="s">
        <v>234</v>
      </c>
      <c r="C97" s="139">
        <v>351</v>
      </c>
      <c r="D97" s="139" t="s">
        <v>22</v>
      </c>
      <c r="E97" s="261">
        <v>1447</v>
      </c>
      <c r="F97" s="261">
        <v>1000</v>
      </c>
      <c r="G97" s="287" t="s">
        <v>570</v>
      </c>
      <c r="H97" s="261">
        <v>447</v>
      </c>
      <c r="I97" s="152">
        <v>0</v>
      </c>
      <c r="J97" s="152">
        <v>0</v>
      </c>
      <c r="K97" s="152">
        <v>0</v>
      </c>
      <c r="L97" s="261">
        <v>447</v>
      </c>
    </row>
    <row r="98" spans="1:12" ht="30.75" x14ac:dyDescent="0.25">
      <c r="A98" s="140" t="s">
        <v>185</v>
      </c>
      <c r="B98" s="142" t="s">
        <v>186</v>
      </c>
      <c r="C98" s="139">
        <v>250</v>
      </c>
      <c r="D98" s="139" t="s">
        <v>2</v>
      </c>
      <c r="E98" s="261">
        <v>15908</v>
      </c>
      <c r="F98" s="261">
        <v>1000</v>
      </c>
      <c r="G98" s="287" t="s">
        <v>570</v>
      </c>
      <c r="H98" s="261">
        <v>14908</v>
      </c>
      <c r="I98" s="152">
        <v>0</v>
      </c>
      <c r="J98" s="152">
        <v>0</v>
      </c>
      <c r="K98" s="152">
        <v>0</v>
      </c>
      <c r="L98" s="261">
        <v>14908</v>
      </c>
    </row>
    <row r="99" spans="1:12" ht="30.75" x14ac:dyDescent="0.25">
      <c r="A99" s="140" t="s">
        <v>235</v>
      </c>
      <c r="B99" s="142" t="s">
        <v>236</v>
      </c>
      <c r="C99" s="139">
        <v>370</v>
      </c>
      <c r="D99" s="139" t="s">
        <v>2</v>
      </c>
      <c r="E99" s="261">
        <v>49754</v>
      </c>
      <c r="F99" s="261">
        <v>1000</v>
      </c>
      <c r="G99" s="287" t="s">
        <v>570</v>
      </c>
      <c r="H99" s="261">
        <v>48754</v>
      </c>
      <c r="I99" s="152">
        <v>0</v>
      </c>
      <c r="J99" s="152">
        <v>0</v>
      </c>
      <c r="K99" s="152">
        <v>0</v>
      </c>
      <c r="L99" s="261">
        <v>48754</v>
      </c>
    </row>
    <row r="100" spans="1:12" ht="45.75" x14ac:dyDescent="0.25">
      <c r="A100" s="140" t="s">
        <v>187</v>
      </c>
      <c r="B100" s="142" t="s">
        <v>188</v>
      </c>
      <c r="C100" s="139">
        <v>369</v>
      </c>
      <c r="D100" s="139" t="s">
        <v>2</v>
      </c>
      <c r="E100" s="261">
        <v>73358</v>
      </c>
      <c r="F100" s="261">
        <v>1000</v>
      </c>
      <c r="G100" s="287" t="s">
        <v>570</v>
      </c>
      <c r="H100" s="261">
        <v>72358</v>
      </c>
      <c r="I100" s="152">
        <v>0</v>
      </c>
      <c r="J100" s="152">
        <v>0</v>
      </c>
      <c r="K100" s="152">
        <v>0</v>
      </c>
      <c r="L100" s="261">
        <v>72358</v>
      </c>
    </row>
    <row r="101" spans="1:12" ht="30.75" x14ac:dyDescent="0.25">
      <c r="A101" s="140" t="s">
        <v>189</v>
      </c>
      <c r="B101" s="142" t="s">
        <v>190</v>
      </c>
      <c r="C101" s="139">
        <v>172</v>
      </c>
      <c r="D101" s="139" t="s">
        <v>2</v>
      </c>
      <c r="E101" s="261">
        <v>2715</v>
      </c>
      <c r="F101" s="261">
        <v>1000</v>
      </c>
      <c r="G101" s="287" t="s">
        <v>570</v>
      </c>
      <c r="H101" s="261">
        <v>1715</v>
      </c>
      <c r="I101" s="152">
        <v>0</v>
      </c>
      <c r="J101" s="152">
        <v>0</v>
      </c>
      <c r="K101" s="152">
        <v>0</v>
      </c>
      <c r="L101" s="261">
        <v>1715</v>
      </c>
    </row>
    <row r="102" spans="1:12" ht="30.75" x14ac:dyDescent="0.25">
      <c r="A102" s="140" t="s">
        <v>191</v>
      </c>
      <c r="B102" s="142" t="s">
        <v>192</v>
      </c>
      <c r="C102" s="139">
        <v>11</v>
      </c>
      <c r="D102" s="139" t="s">
        <v>2</v>
      </c>
      <c r="E102" s="261">
        <v>136002</v>
      </c>
      <c r="F102" s="261">
        <v>1000</v>
      </c>
      <c r="G102" s="287" t="s">
        <v>570</v>
      </c>
      <c r="H102" s="261">
        <v>135002</v>
      </c>
      <c r="I102" s="152">
        <v>0</v>
      </c>
      <c r="J102" s="152">
        <v>0</v>
      </c>
      <c r="K102" s="152">
        <v>0</v>
      </c>
      <c r="L102" s="261">
        <v>135002</v>
      </c>
    </row>
    <row r="103" spans="1:12" ht="30.75" x14ac:dyDescent="0.25">
      <c r="A103" s="140" t="s">
        <v>193</v>
      </c>
      <c r="B103" s="142" t="s">
        <v>194</v>
      </c>
      <c r="C103" s="139">
        <v>313</v>
      </c>
      <c r="D103" s="139" t="s">
        <v>2</v>
      </c>
      <c r="E103" s="261">
        <v>27892</v>
      </c>
      <c r="F103" s="261">
        <v>1000</v>
      </c>
      <c r="G103" s="287" t="s">
        <v>570</v>
      </c>
      <c r="H103" s="261">
        <v>26892</v>
      </c>
      <c r="I103" s="152">
        <v>0</v>
      </c>
      <c r="J103" s="152">
        <v>0</v>
      </c>
      <c r="K103" s="152">
        <v>0</v>
      </c>
      <c r="L103" s="261">
        <v>26892</v>
      </c>
    </row>
    <row r="104" spans="1:12" ht="30.75" x14ac:dyDescent="0.25">
      <c r="A104" s="140" t="s">
        <v>195</v>
      </c>
      <c r="B104" s="142" t="s">
        <v>196</v>
      </c>
      <c r="C104" s="139">
        <v>330</v>
      </c>
      <c r="D104" s="139" t="s">
        <v>2</v>
      </c>
      <c r="E104" s="261">
        <v>36306</v>
      </c>
      <c r="F104" s="261">
        <v>1000</v>
      </c>
      <c r="G104" s="287" t="s">
        <v>570</v>
      </c>
      <c r="H104" s="261">
        <v>35306</v>
      </c>
      <c r="I104" s="152">
        <v>0</v>
      </c>
      <c r="J104" s="152">
        <v>0</v>
      </c>
      <c r="K104" s="152">
        <v>0</v>
      </c>
      <c r="L104" s="261">
        <v>35306</v>
      </c>
    </row>
    <row r="105" spans="1:12" ht="45.75" x14ac:dyDescent="0.25">
      <c r="A105" s="140" t="s">
        <v>197</v>
      </c>
      <c r="B105" s="142" t="s">
        <v>198</v>
      </c>
      <c r="C105" s="139">
        <v>272</v>
      </c>
      <c r="D105" s="139" t="s">
        <v>2</v>
      </c>
      <c r="E105" s="261">
        <v>24722</v>
      </c>
      <c r="F105" s="261">
        <v>1000</v>
      </c>
      <c r="G105" s="287" t="s">
        <v>570</v>
      </c>
      <c r="H105" s="261">
        <v>23722</v>
      </c>
      <c r="I105" s="152">
        <v>0</v>
      </c>
      <c r="J105" s="152">
        <v>0</v>
      </c>
      <c r="K105" s="152">
        <v>0</v>
      </c>
      <c r="L105" s="261">
        <v>23722</v>
      </c>
    </row>
    <row r="106" spans="1:12" ht="45.75" x14ac:dyDescent="0.25">
      <c r="A106" s="140" t="s">
        <v>199</v>
      </c>
      <c r="B106" s="142" t="s">
        <v>200</v>
      </c>
      <c r="C106" s="139">
        <v>276</v>
      </c>
      <c r="D106" s="139" t="s">
        <v>2</v>
      </c>
      <c r="E106" s="261">
        <v>3169</v>
      </c>
      <c r="F106" s="261">
        <v>1000</v>
      </c>
      <c r="G106" s="287" t="s">
        <v>570</v>
      </c>
      <c r="H106" s="261">
        <v>2169</v>
      </c>
      <c r="I106" s="152">
        <v>0</v>
      </c>
      <c r="J106" s="152">
        <v>0</v>
      </c>
      <c r="K106" s="152">
        <v>0</v>
      </c>
      <c r="L106" s="261">
        <v>2169</v>
      </c>
    </row>
    <row r="107" spans="1:12" ht="90.75" x14ac:dyDescent="0.25">
      <c r="A107" s="140" t="s">
        <v>201</v>
      </c>
      <c r="B107" s="142" t="s">
        <v>202</v>
      </c>
      <c r="C107" s="139">
        <v>292</v>
      </c>
      <c r="D107" s="139" t="s">
        <v>2</v>
      </c>
      <c r="E107" s="261">
        <v>27368</v>
      </c>
      <c r="F107" s="261">
        <v>1000</v>
      </c>
      <c r="G107" s="287" t="s">
        <v>570</v>
      </c>
      <c r="H107" s="261">
        <v>26368</v>
      </c>
      <c r="I107" s="152">
        <v>0</v>
      </c>
      <c r="J107" s="152">
        <v>0</v>
      </c>
      <c r="K107" s="152">
        <v>0</v>
      </c>
      <c r="L107" s="261">
        <v>26368</v>
      </c>
    </row>
    <row r="108" spans="1:12" ht="30.75" x14ac:dyDescent="0.25">
      <c r="A108" s="140" t="s">
        <v>203</v>
      </c>
      <c r="B108" s="142" t="s">
        <v>204</v>
      </c>
      <c r="C108" s="139">
        <v>209</v>
      </c>
      <c r="D108" s="139" t="s">
        <v>2</v>
      </c>
      <c r="E108" s="261">
        <v>31923</v>
      </c>
      <c r="F108" s="261">
        <v>1000</v>
      </c>
      <c r="G108" s="287" t="s">
        <v>570</v>
      </c>
      <c r="H108" s="261">
        <v>30923</v>
      </c>
      <c r="I108" s="152">
        <v>0</v>
      </c>
      <c r="J108" s="152">
        <v>0</v>
      </c>
      <c r="K108" s="152">
        <v>0</v>
      </c>
      <c r="L108" s="261">
        <v>30923</v>
      </c>
    </row>
    <row r="109" spans="1:12" x14ac:dyDescent="0.25">
      <c r="A109" s="140" t="s">
        <v>205</v>
      </c>
      <c r="B109" s="142" t="s">
        <v>206</v>
      </c>
      <c r="C109" s="139">
        <v>183</v>
      </c>
      <c r="D109" s="139" t="s">
        <v>2</v>
      </c>
      <c r="E109" s="261">
        <v>7067</v>
      </c>
      <c r="F109" s="261">
        <v>1000</v>
      </c>
      <c r="G109" s="287" t="s">
        <v>570</v>
      </c>
      <c r="H109" s="261">
        <v>6067</v>
      </c>
      <c r="I109" s="152">
        <v>0</v>
      </c>
      <c r="J109" s="152">
        <v>0</v>
      </c>
      <c r="K109" s="152">
        <v>0</v>
      </c>
      <c r="L109" s="261">
        <v>6067</v>
      </c>
    </row>
    <row r="110" spans="1:12" x14ac:dyDescent="0.25">
      <c r="A110" s="140" t="s">
        <v>237</v>
      </c>
      <c r="B110" s="142" t="s">
        <v>238</v>
      </c>
      <c r="C110" s="139">
        <v>251</v>
      </c>
      <c r="D110" s="139" t="s">
        <v>2</v>
      </c>
      <c r="E110" s="261">
        <v>2048</v>
      </c>
      <c r="F110" s="261">
        <v>1000</v>
      </c>
      <c r="G110" s="287" t="s">
        <v>570</v>
      </c>
      <c r="H110" s="261">
        <v>1048</v>
      </c>
      <c r="I110" s="152">
        <v>0</v>
      </c>
      <c r="J110" s="152">
        <v>0</v>
      </c>
      <c r="K110" s="152">
        <v>0</v>
      </c>
      <c r="L110" s="261">
        <v>1048</v>
      </c>
    </row>
    <row r="111" spans="1:12" x14ac:dyDescent="0.25">
      <c r="A111" s="140" t="s">
        <v>207</v>
      </c>
      <c r="B111" s="142" t="s">
        <v>208</v>
      </c>
      <c r="C111" s="139">
        <v>192</v>
      </c>
      <c r="D111" s="139" t="s">
        <v>2</v>
      </c>
      <c r="E111" s="261">
        <v>5791</v>
      </c>
      <c r="F111" s="261">
        <v>1000</v>
      </c>
      <c r="G111" s="287" t="s">
        <v>570</v>
      </c>
      <c r="H111" s="261">
        <v>4791</v>
      </c>
      <c r="I111" s="152">
        <v>0</v>
      </c>
      <c r="J111" s="152">
        <v>0</v>
      </c>
      <c r="K111" s="152">
        <v>0</v>
      </c>
      <c r="L111" s="261">
        <v>4791</v>
      </c>
    </row>
    <row r="112" spans="1:12" ht="30.75" x14ac:dyDescent="0.25">
      <c r="A112" s="140" t="s">
        <v>209</v>
      </c>
      <c r="B112" s="142" t="s">
        <v>210</v>
      </c>
      <c r="C112" s="139">
        <v>297</v>
      </c>
      <c r="D112" s="139" t="s">
        <v>2</v>
      </c>
      <c r="E112" s="261">
        <v>520290</v>
      </c>
      <c r="F112" s="261">
        <v>1000</v>
      </c>
      <c r="G112" s="287" t="s">
        <v>570</v>
      </c>
      <c r="H112" s="261">
        <v>519290</v>
      </c>
      <c r="I112" s="152">
        <v>0</v>
      </c>
      <c r="J112" s="152">
        <v>0</v>
      </c>
      <c r="K112" s="152">
        <v>0</v>
      </c>
      <c r="L112" s="261">
        <v>519290</v>
      </c>
    </row>
    <row r="113" spans="1:12" x14ac:dyDescent="0.25">
      <c r="A113" s="140" t="s">
        <v>211</v>
      </c>
      <c r="B113" s="142" t="s">
        <v>212</v>
      </c>
      <c r="C113" s="139">
        <v>166</v>
      </c>
      <c r="D113" s="139" t="s">
        <v>2</v>
      </c>
      <c r="E113" s="261">
        <v>44363</v>
      </c>
      <c r="F113" s="261">
        <v>1000</v>
      </c>
      <c r="G113" s="287" t="s">
        <v>570</v>
      </c>
      <c r="H113" s="261">
        <v>43363</v>
      </c>
      <c r="I113" s="152">
        <v>0</v>
      </c>
      <c r="J113" s="152">
        <v>0</v>
      </c>
      <c r="K113" s="152">
        <v>0</v>
      </c>
      <c r="L113" s="261">
        <v>43363</v>
      </c>
    </row>
    <row r="114" spans="1:12" x14ac:dyDescent="0.25">
      <c r="A114" s="140" t="s">
        <v>213</v>
      </c>
      <c r="B114" s="142" t="s">
        <v>214</v>
      </c>
      <c r="C114" s="139">
        <v>32</v>
      </c>
      <c r="D114" s="139" t="s">
        <v>2</v>
      </c>
      <c r="E114" s="261">
        <v>9295</v>
      </c>
      <c r="F114" s="261">
        <v>1000</v>
      </c>
      <c r="G114" s="287" t="s">
        <v>570</v>
      </c>
      <c r="H114" s="261">
        <v>8295</v>
      </c>
      <c r="I114" s="152">
        <v>0</v>
      </c>
      <c r="J114" s="152">
        <v>0</v>
      </c>
      <c r="K114" s="152">
        <v>0</v>
      </c>
      <c r="L114" s="261">
        <v>8295</v>
      </c>
    </row>
    <row r="115" spans="1:12" ht="30.75" x14ac:dyDescent="0.25">
      <c r="A115" s="140" t="s">
        <v>215</v>
      </c>
      <c r="B115" s="142" t="s">
        <v>216</v>
      </c>
      <c r="C115" s="139">
        <v>368</v>
      </c>
      <c r="D115" s="139" t="s">
        <v>2</v>
      </c>
      <c r="E115" s="261">
        <v>13387</v>
      </c>
      <c r="F115" s="261">
        <v>1000</v>
      </c>
      <c r="G115" s="287" t="s">
        <v>570</v>
      </c>
      <c r="H115" s="261">
        <v>12387</v>
      </c>
      <c r="I115" s="152">
        <v>0</v>
      </c>
      <c r="J115" s="152">
        <v>0</v>
      </c>
      <c r="K115" s="152">
        <v>0</v>
      </c>
      <c r="L115" s="261">
        <v>12387</v>
      </c>
    </row>
    <row r="116" spans="1:12" x14ac:dyDescent="0.25">
      <c r="A116" s="140" t="s">
        <v>217</v>
      </c>
      <c r="B116" s="142" t="s">
        <v>218</v>
      </c>
      <c r="C116" s="139">
        <v>357</v>
      </c>
      <c r="D116" s="139" t="s">
        <v>2</v>
      </c>
      <c r="E116" s="261">
        <v>4676</v>
      </c>
      <c r="F116" s="261">
        <v>1000</v>
      </c>
      <c r="G116" s="287" t="s">
        <v>570</v>
      </c>
      <c r="H116" s="261">
        <v>3676</v>
      </c>
      <c r="I116" s="152">
        <v>0</v>
      </c>
      <c r="J116" s="152">
        <v>0</v>
      </c>
      <c r="K116" s="152">
        <v>0</v>
      </c>
      <c r="L116" s="261">
        <v>3676</v>
      </c>
    </row>
    <row r="117" spans="1:12" x14ac:dyDescent="0.25">
      <c r="A117" s="140" t="s">
        <v>219</v>
      </c>
      <c r="B117" s="142" t="s">
        <v>220</v>
      </c>
      <c r="C117" s="139">
        <v>153</v>
      </c>
      <c r="D117" s="139" t="s">
        <v>2</v>
      </c>
      <c r="E117" s="261">
        <v>8800</v>
      </c>
      <c r="F117" s="261">
        <v>1000</v>
      </c>
      <c r="G117" s="287" t="s">
        <v>570</v>
      </c>
      <c r="H117" s="261">
        <v>7800</v>
      </c>
      <c r="I117" s="152">
        <v>0</v>
      </c>
      <c r="J117" s="152">
        <v>0</v>
      </c>
      <c r="K117" s="152">
        <v>0</v>
      </c>
      <c r="L117" s="261">
        <v>7800</v>
      </c>
    </row>
    <row r="118" spans="1:12" x14ac:dyDescent="0.25">
      <c r="A118" s="140" t="s">
        <v>239</v>
      </c>
      <c r="B118" s="142" t="s">
        <v>240</v>
      </c>
      <c r="C118" s="139">
        <v>155</v>
      </c>
      <c r="D118" s="139" t="s">
        <v>2</v>
      </c>
      <c r="E118" s="261">
        <v>2350</v>
      </c>
      <c r="F118" s="261">
        <v>1000</v>
      </c>
      <c r="G118" s="287" t="s">
        <v>570</v>
      </c>
      <c r="H118" s="261">
        <v>1350</v>
      </c>
      <c r="I118" s="152">
        <v>0</v>
      </c>
      <c r="J118" s="152">
        <v>0</v>
      </c>
      <c r="K118" s="152">
        <v>0</v>
      </c>
      <c r="L118" s="261">
        <v>1350</v>
      </c>
    </row>
    <row r="119" spans="1:12" x14ac:dyDescent="0.25">
      <c r="A119" s="140" t="s">
        <v>221</v>
      </c>
      <c r="B119" s="142" t="s">
        <v>210</v>
      </c>
      <c r="C119" s="139">
        <v>48</v>
      </c>
      <c r="D119" s="139" t="s">
        <v>2</v>
      </c>
      <c r="E119" s="261">
        <v>114153</v>
      </c>
      <c r="F119" s="261">
        <v>1000</v>
      </c>
      <c r="G119" s="287" t="s">
        <v>570</v>
      </c>
      <c r="H119" s="261">
        <v>113153</v>
      </c>
      <c r="I119" s="152">
        <v>0</v>
      </c>
      <c r="J119" s="152">
        <v>0</v>
      </c>
      <c r="K119" s="152">
        <v>0</v>
      </c>
      <c r="L119" s="261">
        <v>113153</v>
      </c>
    </row>
    <row r="120" spans="1:12" x14ac:dyDescent="0.25">
      <c r="A120" s="140" t="s">
        <v>222</v>
      </c>
      <c r="B120" s="142" t="s">
        <v>223</v>
      </c>
      <c r="C120" s="139">
        <v>350</v>
      </c>
      <c r="D120" s="139" t="s">
        <v>2</v>
      </c>
      <c r="E120" s="261">
        <v>3858</v>
      </c>
      <c r="F120" s="261">
        <v>1000</v>
      </c>
      <c r="G120" s="287" t="s">
        <v>570</v>
      </c>
      <c r="H120" s="261">
        <v>2858</v>
      </c>
      <c r="I120" s="152">
        <v>0</v>
      </c>
      <c r="J120" s="152">
        <v>0</v>
      </c>
      <c r="K120" s="152">
        <v>0</v>
      </c>
      <c r="L120" s="261">
        <v>2858</v>
      </c>
    </row>
    <row r="121" spans="1:12" x14ac:dyDescent="0.25">
      <c r="A121" s="140" t="s">
        <v>241</v>
      </c>
      <c r="B121" s="142" t="s">
        <v>242</v>
      </c>
      <c r="C121" s="139">
        <v>173</v>
      </c>
      <c r="D121" s="139" t="s">
        <v>2</v>
      </c>
      <c r="E121" s="261">
        <v>7912</v>
      </c>
      <c r="F121" s="261">
        <v>1000</v>
      </c>
      <c r="G121" s="287" t="s">
        <v>570</v>
      </c>
      <c r="H121" s="261">
        <v>6912</v>
      </c>
      <c r="I121" s="152">
        <v>0</v>
      </c>
      <c r="J121" s="152">
        <v>0</v>
      </c>
      <c r="K121" s="152">
        <v>0</v>
      </c>
      <c r="L121" s="261">
        <v>6912</v>
      </c>
    </row>
    <row r="122" spans="1:12" ht="30.75" x14ac:dyDescent="0.25">
      <c r="A122" s="140" t="s">
        <v>224</v>
      </c>
      <c r="B122" s="142" t="s">
        <v>225</v>
      </c>
      <c r="C122" s="139">
        <v>374</v>
      </c>
      <c r="D122" s="139" t="s">
        <v>2</v>
      </c>
      <c r="E122" s="261">
        <v>715194</v>
      </c>
      <c r="F122" s="152">
        <v>0</v>
      </c>
      <c r="G122" s="287" t="s">
        <v>570</v>
      </c>
      <c r="H122" s="261">
        <v>715194</v>
      </c>
      <c r="I122" s="152">
        <v>0</v>
      </c>
      <c r="J122" s="152">
        <v>0</v>
      </c>
      <c r="K122" s="152">
        <v>0</v>
      </c>
      <c r="L122" s="261">
        <v>715194</v>
      </c>
    </row>
    <row r="123" spans="1:12" x14ac:dyDescent="0.25">
      <c r="A123" s="140" t="s">
        <v>243</v>
      </c>
      <c r="B123" s="142" t="s">
        <v>229</v>
      </c>
      <c r="C123" s="139">
        <v>244</v>
      </c>
      <c r="D123" s="139" t="s">
        <v>2</v>
      </c>
      <c r="E123" s="261">
        <v>3097</v>
      </c>
      <c r="F123" s="261">
        <v>1000</v>
      </c>
      <c r="G123" s="287" t="s">
        <v>570</v>
      </c>
      <c r="H123" s="261">
        <v>2097</v>
      </c>
      <c r="I123" s="152">
        <v>0</v>
      </c>
      <c r="J123" s="152">
        <v>0</v>
      </c>
      <c r="K123" s="152">
        <v>0</v>
      </c>
      <c r="L123" s="261">
        <v>2097</v>
      </c>
    </row>
    <row r="124" spans="1:12" x14ac:dyDescent="0.25">
      <c r="A124" s="140" t="s">
        <v>226</v>
      </c>
      <c r="B124" s="142" t="s">
        <v>227</v>
      </c>
      <c r="C124" s="139">
        <v>171</v>
      </c>
      <c r="D124" s="139" t="s">
        <v>2</v>
      </c>
      <c r="E124" s="261">
        <v>15251</v>
      </c>
      <c r="F124" s="261">
        <v>1000</v>
      </c>
      <c r="G124" s="287" t="s">
        <v>570</v>
      </c>
      <c r="H124" s="261">
        <v>14251</v>
      </c>
      <c r="I124" s="152">
        <v>0</v>
      </c>
      <c r="J124" s="152">
        <v>0</v>
      </c>
      <c r="K124" s="152">
        <v>0</v>
      </c>
      <c r="L124" s="261">
        <v>14251</v>
      </c>
    </row>
    <row r="125" spans="1:12" ht="45.75" x14ac:dyDescent="0.25">
      <c r="A125" s="140" t="s">
        <v>228</v>
      </c>
      <c r="B125" s="142" t="s">
        <v>229</v>
      </c>
      <c r="C125" s="139">
        <v>258</v>
      </c>
      <c r="D125" s="139" t="s">
        <v>2</v>
      </c>
      <c r="E125" s="261">
        <v>53492</v>
      </c>
      <c r="F125" s="261">
        <v>1000</v>
      </c>
      <c r="G125" s="287" t="s">
        <v>570</v>
      </c>
      <c r="H125" s="261">
        <v>52492</v>
      </c>
      <c r="I125" s="152">
        <v>0</v>
      </c>
      <c r="J125" s="152">
        <v>0</v>
      </c>
      <c r="K125" s="152">
        <v>0</v>
      </c>
      <c r="L125" s="261">
        <v>52492</v>
      </c>
    </row>
    <row r="126" spans="1:12" x14ac:dyDescent="0.25">
      <c r="A126" s="140" t="s">
        <v>230</v>
      </c>
      <c r="B126" s="142" t="s">
        <v>210</v>
      </c>
      <c r="C126" s="139">
        <v>260</v>
      </c>
      <c r="D126" s="139" t="s">
        <v>2</v>
      </c>
      <c r="E126" s="261">
        <v>105162</v>
      </c>
      <c r="F126" s="261">
        <v>1000</v>
      </c>
      <c r="G126" s="287" t="s">
        <v>570</v>
      </c>
      <c r="H126" s="261">
        <v>104162</v>
      </c>
      <c r="I126" s="152">
        <v>0</v>
      </c>
      <c r="J126" s="152">
        <v>0</v>
      </c>
      <c r="K126" s="152">
        <v>0</v>
      </c>
      <c r="L126" s="261">
        <v>104162</v>
      </c>
    </row>
    <row r="127" spans="1:12" ht="30.75" x14ac:dyDescent="0.25">
      <c r="A127" s="140" t="s">
        <v>231</v>
      </c>
      <c r="B127" s="142" t="s">
        <v>232</v>
      </c>
      <c r="C127" s="139">
        <v>367</v>
      </c>
      <c r="D127" s="139" t="s">
        <v>2</v>
      </c>
      <c r="E127" s="261">
        <v>92147</v>
      </c>
      <c r="F127" s="261">
        <v>1000</v>
      </c>
      <c r="G127" s="287" t="s">
        <v>570</v>
      </c>
      <c r="H127" s="261">
        <v>91147</v>
      </c>
      <c r="I127" s="152">
        <v>0</v>
      </c>
      <c r="J127" s="152">
        <v>0</v>
      </c>
      <c r="K127" s="152">
        <v>0</v>
      </c>
      <c r="L127" s="261">
        <v>91147</v>
      </c>
    </row>
    <row r="128" spans="1:12" ht="30.75" x14ac:dyDescent="0.25">
      <c r="A128" s="140" t="s">
        <v>244</v>
      </c>
      <c r="B128" s="142" t="s">
        <v>245</v>
      </c>
      <c r="C128" s="139">
        <v>346</v>
      </c>
      <c r="D128" s="139" t="s">
        <v>2</v>
      </c>
      <c r="E128" s="261">
        <v>1195</v>
      </c>
      <c r="F128" s="261">
        <v>1000</v>
      </c>
      <c r="G128" s="287" t="s">
        <v>570</v>
      </c>
      <c r="H128" s="261">
        <v>195</v>
      </c>
      <c r="I128" s="152">
        <v>0</v>
      </c>
      <c r="J128" s="152">
        <v>0</v>
      </c>
      <c r="K128" s="152">
        <v>0</v>
      </c>
      <c r="L128" s="261">
        <v>195</v>
      </c>
    </row>
    <row r="129" spans="1:12" ht="30.75" x14ac:dyDescent="0.25">
      <c r="A129" s="140" t="s">
        <v>233</v>
      </c>
      <c r="B129" s="142" t="s">
        <v>234</v>
      </c>
      <c r="C129" s="139">
        <v>351</v>
      </c>
      <c r="D129" s="139" t="s">
        <v>2</v>
      </c>
      <c r="E129" s="261">
        <v>10813</v>
      </c>
      <c r="F129" s="261">
        <v>1000</v>
      </c>
      <c r="G129" s="287" t="s">
        <v>570</v>
      </c>
      <c r="H129" s="261">
        <v>9813</v>
      </c>
      <c r="I129" s="152">
        <v>0</v>
      </c>
      <c r="J129" s="152">
        <v>0</v>
      </c>
      <c r="K129" s="152">
        <v>0</v>
      </c>
      <c r="L129" s="261">
        <v>9813</v>
      </c>
    </row>
    <row r="130" spans="1:12" ht="30.75" x14ac:dyDescent="0.25">
      <c r="A130" s="140" t="s">
        <v>185</v>
      </c>
      <c r="B130" s="142" t="s">
        <v>186</v>
      </c>
      <c r="C130" s="139">
        <v>250</v>
      </c>
      <c r="D130" s="139" t="s">
        <v>3</v>
      </c>
      <c r="E130" s="261">
        <v>14913</v>
      </c>
      <c r="F130" s="261">
        <v>1000</v>
      </c>
      <c r="G130" s="287" t="s">
        <v>570</v>
      </c>
      <c r="H130" s="261">
        <v>13913</v>
      </c>
      <c r="I130" s="152">
        <v>0</v>
      </c>
      <c r="J130" s="152">
        <v>0</v>
      </c>
      <c r="K130" s="152">
        <v>0</v>
      </c>
      <c r="L130" s="261">
        <v>13913</v>
      </c>
    </row>
    <row r="131" spans="1:12" ht="30.75" x14ac:dyDescent="0.25">
      <c r="A131" s="140" t="s">
        <v>235</v>
      </c>
      <c r="B131" s="142" t="s">
        <v>236</v>
      </c>
      <c r="C131" s="139">
        <v>370</v>
      </c>
      <c r="D131" s="139" t="s">
        <v>3</v>
      </c>
      <c r="E131" s="261">
        <v>206525</v>
      </c>
      <c r="F131" s="261">
        <v>12444</v>
      </c>
      <c r="G131" s="287" t="s">
        <v>570</v>
      </c>
      <c r="H131" s="261">
        <v>194081</v>
      </c>
      <c r="I131" s="152">
        <v>0</v>
      </c>
      <c r="J131" s="152">
        <v>0</v>
      </c>
      <c r="K131" s="152">
        <v>0</v>
      </c>
      <c r="L131" s="261">
        <v>194081</v>
      </c>
    </row>
    <row r="132" spans="1:12" ht="45.75" x14ac:dyDescent="0.25">
      <c r="A132" s="140" t="s">
        <v>187</v>
      </c>
      <c r="B132" s="142" t="s">
        <v>188</v>
      </c>
      <c r="C132" s="139">
        <v>369</v>
      </c>
      <c r="D132" s="139" t="s">
        <v>3</v>
      </c>
      <c r="E132" s="261">
        <v>89543</v>
      </c>
      <c r="F132" s="261">
        <v>1000</v>
      </c>
      <c r="G132" s="287" t="s">
        <v>570</v>
      </c>
      <c r="H132" s="261">
        <v>88543</v>
      </c>
      <c r="I132" s="152">
        <v>0</v>
      </c>
      <c r="J132" s="152">
        <v>0</v>
      </c>
      <c r="K132" s="152">
        <v>0</v>
      </c>
      <c r="L132" s="261">
        <v>88543</v>
      </c>
    </row>
    <row r="133" spans="1:12" ht="30.75" x14ac:dyDescent="0.25">
      <c r="A133" s="140" t="s">
        <v>189</v>
      </c>
      <c r="B133" s="142" t="s">
        <v>190</v>
      </c>
      <c r="C133" s="139">
        <v>172</v>
      </c>
      <c r="D133" s="139" t="s">
        <v>3</v>
      </c>
      <c r="E133" s="261">
        <v>2572</v>
      </c>
      <c r="F133" s="261">
        <v>1000</v>
      </c>
      <c r="G133" s="287" t="s">
        <v>570</v>
      </c>
      <c r="H133" s="261">
        <v>1572</v>
      </c>
      <c r="I133" s="152">
        <v>0</v>
      </c>
      <c r="J133" s="152">
        <v>0</v>
      </c>
      <c r="K133" s="152">
        <v>0</v>
      </c>
      <c r="L133" s="261">
        <v>1572</v>
      </c>
    </row>
    <row r="134" spans="1:12" x14ac:dyDescent="0.25">
      <c r="A134" s="140" t="s">
        <v>246</v>
      </c>
      <c r="B134" s="142" t="s">
        <v>247</v>
      </c>
      <c r="C134" s="139">
        <v>278</v>
      </c>
      <c r="D134" s="139" t="s">
        <v>3</v>
      </c>
      <c r="E134" s="261">
        <v>7603</v>
      </c>
      <c r="F134" s="261">
        <v>1000</v>
      </c>
      <c r="G134" s="287" t="s">
        <v>570</v>
      </c>
      <c r="H134" s="261">
        <v>6603</v>
      </c>
      <c r="I134" s="152">
        <v>0</v>
      </c>
      <c r="J134" s="152">
        <v>0</v>
      </c>
      <c r="K134" s="152">
        <v>0</v>
      </c>
      <c r="L134" s="261">
        <v>6603</v>
      </c>
    </row>
    <row r="135" spans="1:12" ht="30.75" x14ac:dyDescent="0.25">
      <c r="A135" s="140" t="s">
        <v>191</v>
      </c>
      <c r="B135" s="142" t="s">
        <v>192</v>
      </c>
      <c r="C135" s="139">
        <v>11</v>
      </c>
      <c r="D135" s="139" t="s">
        <v>3</v>
      </c>
      <c r="E135" s="261">
        <v>148676</v>
      </c>
      <c r="F135" s="261">
        <v>1000</v>
      </c>
      <c r="G135" s="287" t="s">
        <v>570</v>
      </c>
      <c r="H135" s="261">
        <v>147676</v>
      </c>
      <c r="I135" s="152">
        <v>0</v>
      </c>
      <c r="J135" s="152">
        <v>0</v>
      </c>
      <c r="K135" s="152">
        <v>0</v>
      </c>
      <c r="L135" s="261">
        <v>147676</v>
      </c>
    </row>
    <row r="136" spans="1:12" ht="30.75" x14ac:dyDescent="0.25">
      <c r="A136" s="140" t="s">
        <v>193</v>
      </c>
      <c r="B136" s="142" t="s">
        <v>194</v>
      </c>
      <c r="C136" s="139">
        <v>313</v>
      </c>
      <c r="D136" s="139" t="s">
        <v>3</v>
      </c>
      <c r="E136" s="261">
        <v>49479</v>
      </c>
      <c r="F136" s="261">
        <v>1000</v>
      </c>
      <c r="G136" s="287" t="s">
        <v>570</v>
      </c>
      <c r="H136" s="261">
        <v>48479</v>
      </c>
      <c r="I136" s="152">
        <v>0</v>
      </c>
      <c r="J136" s="152">
        <v>0</v>
      </c>
      <c r="K136" s="152">
        <v>0</v>
      </c>
      <c r="L136" s="261">
        <v>48479</v>
      </c>
    </row>
    <row r="137" spans="1:12" ht="30.75" x14ac:dyDescent="0.25">
      <c r="A137" s="140" t="s">
        <v>195</v>
      </c>
      <c r="B137" s="142" t="s">
        <v>196</v>
      </c>
      <c r="C137" s="139">
        <v>330</v>
      </c>
      <c r="D137" s="139" t="s">
        <v>3</v>
      </c>
      <c r="E137" s="261">
        <v>49186</v>
      </c>
      <c r="F137" s="261">
        <v>1000</v>
      </c>
      <c r="G137" s="287" t="s">
        <v>570</v>
      </c>
      <c r="H137" s="261">
        <v>48186</v>
      </c>
      <c r="I137" s="152">
        <v>0</v>
      </c>
      <c r="J137" s="152">
        <v>0</v>
      </c>
      <c r="K137" s="152">
        <v>0</v>
      </c>
      <c r="L137" s="261">
        <v>48186</v>
      </c>
    </row>
    <row r="138" spans="1:12" ht="45.75" x14ac:dyDescent="0.25">
      <c r="A138" s="140" t="s">
        <v>197</v>
      </c>
      <c r="B138" s="142" t="s">
        <v>198</v>
      </c>
      <c r="C138" s="139">
        <v>272</v>
      </c>
      <c r="D138" s="139" t="s">
        <v>3</v>
      </c>
      <c r="E138" s="261">
        <v>37266</v>
      </c>
      <c r="F138" s="261">
        <v>1000</v>
      </c>
      <c r="G138" s="287" t="s">
        <v>570</v>
      </c>
      <c r="H138" s="261">
        <v>36266</v>
      </c>
      <c r="I138" s="152">
        <v>0</v>
      </c>
      <c r="J138" s="152">
        <v>0</v>
      </c>
      <c r="K138" s="152">
        <v>0</v>
      </c>
      <c r="L138" s="261">
        <v>36266</v>
      </c>
    </row>
    <row r="139" spans="1:12" ht="45.75" x14ac:dyDescent="0.25">
      <c r="A139" s="140" t="s">
        <v>199</v>
      </c>
      <c r="B139" s="142" t="s">
        <v>200</v>
      </c>
      <c r="C139" s="139">
        <v>276</v>
      </c>
      <c r="D139" s="139" t="s">
        <v>3</v>
      </c>
      <c r="E139" s="261">
        <v>5401</v>
      </c>
      <c r="F139" s="261">
        <v>1000</v>
      </c>
      <c r="G139" s="287" t="s">
        <v>570</v>
      </c>
      <c r="H139" s="261">
        <v>4401</v>
      </c>
      <c r="I139" s="152">
        <v>0</v>
      </c>
      <c r="J139" s="152">
        <v>0</v>
      </c>
      <c r="K139" s="152">
        <v>0</v>
      </c>
      <c r="L139" s="261">
        <v>4401</v>
      </c>
    </row>
    <row r="140" spans="1:12" ht="90.75" x14ac:dyDescent="0.25">
      <c r="A140" s="140" t="s">
        <v>201</v>
      </c>
      <c r="B140" s="142" t="s">
        <v>202</v>
      </c>
      <c r="C140" s="139">
        <v>292</v>
      </c>
      <c r="D140" s="139" t="s">
        <v>3</v>
      </c>
      <c r="E140" s="261">
        <v>67153</v>
      </c>
      <c r="F140" s="261">
        <v>1000</v>
      </c>
      <c r="G140" s="287" t="s">
        <v>570</v>
      </c>
      <c r="H140" s="261">
        <v>66153</v>
      </c>
      <c r="I140" s="152">
        <v>0</v>
      </c>
      <c r="J140" s="152">
        <v>0</v>
      </c>
      <c r="K140" s="152">
        <v>0</v>
      </c>
      <c r="L140" s="261">
        <v>66153</v>
      </c>
    </row>
    <row r="141" spans="1:12" ht="30.75" x14ac:dyDescent="0.25">
      <c r="A141" s="140" t="s">
        <v>203</v>
      </c>
      <c r="B141" s="142" t="s">
        <v>204</v>
      </c>
      <c r="C141" s="139">
        <v>209</v>
      </c>
      <c r="D141" s="139" t="s">
        <v>3</v>
      </c>
      <c r="E141" s="261">
        <v>52760</v>
      </c>
      <c r="F141" s="261">
        <v>1000</v>
      </c>
      <c r="G141" s="287" t="s">
        <v>570</v>
      </c>
      <c r="H141" s="261">
        <v>51760</v>
      </c>
      <c r="I141" s="152">
        <v>0</v>
      </c>
      <c r="J141" s="152">
        <v>0</v>
      </c>
      <c r="K141" s="152">
        <v>0</v>
      </c>
      <c r="L141" s="261">
        <v>51760</v>
      </c>
    </row>
    <row r="142" spans="1:12" x14ac:dyDescent="0.25">
      <c r="A142" s="140" t="s">
        <v>205</v>
      </c>
      <c r="B142" s="142" t="s">
        <v>206</v>
      </c>
      <c r="C142" s="139">
        <v>183</v>
      </c>
      <c r="D142" s="139" t="s">
        <v>3</v>
      </c>
      <c r="E142" s="261">
        <v>16550</v>
      </c>
      <c r="F142" s="261">
        <v>1000</v>
      </c>
      <c r="G142" s="287" t="s">
        <v>570</v>
      </c>
      <c r="H142" s="261">
        <v>15550</v>
      </c>
      <c r="I142" s="152">
        <v>0</v>
      </c>
      <c r="J142" s="152">
        <v>0</v>
      </c>
      <c r="K142" s="152">
        <v>0</v>
      </c>
      <c r="L142" s="261">
        <v>15550</v>
      </c>
    </row>
    <row r="143" spans="1:12" x14ac:dyDescent="0.25">
      <c r="A143" s="140" t="s">
        <v>237</v>
      </c>
      <c r="B143" s="142" t="s">
        <v>238</v>
      </c>
      <c r="C143" s="139">
        <v>251</v>
      </c>
      <c r="D143" s="139" t="s">
        <v>3</v>
      </c>
      <c r="E143" s="261">
        <v>3144</v>
      </c>
      <c r="F143" s="261">
        <v>1000</v>
      </c>
      <c r="G143" s="287" t="s">
        <v>570</v>
      </c>
      <c r="H143" s="261">
        <v>2144</v>
      </c>
      <c r="I143" s="152">
        <v>0</v>
      </c>
      <c r="J143" s="152">
        <v>0</v>
      </c>
      <c r="K143" s="152">
        <v>0</v>
      </c>
      <c r="L143" s="261">
        <v>2144</v>
      </c>
    </row>
    <row r="144" spans="1:12" x14ac:dyDescent="0.25">
      <c r="A144" s="140" t="s">
        <v>207</v>
      </c>
      <c r="B144" s="142" t="s">
        <v>208</v>
      </c>
      <c r="C144" s="139">
        <v>192</v>
      </c>
      <c r="D144" s="139" t="s">
        <v>3</v>
      </c>
      <c r="E144" s="261">
        <v>13420</v>
      </c>
      <c r="F144" s="261">
        <v>1000</v>
      </c>
      <c r="G144" s="287" t="s">
        <v>570</v>
      </c>
      <c r="H144" s="261">
        <v>12420</v>
      </c>
      <c r="I144" s="152">
        <v>0</v>
      </c>
      <c r="J144" s="152">
        <v>0</v>
      </c>
      <c r="K144" s="152">
        <v>0</v>
      </c>
      <c r="L144" s="261">
        <v>12420</v>
      </c>
    </row>
    <row r="145" spans="1:12" ht="30.75" x14ac:dyDescent="0.25">
      <c r="A145" s="140" t="s">
        <v>209</v>
      </c>
      <c r="B145" s="142" t="s">
        <v>210</v>
      </c>
      <c r="C145" s="139">
        <v>297</v>
      </c>
      <c r="D145" s="139" t="s">
        <v>3</v>
      </c>
      <c r="E145" s="261">
        <v>1006094</v>
      </c>
      <c r="F145" s="261">
        <v>1000</v>
      </c>
      <c r="G145" s="287" t="s">
        <v>570</v>
      </c>
      <c r="H145" s="261">
        <v>1005094</v>
      </c>
      <c r="I145" s="152">
        <v>0</v>
      </c>
      <c r="J145" s="152">
        <v>0</v>
      </c>
      <c r="K145" s="152">
        <v>0</v>
      </c>
      <c r="L145" s="261">
        <v>1005094</v>
      </c>
    </row>
    <row r="146" spans="1:12" x14ac:dyDescent="0.25">
      <c r="A146" s="140" t="s">
        <v>211</v>
      </c>
      <c r="B146" s="142" t="s">
        <v>212</v>
      </c>
      <c r="C146" s="139">
        <v>166</v>
      </c>
      <c r="D146" s="139" t="s">
        <v>3</v>
      </c>
      <c r="E146" s="261">
        <v>118001</v>
      </c>
      <c r="F146" s="261">
        <v>1000</v>
      </c>
      <c r="G146" s="287" t="s">
        <v>570</v>
      </c>
      <c r="H146" s="261">
        <v>117001</v>
      </c>
      <c r="I146" s="152">
        <v>0</v>
      </c>
      <c r="J146" s="152">
        <v>0</v>
      </c>
      <c r="K146" s="152">
        <v>0</v>
      </c>
      <c r="L146" s="261">
        <v>117001</v>
      </c>
    </row>
    <row r="147" spans="1:12" x14ac:dyDescent="0.25">
      <c r="A147" s="140" t="s">
        <v>213</v>
      </c>
      <c r="B147" s="142" t="s">
        <v>214</v>
      </c>
      <c r="C147" s="139">
        <v>32</v>
      </c>
      <c r="D147" s="139" t="s">
        <v>3</v>
      </c>
      <c r="E147" s="261">
        <v>18488</v>
      </c>
      <c r="F147" s="261">
        <v>1000</v>
      </c>
      <c r="G147" s="287" t="s">
        <v>570</v>
      </c>
      <c r="H147" s="261">
        <v>17488</v>
      </c>
      <c r="I147" s="152">
        <v>0</v>
      </c>
      <c r="J147" s="152">
        <v>0</v>
      </c>
      <c r="K147" s="152">
        <v>0</v>
      </c>
      <c r="L147" s="261">
        <v>17488</v>
      </c>
    </row>
    <row r="148" spans="1:12" ht="30.75" x14ac:dyDescent="0.25">
      <c r="A148" s="140" t="s">
        <v>215</v>
      </c>
      <c r="B148" s="142" t="s">
        <v>216</v>
      </c>
      <c r="C148" s="139">
        <v>368</v>
      </c>
      <c r="D148" s="139" t="s">
        <v>3</v>
      </c>
      <c r="E148" s="261">
        <v>18536</v>
      </c>
      <c r="F148" s="261">
        <v>1000</v>
      </c>
      <c r="G148" s="287" t="s">
        <v>570</v>
      </c>
      <c r="H148" s="261">
        <v>17536</v>
      </c>
      <c r="I148" s="152">
        <v>0</v>
      </c>
      <c r="J148" s="152">
        <v>0</v>
      </c>
      <c r="K148" s="152">
        <v>0</v>
      </c>
      <c r="L148" s="261">
        <v>17536</v>
      </c>
    </row>
    <row r="149" spans="1:12" x14ac:dyDescent="0.25">
      <c r="A149" s="140" t="s">
        <v>217</v>
      </c>
      <c r="B149" s="142" t="s">
        <v>218</v>
      </c>
      <c r="C149" s="139">
        <v>357</v>
      </c>
      <c r="D149" s="139" t="s">
        <v>3</v>
      </c>
      <c r="E149" s="261">
        <v>15235</v>
      </c>
      <c r="F149" s="261">
        <v>1000</v>
      </c>
      <c r="G149" s="287" t="s">
        <v>570</v>
      </c>
      <c r="H149" s="261">
        <v>14235</v>
      </c>
      <c r="I149" s="152">
        <v>0</v>
      </c>
      <c r="J149" s="152">
        <v>0</v>
      </c>
      <c r="K149" s="152">
        <v>0</v>
      </c>
      <c r="L149" s="261">
        <v>14235</v>
      </c>
    </row>
    <row r="150" spans="1:12" x14ac:dyDescent="0.25">
      <c r="A150" s="140" t="s">
        <v>219</v>
      </c>
      <c r="B150" s="142" t="s">
        <v>220</v>
      </c>
      <c r="C150" s="139">
        <v>153</v>
      </c>
      <c r="D150" s="139" t="s">
        <v>3</v>
      </c>
      <c r="E150" s="261">
        <v>7120</v>
      </c>
      <c r="F150" s="261">
        <v>1000</v>
      </c>
      <c r="G150" s="287" t="s">
        <v>570</v>
      </c>
      <c r="H150" s="261">
        <v>6120</v>
      </c>
      <c r="I150" s="152">
        <v>0</v>
      </c>
      <c r="J150" s="152">
        <v>0</v>
      </c>
      <c r="K150" s="152">
        <v>0</v>
      </c>
      <c r="L150" s="261">
        <v>6120</v>
      </c>
    </row>
    <row r="151" spans="1:12" x14ac:dyDescent="0.25">
      <c r="A151" s="140" t="s">
        <v>239</v>
      </c>
      <c r="B151" s="142" t="s">
        <v>240</v>
      </c>
      <c r="C151" s="139">
        <v>155</v>
      </c>
      <c r="D151" s="139" t="s">
        <v>3</v>
      </c>
      <c r="E151" s="261">
        <v>3677</v>
      </c>
      <c r="F151" s="261">
        <v>1000</v>
      </c>
      <c r="G151" s="287" t="s">
        <v>570</v>
      </c>
      <c r="H151" s="261">
        <v>2677</v>
      </c>
      <c r="I151" s="152">
        <v>0</v>
      </c>
      <c r="J151" s="152">
        <v>0</v>
      </c>
      <c r="K151" s="152">
        <v>0</v>
      </c>
      <c r="L151" s="261">
        <v>2677</v>
      </c>
    </row>
    <row r="152" spans="1:12" x14ac:dyDescent="0.25">
      <c r="A152" s="140" t="s">
        <v>221</v>
      </c>
      <c r="B152" s="142" t="s">
        <v>210</v>
      </c>
      <c r="C152" s="139">
        <v>48</v>
      </c>
      <c r="D152" s="139" t="s">
        <v>3</v>
      </c>
      <c r="E152" s="261">
        <v>139533</v>
      </c>
      <c r="F152" s="261">
        <v>1000</v>
      </c>
      <c r="G152" s="287" t="s">
        <v>570</v>
      </c>
      <c r="H152" s="261">
        <v>138533</v>
      </c>
      <c r="I152" s="152">
        <v>0</v>
      </c>
      <c r="J152" s="152">
        <v>0</v>
      </c>
      <c r="K152" s="152">
        <v>0</v>
      </c>
      <c r="L152" s="261">
        <v>138533</v>
      </c>
    </row>
    <row r="153" spans="1:12" x14ac:dyDescent="0.25">
      <c r="A153" s="140" t="s">
        <v>222</v>
      </c>
      <c r="B153" s="142" t="s">
        <v>223</v>
      </c>
      <c r="C153" s="139">
        <v>350</v>
      </c>
      <c r="D153" s="139" t="s">
        <v>3</v>
      </c>
      <c r="E153" s="261">
        <v>3864</v>
      </c>
      <c r="F153" s="261">
        <v>1000</v>
      </c>
      <c r="G153" s="287" t="s">
        <v>570</v>
      </c>
      <c r="H153" s="261">
        <v>2864</v>
      </c>
      <c r="I153" s="152">
        <v>0</v>
      </c>
      <c r="J153" s="152">
        <v>0</v>
      </c>
      <c r="K153" s="152">
        <v>0</v>
      </c>
      <c r="L153" s="261">
        <v>2864</v>
      </c>
    </row>
    <row r="154" spans="1:12" x14ac:dyDescent="0.25">
      <c r="A154" s="140" t="s">
        <v>241</v>
      </c>
      <c r="B154" s="142" t="s">
        <v>242</v>
      </c>
      <c r="C154" s="139">
        <v>173</v>
      </c>
      <c r="D154" s="139" t="s">
        <v>3</v>
      </c>
      <c r="E154" s="261">
        <v>19997</v>
      </c>
      <c r="F154" s="261">
        <v>1000</v>
      </c>
      <c r="G154" s="287" t="s">
        <v>570</v>
      </c>
      <c r="H154" s="261">
        <v>18997</v>
      </c>
      <c r="I154" s="152">
        <v>0</v>
      </c>
      <c r="J154" s="152">
        <v>0</v>
      </c>
      <c r="K154" s="152">
        <v>0</v>
      </c>
      <c r="L154" s="261">
        <v>18997</v>
      </c>
    </row>
    <row r="155" spans="1:12" ht="30.75" x14ac:dyDescent="0.25">
      <c r="A155" s="140" t="s">
        <v>224</v>
      </c>
      <c r="B155" s="142" t="s">
        <v>225</v>
      </c>
      <c r="C155" s="139">
        <v>374</v>
      </c>
      <c r="D155" s="139" t="s">
        <v>3</v>
      </c>
      <c r="E155" s="261">
        <v>959286</v>
      </c>
      <c r="F155" s="152">
        <v>0</v>
      </c>
      <c r="G155" s="287" t="s">
        <v>570</v>
      </c>
      <c r="H155" s="261">
        <v>959286</v>
      </c>
      <c r="I155" s="152">
        <v>0</v>
      </c>
      <c r="J155" s="152">
        <v>0</v>
      </c>
      <c r="K155" s="152">
        <v>0</v>
      </c>
      <c r="L155" s="261">
        <v>959286</v>
      </c>
    </row>
    <row r="156" spans="1:12" ht="45.75" x14ac:dyDescent="0.25">
      <c r="A156" s="140" t="s">
        <v>248</v>
      </c>
      <c r="B156" s="142" t="s">
        <v>249</v>
      </c>
      <c r="C156" s="139">
        <v>261</v>
      </c>
      <c r="D156" s="139" t="s">
        <v>3</v>
      </c>
      <c r="E156" s="261">
        <v>2686</v>
      </c>
      <c r="F156" s="261">
        <v>1000</v>
      </c>
      <c r="G156" s="287" t="s">
        <v>570</v>
      </c>
      <c r="H156" s="261">
        <v>1686</v>
      </c>
      <c r="I156" s="152">
        <v>0</v>
      </c>
      <c r="J156" s="152">
        <v>0</v>
      </c>
      <c r="K156" s="152">
        <v>0</v>
      </c>
      <c r="L156" s="261">
        <v>1686</v>
      </c>
    </row>
    <row r="157" spans="1:12" x14ac:dyDescent="0.25">
      <c r="A157" s="140" t="s">
        <v>243</v>
      </c>
      <c r="B157" s="142" t="s">
        <v>229</v>
      </c>
      <c r="C157" s="139">
        <v>244</v>
      </c>
      <c r="D157" s="139" t="s">
        <v>3</v>
      </c>
      <c r="E157" s="261">
        <v>14913</v>
      </c>
      <c r="F157" s="261">
        <v>1000</v>
      </c>
      <c r="G157" s="287" t="s">
        <v>570</v>
      </c>
      <c r="H157" s="261">
        <v>13913</v>
      </c>
      <c r="I157" s="152">
        <v>0</v>
      </c>
      <c r="J157" s="152">
        <v>0</v>
      </c>
      <c r="K157" s="152">
        <v>0</v>
      </c>
      <c r="L157" s="261">
        <v>13913</v>
      </c>
    </row>
    <row r="158" spans="1:12" x14ac:dyDescent="0.25">
      <c r="A158" s="140" t="s">
        <v>226</v>
      </c>
      <c r="B158" s="142" t="s">
        <v>227</v>
      </c>
      <c r="C158" s="139">
        <v>171</v>
      </c>
      <c r="D158" s="139" t="s">
        <v>3</v>
      </c>
      <c r="E158" s="261">
        <v>16721</v>
      </c>
      <c r="F158" s="261">
        <v>1000</v>
      </c>
      <c r="G158" s="287" t="s">
        <v>570</v>
      </c>
      <c r="H158" s="261">
        <v>15721</v>
      </c>
      <c r="I158" s="152">
        <v>0</v>
      </c>
      <c r="J158" s="152">
        <v>0</v>
      </c>
      <c r="K158" s="152">
        <v>0</v>
      </c>
      <c r="L158" s="261">
        <v>15721</v>
      </c>
    </row>
    <row r="159" spans="1:12" ht="45.75" x14ac:dyDescent="0.25">
      <c r="A159" s="140" t="s">
        <v>228</v>
      </c>
      <c r="B159" s="142" t="s">
        <v>229</v>
      </c>
      <c r="C159" s="139">
        <v>258</v>
      </c>
      <c r="D159" s="139" t="s">
        <v>3</v>
      </c>
      <c r="E159" s="261">
        <v>66570</v>
      </c>
      <c r="F159" s="261">
        <v>1000</v>
      </c>
      <c r="G159" s="287" t="s">
        <v>570</v>
      </c>
      <c r="H159" s="261">
        <v>65570</v>
      </c>
      <c r="I159" s="152">
        <v>0</v>
      </c>
      <c r="J159" s="152">
        <v>0</v>
      </c>
      <c r="K159" s="152">
        <v>0</v>
      </c>
      <c r="L159" s="261">
        <v>65570</v>
      </c>
    </row>
    <row r="160" spans="1:12" x14ac:dyDescent="0.25">
      <c r="A160" s="140" t="s">
        <v>230</v>
      </c>
      <c r="B160" s="142" t="s">
        <v>210</v>
      </c>
      <c r="C160" s="139">
        <v>260</v>
      </c>
      <c r="D160" s="139" t="s">
        <v>3</v>
      </c>
      <c r="E160" s="261">
        <v>172841</v>
      </c>
      <c r="F160" s="261">
        <v>1000</v>
      </c>
      <c r="G160" s="287" t="s">
        <v>570</v>
      </c>
      <c r="H160" s="261">
        <v>171841</v>
      </c>
      <c r="I160" s="152">
        <v>0</v>
      </c>
      <c r="J160" s="152">
        <v>0</v>
      </c>
      <c r="K160" s="152">
        <v>0</v>
      </c>
      <c r="L160" s="261">
        <v>171841</v>
      </c>
    </row>
    <row r="161" spans="1:12" ht="30.75" x14ac:dyDescent="0.25">
      <c r="A161" s="140" t="s">
        <v>231</v>
      </c>
      <c r="B161" s="142" t="s">
        <v>232</v>
      </c>
      <c r="C161" s="139">
        <v>367</v>
      </c>
      <c r="D161" s="139" t="s">
        <v>3</v>
      </c>
      <c r="E161" s="261">
        <v>153841</v>
      </c>
      <c r="F161" s="261">
        <v>1000</v>
      </c>
      <c r="G161" s="287" t="s">
        <v>570</v>
      </c>
      <c r="H161" s="261">
        <v>152841</v>
      </c>
      <c r="I161" s="152">
        <v>0</v>
      </c>
      <c r="J161" s="152">
        <v>0</v>
      </c>
      <c r="K161" s="152">
        <v>0</v>
      </c>
      <c r="L161" s="261">
        <v>152841</v>
      </c>
    </row>
    <row r="162" spans="1:12" ht="30.75" x14ac:dyDescent="0.25">
      <c r="A162" s="140" t="s">
        <v>233</v>
      </c>
      <c r="B162" s="142" t="s">
        <v>234</v>
      </c>
      <c r="C162" s="139">
        <v>351</v>
      </c>
      <c r="D162" s="139" t="s">
        <v>3</v>
      </c>
      <c r="E162" s="261">
        <v>13266</v>
      </c>
      <c r="F162" s="261">
        <v>1000</v>
      </c>
      <c r="G162" s="287" t="s">
        <v>570</v>
      </c>
      <c r="H162" s="261">
        <v>12266</v>
      </c>
      <c r="I162" s="152">
        <v>0</v>
      </c>
      <c r="J162" s="152">
        <v>0</v>
      </c>
      <c r="K162" s="152">
        <v>0</v>
      </c>
      <c r="L162" s="261">
        <v>12266</v>
      </c>
    </row>
    <row r="163" spans="1:12" x14ac:dyDescent="0.25">
      <c r="A163" s="140" t="s">
        <v>250</v>
      </c>
      <c r="B163" s="142" t="s">
        <v>251</v>
      </c>
      <c r="C163" s="139">
        <v>305</v>
      </c>
      <c r="D163" s="139" t="s">
        <v>24</v>
      </c>
      <c r="E163" s="261">
        <v>1203</v>
      </c>
      <c r="F163" s="261">
        <v>1000</v>
      </c>
      <c r="G163" s="287" t="s">
        <v>570</v>
      </c>
      <c r="H163" s="261">
        <v>203</v>
      </c>
      <c r="I163" s="152">
        <v>0</v>
      </c>
      <c r="J163" s="152">
        <v>0</v>
      </c>
      <c r="K163" s="152">
        <v>0</v>
      </c>
      <c r="L163" s="261">
        <v>203</v>
      </c>
    </row>
    <row r="164" spans="1:12" ht="30.75" x14ac:dyDescent="0.25">
      <c r="A164" s="140" t="s">
        <v>185</v>
      </c>
      <c r="B164" s="142" t="s">
        <v>186</v>
      </c>
      <c r="C164" s="139">
        <v>250</v>
      </c>
      <c r="D164" s="139" t="s">
        <v>24</v>
      </c>
      <c r="E164" s="261">
        <v>43607</v>
      </c>
      <c r="F164" s="261">
        <v>1000</v>
      </c>
      <c r="G164" s="287" t="s">
        <v>570</v>
      </c>
      <c r="H164" s="261">
        <v>42607</v>
      </c>
      <c r="I164" s="152">
        <v>0</v>
      </c>
      <c r="J164" s="152">
        <v>0</v>
      </c>
      <c r="K164" s="152">
        <v>0</v>
      </c>
      <c r="L164" s="261">
        <v>42607</v>
      </c>
    </row>
    <row r="165" spans="1:12" ht="30.75" x14ac:dyDescent="0.25">
      <c r="A165" s="140" t="s">
        <v>235</v>
      </c>
      <c r="B165" s="142" t="s">
        <v>236</v>
      </c>
      <c r="C165" s="139">
        <v>370</v>
      </c>
      <c r="D165" s="139" t="s">
        <v>24</v>
      </c>
      <c r="E165" s="261">
        <v>227908</v>
      </c>
      <c r="F165" s="261">
        <v>14748</v>
      </c>
      <c r="G165" s="287" t="s">
        <v>570</v>
      </c>
      <c r="H165" s="261">
        <v>213160</v>
      </c>
      <c r="I165" s="152">
        <v>0</v>
      </c>
      <c r="J165" s="152">
        <v>0</v>
      </c>
      <c r="K165" s="152">
        <v>0</v>
      </c>
      <c r="L165" s="261">
        <v>213160</v>
      </c>
    </row>
    <row r="166" spans="1:12" ht="45.75" x14ac:dyDescent="0.25">
      <c r="A166" s="140" t="s">
        <v>187</v>
      </c>
      <c r="B166" s="142" t="s">
        <v>188</v>
      </c>
      <c r="C166" s="139">
        <v>369</v>
      </c>
      <c r="D166" s="139" t="s">
        <v>24</v>
      </c>
      <c r="E166" s="261">
        <v>7326864</v>
      </c>
      <c r="F166" s="261">
        <v>5761209</v>
      </c>
      <c r="G166" s="287" t="s">
        <v>570</v>
      </c>
      <c r="H166" s="261">
        <v>1565655</v>
      </c>
      <c r="I166" s="152">
        <v>0</v>
      </c>
      <c r="J166" s="152">
        <v>0</v>
      </c>
      <c r="K166" s="152">
        <v>0</v>
      </c>
      <c r="L166" s="261">
        <v>1565655</v>
      </c>
    </row>
    <row r="167" spans="1:12" ht="30.75" x14ac:dyDescent="0.25">
      <c r="A167" s="140" t="s">
        <v>189</v>
      </c>
      <c r="B167" s="142" t="s">
        <v>190</v>
      </c>
      <c r="C167" s="139">
        <v>172</v>
      </c>
      <c r="D167" s="139" t="s">
        <v>24</v>
      </c>
      <c r="E167" s="261">
        <v>3190</v>
      </c>
      <c r="F167" s="261">
        <v>1000</v>
      </c>
      <c r="G167" s="287" t="s">
        <v>570</v>
      </c>
      <c r="H167" s="261">
        <v>2190</v>
      </c>
      <c r="I167" s="152">
        <v>0</v>
      </c>
      <c r="J167" s="152">
        <v>0</v>
      </c>
      <c r="K167" s="152">
        <v>0</v>
      </c>
      <c r="L167" s="261">
        <v>2190</v>
      </c>
    </row>
    <row r="168" spans="1:12" x14ac:dyDescent="0.25">
      <c r="A168" s="140" t="s">
        <v>246</v>
      </c>
      <c r="B168" s="142" t="s">
        <v>247</v>
      </c>
      <c r="C168" s="139">
        <v>278</v>
      </c>
      <c r="D168" s="139" t="s">
        <v>24</v>
      </c>
      <c r="E168" s="261">
        <v>14543</v>
      </c>
      <c r="F168" s="261">
        <v>1039</v>
      </c>
      <c r="G168" s="287" t="s">
        <v>570</v>
      </c>
      <c r="H168" s="261">
        <v>13504</v>
      </c>
      <c r="I168" s="152">
        <v>0</v>
      </c>
      <c r="J168" s="152">
        <v>0</v>
      </c>
      <c r="K168" s="152">
        <v>0</v>
      </c>
      <c r="L168" s="261">
        <v>13504</v>
      </c>
    </row>
    <row r="169" spans="1:12" ht="30.75" x14ac:dyDescent="0.25">
      <c r="A169" s="140" t="s">
        <v>191</v>
      </c>
      <c r="B169" s="142" t="s">
        <v>192</v>
      </c>
      <c r="C169" s="139">
        <v>11</v>
      </c>
      <c r="D169" s="139" t="s">
        <v>24</v>
      </c>
      <c r="E169" s="261">
        <v>197395</v>
      </c>
      <c r="F169" s="261">
        <v>22063</v>
      </c>
      <c r="G169" s="287" t="s">
        <v>570</v>
      </c>
      <c r="H169" s="261">
        <v>175332</v>
      </c>
      <c r="I169" s="152">
        <v>0</v>
      </c>
      <c r="J169" s="152">
        <v>0</v>
      </c>
      <c r="K169" s="152">
        <v>0</v>
      </c>
      <c r="L169" s="261">
        <v>175332</v>
      </c>
    </row>
    <row r="170" spans="1:12" ht="30.75" x14ac:dyDescent="0.25">
      <c r="A170" s="140" t="s">
        <v>193</v>
      </c>
      <c r="B170" s="142" t="s">
        <v>194</v>
      </c>
      <c r="C170" s="139">
        <v>313</v>
      </c>
      <c r="D170" s="139" t="s">
        <v>24</v>
      </c>
      <c r="E170" s="261">
        <v>32634</v>
      </c>
      <c r="F170" s="261">
        <v>1285</v>
      </c>
      <c r="G170" s="287" t="s">
        <v>570</v>
      </c>
      <c r="H170" s="261">
        <v>31349</v>
      </c>
      <c r="I170" s="152">
        <v>0</v>
      </c>
      <c r="J170" s="152">
        <v>0</v>
      </c>
      <c r="K170" s="152">
        <v>0</v>
      </c>
      <c r="L170" s="261">
        <v>31349</v>
      </c>
    </row>
    <row r="171" spans="1:12" ht="30.75" x14ac:dyDescent="0.25">
      <c r="A171" s="140" t="s">
        <v>195</v>
      </c>
      <c r="B171" s="142" t="s">
        <v>196</v>
      </c>
      <c r="C171" s="139">
        <v>330</v>
      </c>
      <c r="D171" s="139" t="s">
        <v>24</v>
      </c>
      <c r="E171" s="261">
        <v>44856</v>
      </c>
      <c r="F171" s="261">
        <v>1000</v>
      </c>
      <c r="G171" s="287" t="s">
        <v>570</v>
      </c>
      <c r="H171" s="261">
        <v>43856</v>
      </c>
      <c r="I171" s="152">
        <v>0</v>
      </c>
      <c r="J171" s="152">
        <v>0</v>
      </c>
      <c r="K171" s="152">
        <v>0</v>
      </c>
      <c r="L171" s="261">
        <v>43856</v>
      </c>
    </row>
    <row r="172" spans="1:12" ht="45.75" x14ac:dyDescent="0.25">
      <c r="A172" s="140" t="s">
        <v>197</v>
      </c>
      <c r="B172" s="142" t="s">
        <v>198</v>
      </c>
      <c r="C172" s="139">
        <v>272</v>
      </c>
      <c r="D172" s="139" t="s">
        <v>24</v>
      </c>
      <c r="E172" s="261">
        <v>25635</v>
      </c>
      <c r="F172" s="261">
        <v>1000</v>
      </c>
      <c r="G172" s="287" t="s">
        <v>570</v>
      </c>
      <c r="H172" s="261">
        <v>24635</v>
      </c>
      <c r="I172" s="152">
        <v>0</v>
      </c>
      <c r="J172" s="152">
        <v>0</v>
      </c>
      <c r="K172" s="152">
        <v>0</v>
      </c>
      <c r="L172" s="261">
        <v>24635</v>
      </c>
    </row>
    <row r="173" spans="1:12" ht="45.75" x14ac:dyDescent="0.25">
      <c r="A173" s="140" t="s">
        <v>199</v>
      </c>
      <c r="B173" s="142" t="s">
        <v>200</v>
      </c>
      <c r="C173" s="139">
        <v>276</v>
      </c>
      <c r="D173" s="139" t="s">
        <v>24</v>
      </c>
      <c r="E173" s="261">
        <v>1065</v>
      </c>
      <c r="F173" s="261">
        <v>1000</v>
      </c>
      <c r="G173" s="287" t="s">
        <v>570</v>
      </c>
      <c r="H173" s="261">
        <v>65</v>
      </c>
      <c r="I173" s="152">
        <v>0</v>
      </c>
      <c r="J173" s="152">
        <v>0</v>
      </c>
      <c r="K173" s="152">
        <v>0</v>
      </c>
      <c r="L173" s="261">
        <v>65</v>
      </c>
    </row>
    <row r="174" spans="1:12" ht="90.75" x14ac:dyDescent="0.25">
      <c r="A174" s="140" t="s">
        <v>201</v>
      </c>
      <c r="B174" s="142" t="s">
        <v>202</v>
      </c>
      <c r="C174" s="139">
        <v>292</v>
      </c>
      <c r="D174" s="139" t="s">
        <v>24</v>
      </c>
      <c r="E174" s="261">
        <v>49916</v>
      </c>
      <c r="F174" s="261">
        <v>10004</v>
      </c>
      <c r="G174" s="287" t="s">
        <v>570</v>
      </c>
      <c r="H174" s="261">
        <v>39912</v>
      </c>
      <c r="I174" s="152">
        <v>0</v>
      </c>
      <c r="J174" s="152">
        <v>0</v>
      </c>
      <c r="K174" s="152">
        <v>0</v>
      </c>
      <c r="L174" s="261">
        <v>39912</v>
      </c>
    </row>
    <row r="175" spans="1:12" ht="30.75" x14ac:dyDescent="0.25">
      <c r="A175" s="140" t="s">
        <v>203</v>
      </c>
      <c r="B175" s="142" t="s">
        <v>204</v>
      </c>
      <c r="C175" s="139">
        <v>209</v>
      </c>
      <c r="D175" s="139" t="s">
        <v>24</v>
      </c>
      <c r="E175" s="261">
        <v>65899</v>
      </c>
      <c r="F175" s="261">
        <v>1000</v>
      </c>
      <c r="G175" s="287" t="s">
        <v>570</v>
      </c>
      <c r="H175" s="261">
        <v>64899</v>
      </c>
      <c r="I175" s="152">
        <v>0</v>
      </c>
      <c r="J175" s="152">
        <v>0</v>
      </c>
      <c r="K175" s="152">
        <v>0</v>
      </c>
      <c r="L175" s="261">
        <v>64899</v>
      </c>
    </row>
    <row r="176" spans="1:12" x14ac:dyDescent="0.25">
      <c r="A176" s="140" t="s">
        <v>205</v>
      </c>
      <c r="B176" s="142" t="s">
        <v>206</v>
      </c>
      <c r="C176" s="139">
        <v>183</v>
      </c>
      <c r="D176" s="139" t="s">
        <v>24</v>
      </c>
      <c r="E176" s="261">
        <v>6458</v>
      </c>
      <c r="F176" s="261">
        <v>1000</v>
      </c>
      <c r="G176" s="287" t="s">
        <v>570</v>
      </c>
      <c r="H176" s="261">
        <v>5458</v>
      </c>
      <c r="I176" s="152">
        <v>0</v>
      </c>
      <c r="J176" s="152">
        <v>0</v>
      </c>
      <c r="K176" s="152">
        <v>0</v>
      </c>
      <c r="L176" s="261">
        <v>5458</v>
      </c>
    </row>
    <row r="177" spans="1:12" x14ac:dyDescent="0.25">
      <c r="A177" s="140" t="s">
        <v>237</v>
      </c>
      <c r="B177" s="142" t="s">
        <v>238</v>
      </c>
      <c r="C177" s="139">
        <v>251</v>
      </c>
      <c r="D177" s="139" t="s">
        <v>24</v>
      </c>
      <c r="E177" s="261">
        <v>3050</v>
      </c>
      <c r="F177" s="261">
        <v>1000</v>
      </c>
      <c r="G177" s="287" t="s">
        <v>570</v>
      </c>
      <c r="H177" s="261">
        <v>2050</v>
      </c>
      <c r="I177" s="152">
        <v>0</v>
      </c>
      <c r="J177" s="152">
        <v>0</v>
      </c>
      <c r="K177" s="152">
        <v>0</v>
      </c>
      <c r="L177" s="261">
        <v>2050</v>
      </c>
    </row>
    <row r="178" spans="1:12" x14ac:dyDescent="0.25">
      <c r="A178" s="140" t="s">
        <v>207</v>
      </c>
      <c r="B178" s="142" t="s">
        <v>208</v>
      </c>
      <c r="C178" s="139">
        <v>192</v>
      </c>
      <c r="D178" s="139" t="s">
        <v>24</v>
      </c>
      <c r="E178" s="261">
        <v>15289</v>
      </c>
      <c r="F178" s="261">
        <v>1000</v>
      </c>
      <c r="G178" s="287" t="s">
        <v>570</v>
      </c>
      <c r="H178" s="261">
        <v>14289</v>
      </c>
      <c r="I178" s="152">
        <v>0</v>
      </c>
      <c r="J178" s="152">
        <v>0</v>
      </c>
      <c r="K178" s="152">
        <v>0</v>
      </c>
      <c r="L178" s="261">
        <v>14289</v>
      </c>
    </row>
    <row r="179" spans="1:12" ht="30.75" x14ac:dyDescent="0.25">
      <c r="A179" s="140" t="s">
        <v>209</v>
      </c>
      <c r="B179" s="142" t="s">
        <v>210</v>
      </c>
      <c r="C179" s="139">
        <v>297</v>
      </c>
      <c r="D179" s="139" t="s">
        <v>24</v>
      </c>
      <c r="E179" s="261">
        <v>756663</v>
      </c>
      <c r="F179" s="261">
        <v>184451</v>
      </c>
      <c r="G179" s="287" t="s">
        <v>570</v>
      </c>
      <c r="H179" s="261">
        <v>572212</v>
      </c>
      <c r="I179" s="152">
        <v>0</v>
      </c>
      <c r="J179" s="152">
        <v>0</v>
      </c>
      <c r="K179" s="152">
        <v>0</v>
      </c>
      <c r="L179" s="261">
        <v>572212</v>
      </c>
    </row>
    <row r="180" spans="1:12" x14ac:dyDescent="0.25">
      <c r="A180" s="140" t="s">
        <v>211</v>
      </c>
      <c r="B180" s="142" t="s">
        <v>212</v>
      </c>
      <c r="C180" s="139">
        <v>166</v>
      </c>
      <c r="D180" s="139" t="s">
        <v>24</v>
      </c>
      <c r="E180" s="261">
        <v>119567</v>
      </c>
      <c r="F180" s="261">
        <v>26708</v>
      </c>
      <c r="G180" s="287" t="s">
        <v>570</v>
      </c>
      <c r="H180" s="261">
        <v>92859</v>
      </c>
      <c r="I180" s="152">
        <v>0</v>
      </c>
      <c r="J180" s="152">
        <v>0</v>
      </c>
      <c r="K180" s="152">
        <v>0</v>
      </c>
      <c r="L180" s="261">
        <v>92859</v>
      </c>
    </row>
    <row r="181" spans="1:12" x14ac:dyDescent="0.25">
      <c r="A181" s="140" t="s">
        <v>213</v>
      </c>
      <c r="B181" s="142" t="s">
        <v>214</v>
      </c>
      <c r="C181" s="139">
        <v>32</v>
      </c>
      <c r="D181" s="139" t="s">
        <v>24</v>
      </c>
      <c r="E181" s="261">
        <v>20932</v>
      </c>
      <c r="F181" s="261">
        <v>5404</v>
      </c>
      <c r="G181" s="287" t="s">
        <v>570</v>
      </c>
      <c r="H181" s="261">
        <v>15528</v>
      </c>
      <c r="I181" s="152">
        <v>0</v>
      </c>
      <c r="J181" s="152">
        <v>0</v>
      </c>
      <c r="K181" s="152">
        <v>0</v>
      </c>
      <c r="L181" s="261">
        <v>15528</v>
      </c>
    </row>
    <row r="182" spans="1:12" ht="30.75" x14ac:dyDescent="0.25">
      <c r="A182" s="140" t="s">
        <v>215</v>
      </c>
      <c r="B182" s="142" t="s">
        <v>216</v>
      </c>
      <c r="C182" s="139">
        <v>368</v>
      </c>
      <c r="D182" s="139" t="s">
        <v>24</v>
      </c>
      <c r="E182" s="261">
        <v>15862</v>
      </c>
      <c r="F182" s="261">
        <v>2085</v>
      </c>
      <c r="G182" s="287" t="s">
        <v>570</v>
      </c>
      <c r="H182" s="261">
        <v>13777</v>
      </c>
      <c r="I182" s="152">
        <v>0</v>
      </c>
      <c r="J182" s="152">
        <v>0</v>
      </c>
      <c r="K182" s="152">
        <v>0</v>
      </c>
      <c r="L182" s="261">
        <v>13777</v>
      </c>
    </row>
    <row r="183" spans="1:12" x14ac:dyDescent="0.25">
      <c r="A183" s="140" t="s">
        <v>217</v>
      </c>
      <c r="B183" s="142" t="s">
        <v>218</v>
      </c>
      <c r="C183" s="139">
        <v>357</v>
      </c>
      <c r="D183" s="139" t="s">
        <v>24</v>
      </c>
      <c r="E183" s="261">
        <v>12194</v>
      </c>
      <c r="F183" s="261">
        <v>1000</v>
      </c>
      <c r="G183" s="287" t="s">
        <v>570</v>
      </c>
      <c r="H183" s="261">
        <v>11194</v>
      </c>
      <c r="I183" s="152">
        <v>0</v>
      </c>
      <c r="J183" s="152">
        <v>0</v>
      </c>
      <c r="K183" s="152">
        <v>0</v>
      </c>
      <c r="L183" s="261">
        <v>11194</v>
      </c>
    </row>
    <row r="184" spans="1:12" x14ac:dyDescent="0.25">
      <c r="A184" s="140" t="s">
        <v>219</v>
      </c>
      <c r="B184" s="142" t="s">
        <v>220</v>
      </c>
      <c r="C184" s="139">
        <v>153</v>
      </c>
      <c r="D184" s="139" t="s">
        <v>24</v>
      </c>
      <c r="E184" s="261">
        <v>3284</v>
      </c>
      <c r="F184" s="261">
        <v>1000</v>
      </c>
      <c r="G184" s="287" t="s">
        <v>570</v>
      </c>
      <c r="H184" s="261">
        <v>2284</v>
      </c>
      <c r="I184" s="152">
        <v>0</v>
      </c>
      <c r="J184" s="152">
        <v>0</v>
      </c>
      <c r="K184" s="152">
        <v>0</v>
      </c>
      <c r="L184" s="261">
        <v>2284</v>
      </c>
    </row>
    <row r="185" spans="1:12" x14ac:dyDescent="0.25">
      <c r="A185" s="140" t="s">
        <v>221</v>
      </c>
      <c r="B185" s="142" t="s">
        <v>210</v>
      </c>
      <c r="C185" s="139">
        <v>48</v>
      </c>
      <c r="D185" s="139" t="s">
        <v>24</v>
      </c>
      <c r="E185" s="261">
        <v>141608</v>
      </c>
      <c r="F185" s="261">
        <v>46317</v>
      </c>
      <c r="G185" s="287" t="s">
        <v>570</v>
      </c>
      <c r="H185" s="261">
        <v>95291</v>
      </c>
      <c r="I185" s="152">
        <v>0</v>
      </c>
      <c r="J185" s="152">
        <v>0</v>
      </c>
      <c r="K185" s="152">
        <v>0</v>
      </c>
      <c r="L185" s="261">
        <v>95291</v>
      </c>
    </row>
    <row r="186" spans="1:12" x14ac:dyDescent="0.25">
      <c r="A186" s="140" t="s">
        <v>241</v>
      </c>
      <c r="B186" s="142" t="s">
        <v>242</v>
      </c>
      <c r="C186" s="139">
        <v>173</v>
      </c>
      <c r="D186" s="139" t="s">
        <v>24</v>
      </c>
      <c r="E186" s="261">
        <v>21944</v>
      </c>
      <c r="F186" s="261">
        <v>5333</v>
      </c>
      <c r="G186" s="287" t="s">
        <v>570</v>
      </c>
      <c r="H186" s="261">
        <v>16611</v>
      </c>
      <c r="I186" s="152">
        <v>0</v>
      </c>
      <c r="J186" s="152">
        <v>0</v>
      </c>
      <c r="K186" s="152">
        <v>0</v>
      </c>
      <c r="L186" s="261">
        <v>16611</v>
      </c>
    </row>
    <row r="187" spans="1:12" ht="45.75" x14ac:dyDescent="0.25">
      <c r="A187" s="140" t="s">
        <v>248</v>
      </c>
      <c r="B187" s="142" t="s">
        <v>249</v>
      </c>
      <c r="C187" s="139">
        <v>261</v>
      </c>
      <c r="D187" s="139" t="s">
        <v>24</v>
      </c>
      <c r="E187" s="261">
        <v>2385</v>
      </c>
      <c r="F187" s="261">
        <v>1000</v>
      </c>
      <c r="G187" s="287" t="s">
        <v>570</v>
      </c>
      <c r="H187" s="261">
        <v>1385</v>
      </c>
      <c r="I187" s="152">
        <v>0</v>
      </c>
      <c r="J187" s="152">
        <v>0</v>
      </c>
      <c r="K187" s="152">
        <v>0</v>
      </c>
      <c r="L187" s="261">
        <v>1385</v>
      </c>
    </row>
    <row r="188" spans="1:12" x14ac:dyDescent="0.25">
      <c r="A188" s="140" t="s">
        <v>243</v>
      </c>
      <c r="B188" s="142" t="s">
        <v>229</v>
      </c>
      <c r="C188" s="139">
        <v>244</v>
      </c>
      <c r="D188" s="139" t="s">
        <v>24</v>
      </c>
      <c r="E188" s="261">
        <v>7579</v>
      </c>
      <c r="F188" s="261">
        <v>2017</v>
      </c>
      <c r="G188" s="287" t="s">
        <v>570</v>
      </c>
      <c r="H188" s="261">
        <v>5562</v>
      </c>
      <c r="I188" s="152">
        <v>0</v>
      </c>
      <c r="J188" s="152">
        <v>0</v>
      </c>
      <c r="K188" s="152">
        <v>0</v>
      </c>
      <c r="L188" s="261">
        <v>5562</v>
      </c>
    </row>
    <row r="189" spans="1:12" x14ac:dyDescent="0.25">
      <c r="A189" s="140" t="s">
        <v>226</v>
      </c>
      <c r="B189" s="142" t="s">
        <v>227</v>
      </c>
      <c r="C189" s="139">
        <v>171</v>
      </c>
      <c r="D189" s="139" t="s">
        <v>24</v>
      </c>
      <c r="E189" s="261">
        <v>18873</v>
      </c>
      <c r="F189" s="261">
        <v>3510</v>
      </c>
      <c r="G189" s="287" t="s">
        <v>570</v>
      </c>
      <c r="H189" s="261">
        <v>15363</v>
      </c>
      <c r="I189" s="152">
        <v>0</v>
      </c>
      <c r="J189" s="152">
        <v>0</v>
      </c>
      <c r="K189" s="152">
        <v>0</v>
      </c>
      <c r="L189" s="261">
        <v>15363</v>
      </c>
    </row>
    <row r="190" spans="1:12" ht="45.75" x14ac:dyDescent="0.25">
      <c r="A190" s="140" t="s">
        <v>228</v>
      </c>
      <c r="B190" s="142" t="s">
        <v>229</v>
      </c>
      <c r="C190" s="139">
        <v>258</v>
      </c>
      <c r="D190" s="139" t="s">
        <v>24</v>
      </c>
      <c r="E190" s="261">
        <v>62743</v>
      </c>
      <c r="F190" s="261">
        <v>4325</v>
      </c>
      <c r="G190" s="287" t="s">
        <v>570</v>
      </c>
      <c r="H190" s="261">
        <v>58418</v>
      </c>
      <c r="I190" s="152">
        <v>0</v>
      </c>
      <c r="J190" s="152">
        <v>0</v>
      </c>
      <c r="K190" s="152">
        <v>0</v>
      </c>
      <c r="L190" s="261">
        <v>58418</v>
      </c>
    </row>
    <row r="191" spans="1:12" x14ac:dyDescent="0.25">
      <c r="A191" s="140" t="s">
        <v>230</v>
      </c>
      <c r="B191" s="142" t="s">
        <v>210</v>
      </c>
      <c r="C191" s="139">
        <v>260</v>
      </c>
      <c r="D191" s="139" t="s">
        <v>24</v>
      </c>
      <c r="E191" s="261">
        <v>165974</v>
      </c>
      <c r="F191" s="261">
        <v>38220</v>
      </c>
      <c r="G191" s="287" t="s">
        <v>570</v>
      </c>
      <c r="H191" s="261">
        <v>127754</v>
      </c>
      <c r="I191" s="152">
        <v>0</v>
      </c>
      <c r="J191" s="152">
        <v>0</v>
      </c>
      <c r="K191" s="152">
        <v>0</v>
      </c>
      <c r="L191" s="261">
        <v>127754</v>
      </c>
    </row>
    <row r="192" spans="1:12" ht="30.75" x14ac:dyDescent="0.25">
      <c r="A192" s="140" t="s">
        <v>231</v>
      </c>
      <c r="B192" s="142" t="s">
        <v>232</v>
      </c>
      <c r="C192" s="139">
        <v>367</v>
      </c>
      <c r="D192" s="139" t="s">
        <v>24</v>
      </c>
      <c r="E192" s="261">
        <v>7626828</v>
      </c>
      <c r="F192" s="261">
        <v>4951823</v>
      </c>
      <c r="G192" s="287" t="s">
        <v>570</v>
      </c>
      <c r="H192" s="261">
        <v>2675005</v>
      </c>
      <c r="I192" s="152">
        <v>0</v>
      </c>
      <c r="J192" s="152">
        <v>0</v>
      </c>
      <c r="K192" s="152">
        <v>0</v>
      </c>
      <c r="L192" s="261">
        <v>2675005</v>
      </c>
    </row>
    <row r="193" spans="1:12" ht="30.75" x14ac:dyDescent="0.25">
      <c r="A193" s="140" t="s">
        <v>244</v>
      </c>
      <c r="B193" s="142" t="s">
        <v>245</v>
      </c>
      <c r="C193" s="139">
        <v>346</v>
      </c>
      <c r="D193" s="139" t="s">
        <v>24</v>
      </c>
      <c r="E193" s="261">
        <v>17010</v>
      </c>
      <c r="F193" s="261">
        <v>1000</v>
      </c>
      <c r="G193" s="287" t="s">
        <v>570</v>
      </c>
      <c r="H193" s="261">
        <v>16010</v>
      </c>
      <c r="I193" s="152">
        <v>0</v>
      </c>
      <c r="J193" s="152">
        <v>0</v>
      </c>
      <c r="K193" s="152">
        <v>0</v>
      </c>
      <c r="L193" s="261">
        <v>16010</v>
      </c>
    </row>
    <row r="194" spans="1:12" ht="30.75" x14ac:dyDescent="0.25">
      <c r="A194" s="140" t="s">
        <v>233</v>
      </c>
      <c r="B194" s="142" t="s">
        <v>234</v>
      </c>
      <c r="C194" s="139">
        <v>351</v>
      </c>
      <c r="D194" s="139" t="s">
        <v>24</v>
      </c>
      <c r="E194" s="261">
        <v>11236</v>
      </c>
      <c r="F194" s="261">
        <v>1000</v>
      </c>
      <c r="G194" s="287" t="s">
        <v>570</v>
      </c>
      <c r="H194" s="261">
        <v>10236</v>
      </c>
      <c r="I194" s="152">
        <v>0</v>
      </c>
      <c r="J194" s="152">
        <v>0</v>
      </c>
      <c r="K194" s="152">
        <v>0</v>
      </c>
      <c r="L194" s="261">
        <v>10236</v>
      </c>
    </row>
    <row r="195" spans="1:12" x14ac:dyDescent="0.25">
      <c r="A195" s="140" t="s">
        <v>250</v>
      </c>
      <c r="B195" s="142" t="s">
        <v>251</v>
      </c>
      <c r="C195" s="139">
        <v>305</v>
      </c>
      <c r="D195" s="139" t="s">
        <v>39</v>
      </c>
      <c r="E195" s="261">
        <v>1090</v>
      </c>
      <c r="F195" s="261">
        <v>1000</v>
      </c>
      <c r="G195" s="287" t="s">
        <v>570</v>
      </c>
      <c r="H195" s="261">
        <v>90</v>
      </c>
      <c r="I195" s="152">
        <v>0</v>
      </c>
      <c r="J195" s="152">
        <v>0</v>
      </c>
      <c r="K195" s="152">
        <v>0</v>
      </c>
      <c r="L195" s="261">
        <v>90</v>
      </c>
    </row>
    <row r="196" spans="1:12" ht="30.75" x14ac:dyDescent="0.25">
      <c r="A196" s="140" t="s">
        <v>185</v>
      </c>
      <c r="B196" s="142" t="s">
        <v>186</v>
      </c>
      <c r="C196" s="139">
        <v>250</v>
      </c>
      <c r="D196" s="139" t="s">
        <v>39</v>
      </c>
      <c r="E196" s="261">
        <v>77440</v>
      </c>
      <c r="F196" s="261">
        <v>1000</v>
      </c>
      <c r="G196" s="287" t="s">
        <v>570</v>
      </c>
      <c r="H196" s="261">
        <v>76440</v>
      </c>
      <c r="I196" s="152">
        <v>0</v>
      </c>
      <c r="J196" s="152">
        <v>0</v>
      </c>
      <c r="K196" s="152">
        <v>0</v>
      </c>
      <c r="L196" s="261">
        <v>76440</v>
      </c>
    </row>
    <row r="197" spans="1:12" ht="30.75" x14ac:dyDescent="0.25">
      <c r="A197" s="140" t="s">
        <v>235</v>
      </c>
      <c r="B197" s="142" t="s">
        <v>236</v>
      </c>
      <c r="C197" s="139">
        <v>370</v>
      </c>
      <c r="D197" s="139" t="s">
        <v>39</v>
      </c>
      <c r="E197" s="261">
        <v>182254</v>
      </c>
      <c r="F197" s="261">
        <v>9975</v>
      </c>
      <c r="G197" s="287" t="s">
        <v>570</v>
      </c>
      <c r="H197" s="261">
        <v>172279</v>
      </c>
      <c r="I197" s="152">
        <v>0</v>
      </c>
      <c r="J197" s="152">
        <v>0</v>
      </c>
      <c r="K197" s="152">
        <v>0</v>
      </c>
      <c r="L197" s="261">
        <v>172279</v>
      </c>
    </row>
    <row r="198" spans="1:12" ht="45.75" x14ac:dyDescent="0.25">
      <c r="A198" s="140" t="s">
        <v>187</v>
      </c>
      <c r="B198" s="142" t="s">
        <v>188</v>
      </c>
      <c r="C198" s="139">
        <v>369</v>
      </c>
      <c r="D198" s="139" t="s">
        <v>39</v>
      </c>
      <c r="E198" s="261">
        <v>20453205</v>
      </c>
      <c r="F198" s="261">
        <v>19244560</v>
      </c>
      <c r="G198" s="287" t="s">
        <v>570</v>
      </c>
      <c r="H198" s="261">
        <v>1208645</v>
      </c>
      <c r="I198" s="261">
        <v>1000</v>
      </c>
      <c r="J198" s="152">
        <v>0</v>
      </c>
      <c r="K198" s="261">
        <v>1000</v>
      </c>
      <c r="L198" s="261">
        <v>1207645</v>
      </c>
    </row>
    <row r="199" spans="1:12" ht="30.75" x14ac:dyDescent="0.25">
      <c r="A199" s="140" t="s">
        <v>189</v>
      </c>
      <c r="B199" s="142" t="s">
        <v>190</v>
      </c>
      <c r="C199" s="139">
        <v>172</v>
      </c>
      <c r="D199" s="139" t="s">
        <v>39</v>
      </c>
      <c r="E199" s="261">
        <v>8527</v>
      </c>
      <c r="F199" s="261">
        <v>1000</v>
      </c>
      <c r="G199" s="287" t="s">
        <v>570</v>
      </c>
      <c r="H199" s="261">
        <v>7527</v>
      </c>
      <c r="I199" s="152">
        <v>0</v>
      </c>
      <c r="J199" s="152">
        <v>0</v>
      </c>
      <c r="K199" s="152">
        <v>0</v>
      </c>
      <c r="L199" s="261">
        <v>7527</v>
      </c>
    </row>
    <row r="200" spans="1:12" x14ac:dyDescent="0.25">
      <c r="A200" s="140" t="s">
        <v>252</v>
      </c>
      <c r="B200" s="142" t="s">
        <v>253</v>
      </c>
      <c r="C200" s="139">
        <v>309</v>
      </c>
      <c r="D200" s="139" t="s">
        <v>39</v>
      </c>
      <c r="E200" s="261">
        <v>1289</v>
      </c>
      <c r="F200" s="261">
        <v>1000</v>
      </c>
      <c r="G200" s="287" t="s">
        <v>570</v>
      </c>
      <c r="H200" s="261">
        <v>289</v>
      </c>
      <c r="I200" s="152">
        <v>0</v>
      </c>
      <c r="J200" s="152">
        <v>0</v>
      </c>
      <c r="K200" s="152">
        <v>0</v>
      </c>
      <c r="L200" s="261">
        <v>289</v>
      </c>
    </row>
    <row r="201" spans="1:12" ht="30.75" x14ac:dyDescent="0.25">
      <c r="A201" s="140" t="s">
        <v>191</v>
      </c>
      <c r="B201" s="142" t="s">
        <v>192</v>
      </c>
      <c r="C201" s="139">
        <v>11</v>
      </c>
      <c r="D201" s="139" t="s">
        <v>39</v>
      </c>
      <c r="E201" s="261">
        <v>287701</v>
      </c>
      <c r="F201" s="261">
        <v>76959</v>
      </c>
      <c r="G201" s="287" t="s">
        <v>570</v>
      </c>
      <c r="H201" s="261">
        <v>210742</v>
      </c>
      <c r="I201" s="152">
        <v>0</v>
      </c>
      <c r="J201" s="152">
        <v>0</v>
      </c>
      <c r="K201" s="152">
        <v>0</v>
      </c>
      <c r="L201" s="261">
        <v>210742</v>
      </c>
    </row>
    <row r="202" spans="1:12" ht="30.75" x14ac:dyDescent="0.25">
      <c r="A202" s="140" t="s">
        <v>193</v>
      </c>
      <c r="B202" s="142" t="s">
        <v>194</v>
      </c>
      <c r="C202" s="139">
        <v>313</v>
      </c>
      <c r="D202" s="139" t="s">
        <v>39</v>
      </c>
      <c r="E202" s="261">
        <v>37448</v>
      </c>
      <c r="F202" s="261">
        <v>7612</v>
      </c>
      <c r="G202" s="287" t="s">
        <v>570</v>
      </c>
      <c r="H202" s="261">
        <v>29836</v>
      </c>
      <c r="I202" s="152">
        <v>0</v>
      </c>
      <c r="J202" s="152">
        <v>0</v>
      </c>
      <c r="K202" s="152">
        <v>0</v>
      </c>
      <c r="L202" s="261">
        <v>29836</v>
      </c>
    </row>
    <row r="203" spans="1:12" ht="30.75" x14ac:dyDescent="0.25">
      <c r="A203" s="140" t="s">
        <v>195</v>
      </c>
      <c r="B203" s="142" t="s">
        <v>196</v>
      </c>
      <c r="C203" s="139">
        <v>330</v>
      </c>
      <c r="D203" s="139" t="s">
        <v>39</v>
      </c>
      <c r="E203" s="261">
        <v>69675</v>
      </c>
      <c r="F203" s="261">
        <v>9406</v>
      </c>
      <c r="G203" s="287" t="s">
        <v>570</v>
      </c>
      <c r="H203" s="261">
        <v>60269</v>
      </c>
      <c r="I203" s="152">
        <v>0</v>
      </c>
      <c r="J203" s="152">
        <v>0</v>
      </c>
      <c r="K203" s="152">
        <v>0</v>
      </c>
      <c r="L203" s="261">
        <v>60269</v>
      </c>
    </row>
    <row r="204" spans="1:12" ht="45.75" x14ac:dyDescent="0.25">
      <c r="A204" s="140" t="s">
        <v>197</v>
      </c>
      <c r="B204" s="142" t="s">
        <v>198</v>
      </c>
      <c r="C204" s="139">
        <v>272</v>
      </c>
      <c r="D204" s="139" t="s">
        <v>39</v>
      </c>
      <c r="E204" s="261">
        <v>34310</v>
      </c>
      <c r="F204" s="261">
        <v>2379</v>
      </c>
      <c r="G204" s="287" t="s">
        <v>570</v>
      </c>
      <c r="H204" s="261">
        <v>31931</v>
      </c>
      <c r="I204" s="152">
        <v>0</v>
      </c>
      <c r="J204" s="152">
        <v>0</v>
      </c>
      <c r="K204" s="152">
        <v>0</v>
      </c>
      <c r="L204" s="261">
        <v>31931</v>
      </c>
    </row>
    <row r="205" spans="1:12" ht="45.75" x14ac:dyDescent="0.25">
      <c r="A205" s="140" t="s">
        <v>199</v>
      </c>
      <c r="B205" s="142" t="s">
        <v>200</v>
      </c>
      <c r="C205" s="139">
        <v>276</v>
      </c>
      <c r="D205" s="139" t="s">
        <v>39</v>
      </c>
      <c r="E205" s="261">
        <v>8772</v>
      </c>
      <c r="F205" s="261">
        <v>2009</v>
      </c>
      <c r="G205" s="287" t="s">
        <v>570</v>
      </c>
      <c r="H205" s="261">
        <v>6763</v>
      </c>
      <c r="I205" s="152">
        <v>0</v>
      </c>
      <c r="J205" s="152">
        <v>0</v>
      </c>
      <c r="K205" s="152">
        <v>0</v>
      </c>
      <c r="L205" s="261">
        <v>6763</v>
      </c>
    </row>
    <row r="206" spans="1:12" ht="90.75" x14ac:dyDescent="0.25">
      <c r="A206" s="140" t="s">
        <v>201</v>
      </c>
      <c r="B206" s="142" t="s">
        <v>202</v>
      </c>
      <c r="C206" s="139">
        <v>292</v>
      </c>
      <c r="D206" s="139" t="s">
        <v>39</v>
      </c>
      <c r="E206" s="261">
        <v>76559</v>
      </c>
      <c r="F206" s="261">
        <v>18907</v>
      </c>
      <c r="G206" s="287" t="s">
        <v>570</v>
      </c>
      <c r="H206" s="261">
        <v>57652</v>
      </c>
      <c r="I206" s="152">
        <v>0</v>
      </c>
      <c r="J206" s="152">
        <v>0</v>
      </c>
      <c r="K206" s="152">
        <v>0</v>
      </c>
      <c r="L206" s="261">
        <v>57652</v>
      </c>
    </row>
    <row r="207" spans="1:12" ht="30.75" x14ac:dyDescent="0.25">
      <c r="A207" s="140" t="s">
        <v>203</v>
      </c>
      <c r="B207" s="142" t="s">
        <v>204</v>
      </c>
      <c r="C207" s="139">
        <v>209</v>
      </c>
      <c r="D207" s="139" t="s">
        <v>39</v>
      </c>
      <c r="E207" s="261">
        <v>46239</v>
      </c>
      <c r="F207" s="261">
        <v>1000</v>
      </c>
      <c r="G207" s="287" t="s">
        <v>570</v>
      </c>
      <c r="H207" s="261">
        <v>45239</v>
      </c>
      <c r="I207" s="152">
        <v>0</v>
      </c>
      <c r="J207" s="152">
        <v>0</v>
      </c>
      <c r="K207" s="152">
        <v>0</v>
      </c>
      <c r="L207" s="261">
        <v>45239</v>
      </c>
    </row>
    <row r="208" spans="1:12" x14ac:dyDescent="0.25">
      <c r="A208" s="140" t="s">
        <v>205</v>
      </c>
      <c r="B208" s="142" t="s">
        <v>206</v>
      </c>
      <c r="C208" s="139">
        <v>183</v>
      </c>
      <c r="D208" s="139" t="s">
        <v>39</v>
      </c>
      <c r="E208" s="261">
        <v>8422</v>
      </c>
      <c r="F208" s="261">
        <v>1000</v>
      </c>
      <c r="G208" s="287" t="s">
        <v>570</v>
      </c>
      <c r="H208" s="261">
        <v>7422</v>
      </c>
      <c r="I208" s="152">
        <v>0</v>
      </c>
      <c r="J208" s="152">
        <v>0</v>
      </c>
      <c r="K208" s="152">
        <v>0</v>
      </c>
      <c r="L208" s="261">
        <v>7422</v>
      </c>
    </row>
    <row r="209" spans="1:12" x14ac:dyDescent="0.25">
      <c r="A209" s="140" t="s">
        <v>237</v>
      </c>
      <c r="B209" s="142" t="s">
        <v>238</v>
      </c>
      <c r="C209" s="139">
        <v>251</v>
      </c>
      <c r="D209" s="139" t="s">
        <v>39</v>
      </c>
      <c r="E209" s="261">
        <v>4049</v>
      </c>
      <c r="F209" s="261">
        <v>2448</v>
      </c>
      <c r="G209" s="287" t="s">
        <v>570</v>
      </c>
      <c r="H209" s="261">
        <v>1601</v>
      </c>
      <c r="I209" s="152">
        <v>0</v>
      </c>
      <c r="J209" s="152">
        <v>0</v>
      </c>
      <c r="K209" s="152">
        <v>0</v>
      </c>
      <c r="L209" s="261">
        <v>1601</v>
      </c>
    </row>
    <row r="210" spans="1:12" x14ac:dyDescent="0.25">
      <c r="A210" s="140" t="s">
        <v>207</v>
      </c>
      <c r="B210" s="142" t="s">
        <v>208</v>
      </c>
      <c r="C210" s="139">
        <v>192</v>
      </c>
      <c r="D210" s="139" t="s">
        <v>39</v>
      </c>
      <c r="E210" s="261">
        <v>13092</v>
      </c>
      <c r="F210" s="261">
        <v>1000</v>
      </c>
      <c r="G210" s="287" t="s">
        <v>570</v>
      </c>
      <c r="H210" s="261">
        <v>12092</v>
      </c>
      <c r="I210" s="152">
        <v>0</v>
      </c>
      <c r="J210" s="152">
        <v>0</v>
      </c>
      <c r="K210" s="152">
        <v>0</v>
      </c>
      <c r="L210" s="261">
        <v>12092</v>
      </c>
    </row>
    <row r="211" spans="1:12" ht="30.75" x14ac:dyDescent="0.25">
      <c r="A211" s="140" t="s">
        <v>209</v>
      </c>
      <c r="B211" s="142" t="s">
        <v>210</v>
      </c>
      <c r="C211" s="139">
        <v>297</v>
      </c>
      <c r="D211" s="139" t="s">
        <v>39</v>
      </c>
      <c r="E211" s="261">
        <v>1037058</v>
      </c>
      <c r="F211" s="261">
        <v>288359</v>
      </c>
      <c r="G211" s="287" t="s">
        <v>570</v>
      </c>
      <c r="H211" s="261">
        <v>748699</v>
      </c>
      <c r="I211" s="261">
        <v>1000</v>
      </c>
      <c r="J211" s="152">
        <v>0</v>
      </c>
      <c r="K211" s="261">
        <v>1000</v>
      </c>
      <c r="L211" s="261">
        <v>747699</v>
      </c>
    </row>
    <row r="212" spans="1:12" x14ac:dyDescent="0.25">
      <c r="A212" s="140" t="s">
        <v>211</v>
      </c>
      <c r="B212" s="142" t="s">
        <v>212</v>
      </c>
      <c r="C212" s="139">
        <v>166</v>
      </c>
      <c r="D212" s="139" t="s">
        <v>39</v>
      </c>
      <c r="E212" s="261">
        <v>138669</v>
      </c>
      <c r="F212" s="261">
        <v>26866</v>
      </c>
      <c r="G212" s="287" t="s">
        <v>570</v>
      </c>
      <c r="H212" s="261">
        <v>111803</v>
      </c>
      <c r="I212" s="152">
        <v>0</v>
      </c>
      <c r="J212" s="152">
        <v>0</v>
      </c>
      <c r="K212" s="152">
        <v>0</v>
      </c>
      <c r="L212" s="261">
        <v>111803</v>
      </c>
    </row>
    <row r="213" spans="1:12" x14ac:dyDescent="0.25">
      <c r="A213" s="140" t="s">
        <v>213</v>
      </c>
      <c r="B213" s="142" t="s">
        <v>214</v>
      </c>
      <c r="C213" s="139">
        <v>32</v>
      </c>
      <c r="D213" s="139" t="s">
        <v>39</v>
      </c>
      <c r="E213" s="261">
        <v>29436</v>
      </c>
      <c r="F213" s="261">
        <v>6448</v>
      </c>
      <c r="G213" s="287" t="s">
        <v>570</v>
      </c>
      <c r="H213" s="261">
        <v>22988</v>
      </c>
      <c r="I213" s="152">
        <v>0</v>
      </c>
      <c r="J213" s="152">
        <v>0</v>
      </c>
      <c r="K213" s="152">
        <v>0</v>
      </c>
      <c r="L213" s="261">
        <v>22988</v>
      </c>
    </row>
    <row r="214" spans="1:12" ht="30.75" x14ac:dyDescent="0.25">
      <c r="A214" s="140" t="s">
        <v>215</v>
      </c>
      <c r="B214" s="142" t="s">
        <v>216</v>
      </c>
      <c r="C214" s="139">
        <v>368</v>
      </c>
      <c r="D214" s="139" t="s">
        <v>39</v>
      </c>
      <c r="E214" s="261">
        <v>22540</v>
      </c>
      <c r="F214" s="261">
        <v>9502</v>
      </c>
      <c r="G214" s="287" t="s">
        <v>570</v>
      </c>
      <c r="H214" s="261">
        <v>13038</v>
      </c>
      <c r="I214" s="152">
        <v>0</v>
      </c>
      <c r="J214" s="152">
        <v>0</v>
      </c>
      <c r="K214" s="152">
        <v>0</v>
      </c>
      <c r="L214" s="261">
        <v>13038</v>
      </c>
    </row>
    <row r="215" spans="1:12" x14ac:dyDescent="0.25">
      <c r="A215" s="140" t="s">
        <v>217</v>
      </c>
      <c r="B215" s="142" t="s">
        <v>218</v>
      </c>
      <c r="C215" s="139">
        <v>357</v>
      </c>
      <c r="D215" s="139" t="s">
        <v>39</v>
      </c>
      <c r="E215" s="261">
        <v>14241</v>
      </c>
      <c r="F215" s="261">
        <v>7325</v>
      </c>
      <c r="G215" s="287" t="s">
        <v>570</v>
      </c>
      <c r="H215" s="261">
        <v>6916</v>
      </c>
      <c r="I215" s="152">
        <v>0</v>
      </c>
      <c r="J215" s="152">
        <v>0</v>
      </c>
      <c r="K215" s="152">
        <v>0</v>
      </c>
      <c r="L215" s="261">
        <v>6916</v>
      </c>
    </row>
    <row r="216" spans="1:12" x14ac:dyDescent="0.25">
      <c r="A216" s="140" t="s">
        <v>219</v>
      </c>
      <c r="B216" s="142" t="s">
        <v>220</v>
      </c>
      <c r="C216" s="139">
        <v>153</v>
      </c>
      <c r="D216" s="139" t="s">
        <v>39</v>
      </c>
      <c r="E216" s="261">
        <v>13759</v>
      </c>
      <c r="F216" s="261">
        <v>1000</v>
      </c>
      <c r="G216" s="287" t="s">
        <v>570</v>
      </c>
      <c r="H216" s="261">
        <v>12759</v>
      </c>
      <c r="I216" s="152">
        <v>0</v>
      </c>
      <c r="J216" s="152">
        <v>0</v>
      </c>
      <c r="K216" s="152">
        <v>0</v>
      </c>
      <c r="L216" s="261">
        <v>12759</v>
      </c>
    </row>
    <row r="217" spans="1:12" x14ac:dyDescent="0.25">
      <c r="A217" s="140" t="s">
        <v>239</v>
      </c>
      <c r="B217" s="142" t="s">
        <v>240</v>
      </c>
      <c r="C217" s="139">
        <v>155</v>
      </c>
      <c r="D217" s="139" t="s">
        <v>39</v>
      </c>
      <c r="E217" s="261">
        <v>3353</v>
      </c>
      <c r="F217" s="261">
        <v>1000</v>
      </c>
      <c r="G217" s="287" t="s">
        <v>570</v>
      </c>
      <c r="H217" s="261">
        <v>2353</v>
      </c>
      <c r="I217" s="152">
        <v>0</v>
      </c>
      <c r="J217" s="152">
        <v>0</v>
      </c>
      <c r="K217" s="152">
        <v>0</v>
      </c>
      <c r="L217" s="261">
        <v>2353</v>
      </c>
    </row>
    <row r="218" spans="1:12" x14ac:dyDescent="0.25">
      <c r="A218" s="140" t="s">
        <v>221</v>
      </c>
      <c r="B218" s="142" t="s">
        <v>210</v>
      </c>
      <c r="C218" s="139">
        <v>48</v>
      </c>
      <c r="D218" s="139" t="s">
        <v>39</v>
      </c>
      <c r="E218" s="261">
        <v>184429</v>
      </c>
      <c r="F218" s="261">
        <v>38472</v>
      </c>
      <c r="G218" s="287" t="s">
        <v>570</v>
      </c>
      <c r="H218" s="261">
        <v>145957</v>
      </c>
      <c r="I218" s="152">
        <v>0</v>
      </c>
      <c r="J218" s="152">
        <v>0</v>
      </c>
      <c r="K218" s="152">
        <v>0</v>
      </c>
      <c r="L218" s="261">
        <v>145957</v>
      </c>
    </row>
    <row r="219" spans="1:12" x14ac:dyDescent="0.25">
      <c r="A219" s="140" t="s">
        <v>222</v>
      </c>
      <c r="B219" s="142" t="s">
        <v>223</v>
      </c>
      <c r="C219" s="139">
        <v>350</v>
      </c>
      <c r="D219" s="139" t="s">
        <v>39</v>
      </c>
      <c r="E219" s="261">
        <v>1371</v>
      </c>
      <c r="F219" s="261">
        <v>1000</v>
      </c>
      <c r="G219" s="287" t="s">
        <v>570</v>
      </c>
      <c r="H219" s="261">
        <v>371</v>
      </c>
      <c r="I219" s="152">
        <v>0</v>
      </c>
      <c r="J219" s="152">
        <v>0</v>
      </c>
      <c r="K219" s="152">
        <v>0</v>
      </c>
      <c r="L219" s="261">
        <v>371</v>
      </c>
    </row>
    <row r="220" spans="1:12" x14ac:dyDescent="0.25">
      <c r="A220" s="140" t="s">
        <v>241</v>
      </c>
      <c r="B220" s="142" t="s">
        <v>242</v>
      </c>
      <c r="C220" s="139">
        <v>173</v>
      </c>
      <c r="D220" s="139" t="s">
        <v>39</v>
      </c>
      <c r="E220" s="261">
        <v>27272</v>
      </c>
      <c r="F220" s="261">
        <v>6232</v>
      </c>
      <c r="G220" s="287" t="s">
        <v>570</v>
      </c>
      <c r="H220" s="261">
        <v>21040</v>
      </c>
      <c r="I220" s="152">
        <v>0</v>
      </c>
      <c r="J220" s="152">
        <v>0</v>
      </c>
      <c r="K220" s="152">
        <v>0</v>
      </c>
      <c r="L220" s="261">
        <v>21040</v>
      </c>
    </row>
    <row r="221" spans="1:12" ht="45.75" x14ac:dyDescent="0.25">
      <c r="A221" s="140" t="s">
        <v>248</v>
      </c>
      <c r="B221" s="142" t="s">
        <v>249</v>
      </c>
      <c r="C221" s="139">
        <v>261</v>
      </c>
      <c r="D221" s="139" t="s">
        <v>39</v>
      </c>
      <c r="E221" s="261">
        <v>3728</v>
      </c>
      <c r="F221" s="261">
        <v>2385</v>
      </c>
      <c r="G221" s="287" t="s">
        <v>570</v>
      </c>
      <c r="H221" s="261">
        <v>1343</v>
      </c>
      <c r="I221" s="152">
        <v>0</v>
      </c>
      <c r="J221" s="152">
        <v>0</v>
      </c>
      <c r="K221" s="152">
        <v>0</v>
      </c>
      <c r="L221" s="261">
        <v>1343</v>
      </c>
    </row>
    <row r="222" spans="1:12" x14ac:dyDescent="0.25">
      <c r="A222" s="140" t="s">
        <v>243</v>
      </c>
      <c r="B222" s="142" t="s">
        <v>229</v>
      </c>
      <c r="C222" s="139">
        <v>244</v>
      </c>
      <c r="D222" s="139" t="s">
        <v>39</v>
      </c>
      <c r="E222" s="261">
        <v>10144</v>
      </c>
      <c r="F222" s="261">
        <v>2021</v>
      </c>
      <c r="G222" s="287" t="s">
        <v>570</v>
      </c>
      <c r="H222" s="261">
        <v>8123</v>
      </c>
      <c r="I222" s="152">
        <v>0</v>
      </c>
      <c r="J222" s="152">
        <v>0</v>
      </c>
      <c r="K222" s="152">
        <v>0</v>
      </c>
      <c r="L222" s="261">
        <v>8123</v>
      </c>
    </row>
    <row r="223" spans="1:12" x14ac:dyDescent="0.25">
      <c r="A223" s="140" t="s">
        <v>226</v>
      </c>
      <c r="B223" s="142" t="s">
        <v>227</v>
      </c>
      <c r="C223" s="139">
        <v>171</v>
      </c>
      <c r="D223" s="139" t="s">
        <v>39</v>
      </c>
      <c r="E223" s="261">
        <v>31113</v>
      </c>
      <c r="F223" s="261">
        <v>7778</v>
      </c>
      <c r="G223" s="287" t="s">
        <v>570</v>
      </c>
      <c r="H223" s="261">
        <v>23335</v>
      </c>
      <c r="I223" s="152">
        <v>0</v>
      </c>
      <c r="J223" s="152">
        <v>0</v>
      </c>
      <c r="K223" s="152">
        <v>0</v>
      </c>
      <c r="L223" s="261">
        <v>23335</v>
      </c>
    </row>
    <row r="224" spans="1:12" ht="45.75" x14ac:dyDescent="0.25">
      <c r="A224" s="140" t="s">
        <v>228</v>
      </c>
      <c r="B224" s="142" t="s">
        <v>229</v>
      </c>
      <c r="C224" s="139">
        <v>258</v>
      </c>
      <c r="D224" s="139" t="s">
        <v>39</v>
      </c>
      <c r="E224" s="261">
        <v>67141</v>
      </c>
      <c r="F224" s="261">
        <v>7407</v>
      </c>
      <c r="G224" s="287" t="s">
        <v>570</v>
      </c>
      <c r="H224" s="261">
        <v>59734</v>
      </c>
      <c r="I224" s="152">
        <v>0</v>
      </c>
      <c r="J224" s="152">
        <v>0</v>
      </c>
      <c r="K224" s="152">
        <v>0</v>
      </c>
      <c r="L224" s="261">
        <v>59734</v>
      </c>
    </row>
    <row r="225" spans="1:12" x14ac:dyDescent="0.25">
      <c r="A225" s="140" t="s">
        <v>230</v>
      </c>
      <c r="B225" s="142" t="s">
        <v>210</v>
      </c>
      <c r="C225" s="139">
        <v>260</v>
      </c>
      <c r="D225" s="139" t="s">
        <v>39</v>
      </c>
      <c r="E225" s="261">
        <v>220445</v>
      </c>
      <c r="F225" s="261">
        <v>39867</v>
      </c>
      <c r="G225" s="287" t="s">
        <v>570</v>
      </c>
      <c r="H225" s="261">
        <v>180578</v>
      </c>
      <c r="I225" s="152">
        <v>0</v>
      </c>
      <c r="J225" s="152">
        <v>0</v>
      </c>
      <c r="K225" s="152">
        <v>0</v>
      </c>
      <c r="L225" s="261">
        <v>180578</v>
      </c>
    </row>
    <row r="226" spans="1:12" ht="30.75" x14ac:dyDescent="0.25">
      <c r="A226" s="140" t="s">
        <v>231</v>
      </c>
      <c r="B226" s="142" t="s">
        <v>232</v>
      </c>
      <c r="C226" s="139">
        <v>367</v>
      </c>
      <c r="D226" s="139" t="s">
        <v>39</v>
      </c>
      <c r="E226" s="261">
        <v>10319761</v>
      </c>
      <c r="F226" s="261">
        <v>7537292</v>
      </c>
      <c r="G226" s="287" t="s">
        <v>570</v>
      </c>
      <c r="H226" s="261">
        <v>2782469</v>
      </c>
      <c r="I226" s="152">
        <v>0</v>
      </c>
      <c r="J226" s="152">
        <v>0</v>
      </c>
      <c r="K226" s="152">
        <v>0</v>
      </c>
      <c r="L226" s="261">
        <v>2782469</v>
      </c>
    </row>
    <row r="227" spans="1:12" ht="30.75" x14ac:dyDescent="0.25">
      <c r="A227" s="140" t="s">
        <v>233</v>
      </c>
      <c r="B227" s="142" t="s">
        <v>234</v>
      </c>
      <c r="C227" s="139">
        <v>351</v>
      </c>
      <c r="D227" s="139" t="s">
        <v>39</v>
      </c>
      <c r="E227" s="261">
        <v>18910</v>
      </c>
      <c r="F227" s="261">
        <v>8205</v>
      </c>
      <c r="G227" s="287" t="s">
        <v>570</v>
      </c>
      <c r="H227" s="261">
        <v>10705</v>
      </c>
      <c r="I227" s="152">
        <v>0</v>
      </c>
      <c r="J227" s="152">
        <v>0</v>
      </c>
      <c r="K227" s="152">
        <v>0</v>
      </c>
      <c r="L227" s="261">
        <v>10705</v>
      </c>
    </row>
    <row r="228" spans="1:12" x14ac:dyDescent="0.25">
      <c r="A228" s="140" t="s">
        <v>250</v>
      </c>
      <c r="B228" s="142" t="s">
        <v>251</v>
      </c>
      <c r="C228" s="139">
        <v>305</v>
      </c>
      <c r="D228" s="139" t="s">
        <v>38</v>
      </c>
      <c r="E228" s="261">
        <v>1182</v>
      </c>
      <c r="F228" s="261">
        <v>1000</v>
      </c>
      <c r="G228" s="287" t="s">
        <v>570</v>
      </c>
      <c r="H228" s="261">
        <v>182</v>
      </c>
      <c r="I228" s="152">
        <v>0</v>
      </c>
      <c r="J228" s="152">
        <v>0</v>
      </c>
      <c r="K228" s="152">
        <v>0</v>
      </c>
      <c r="L228" s="261">
        <v>182</v>
      </c>
    </row>
    <row r="229" spans="1:12" ht="30.75" x14ac:dyDescent="0.25">
      <c r="A229" s="140" t="s">
        <v>185</v>
      </c>
      <c r="B229" s="142" t="s">
        <v>186</v>
      </c>
      <c r="C229" s="139">
        <v>250</v>
      </c>
      <c r="D229" s="139" t="s">
        <v>38</v>
      </c>
      <c r="E229" s="261">
        <v>68462</v>
      </c>
      <c r="F229" s="261">
        <v>4554</v>
      </c>
      <c r="G229" s="287" t="s">
        <v>570</v>
      </c>
      <c r="H229" s="261">
        <v>63908</v>
      </c>
      <c r="I229" s="152">
        <v>0</v>
      </c>
      <c r="J229" s="152">
        <v>0</v>
      </c>
      <c r="K229" s="152">
        <v>0</v>
      </c>
      <c r="L229" s="261">
        <v>63908</v>
      </c>
    </row>
    <row r="230" spans="1:12" ht="45.75" x14ac:dyDescent="0.25">
      <c r="A230" s="140" t="s">
        <v>187</v>
      </c>
      <c r="B230" s="142" t="s">
        <v>188</v>
      </c>
      <c r="C230" s="139">
        <v>369</v>
      </c>
      <c r="D230" s="139" t="s">
        <v>38</v>
      </c>
      <c r="E230" s="261">
        <v>44689836</v>
      </c>
      <c r="F230" s="261">
        <v>43291932</v>
      </c>
      <c r="G230" s="287" t="s">
        <v>570</v>
      </c>
      <c r="H230" s="261">
        <v>1397904</v>
      </c>
      <c r="I230" s="261">
        <v>416801</v>
      </c>
      <c r="J230" s="261">
        <v>416801</v>
      </c>
      <c r="K230" s="152">
        <v>0</v>
      </c>
      <c r="L230" s="261">
        <v>1397904</v>
      </c>
    </row>
    <row r="231" spans="1:12" ht="30.75" x14ac:dyDescent="0.25">
      <c r="A231" s="140" t="s">
        <v>189</v>
      </c>
      <c r="B231" s="142" t="s">
        <v>190</v>
      </c>
      <c r="C231" s="139">
        <v>172</v>
      </c>
      <c r="D231" s="139" t="s">
        <v>38</v>
      </c>
      <c r="E231" s="261">
        <v>51776</v>
      </c>
      <c r="F231" s="261">
        <v>21615</v>
      </c>
      <c r="G231" s="287" t="s">
        <v>570</v>
      </c>
      <c r="H231" s="261">
        <v>30161</v>
      </c>
      <c r="I231" s="152">
        <v>0</v>
      </c>
      <c r="J231" s="152">
        <v>0</v>
      </c>
      <c r="K231" s="152">
        <v>0</v>
      </c>
      <c r="L231" s="261">
        <v>30161</v>
      </c>
    </row>
    <row r="232" spans="1:12" x14ac:dyDescent="0.25">
      <c r="A232" s="140" t="s">
        <v>246</v>
      </c>
      <c r="B232" s="142" t="s">
        <v>247</v>
      </c>
      <c r="C232" s="139">
        <v>278</v>
      </c>
      <c r="D232" s="139" t="s">
        <v>38</v>
      </c>
      <c r="E232" s="261">
        <v>80581</v>
      </c>
      <c r="F232" s="261">
        <v>1000</v>
      </c>
      <c r="G232" s="287" t="s">
        <v>570</v>
      </c>
      <c r="H232" s="261">
        <v>79581</v>
      </c>
      <c r="I232" s="152">
        <v>0</v>
      </c>
      <c r="J232" s="152">
        <v>0</v>
      </c>
      <c r="K232" s="152">
        <v>0</v>
      </c>
      <c r="L232" s="261">
        <v>79581</v>
      </c>
    </row>
    <row r="233" spans="1:12" x14ac:dyDescent="0.25">
      <c r="A233" s="140" t="s">
        <v>252</v>
      </c>
      <c r="B233" s="142" t="s">
        <v>253</v>
      </c>
      <c r="C233" s="139">
        <v>309</v>
      </c>
      <c r="D233" s="139" t="s">
        <v>38</v>
      </c>
      <c r="E233" s="261">
        <v>1367</v>
      </c>
      <c r="F233" s="261">
        <v>1000</v>
      </c>
      <c r="G233" s="287" t="s">
        <v>570</v>
      </c>
      <c r="H233" s="261">
        <v>367</v>
      </c>
      <c r="I233" s="152">
        <v>0</v>
      </c>
      <c r="J233" s="152">
        <v>0</v>
      </c>
      <c r="K233" s="152">
        <v>0</v>
      </c>
      <c r="L233" s="261">
        <v>367</v>
      </c>
    </row>
    <row r="234" spans="1:12" ht="30.75" x14ac:dyDescent="0.25">
      <c r="A234" s="140" t="s">
        <v>191</v>
      </c>
      <c r="B234" s="142" t="s">
        <v>192</v>
      </c>
      <c r="C234" s="139">
        <v>11</v>
      </c>
      <c r="D234" s="139" t="s">
        <v>38</v>
      </c>
      <c r="E234" s="261">
        <v>996242</v>
      </c>
      <c r="F234" s="261">
        <v>356650</v>
      </c>
      <c r="G234" s="287" t="s">
        <v>570</v>
      </c>
      <c r="H234" s="261">
        <v>639592</v>
      </c>
      <c r="I234" s="152">
        <v>0</v>
      </c>
      <c r="J234" s="152">
        <v>0</v>
      </c>
      <c r="K234" s="152">
        <v>0</v>
      </c>
      <c r="L234" s="261">
        <v>639592</v>
      </c>
    </row>
    <row r="235" spans="1:12" ht="30.75" x14ac:dyDescent="0.25">
      <c r="A235" s="140" t="s">
        <v>193</v>
      </c>
      <c r="B235" s="142" t="s">
        <v>194</v>
      </c>
      <c r="C235" s="139">
        <v>313</v>
      </c>
      <c r="D235" s="139" t="s">
        <v>38</v>
      </c>
      <c r="E235" s="261">
        <v>191328</v>
      </c>
      <c r="F235" s="261">
        <v>38911</v>
      </c>
      <c r="G235" s="287" t="s">
        <v>570</v>
      </c>
      <c r="H235" s="261">
        <v>152417</v>
      </c>
      <c r="I235" s="152">
        <v>0</v>
      </c>
      <c r="J235" s="152">
        <v>0</v>
      </c>
      <c r="K235" s="152">
        <v>0</v>
      </c>
      <c r="L235" s="261">
        <v>152417</v>
      </c>
    </row>
    <row r="236" spans="1:12" ht="30.75" x14ac:dyDescent="0.25">
      <c r="A236" s="140" t="s">
        <v>195</v>
      </c>
      <c r="B236" s="142" t="s">
        <v>196</v>
      </c>
      <c r="C236" s="139">
        <v>330</v>
      </c>
      <c r="D236" s="139" t="s">
        <v>38</v>
      </c>
      <c r="E236" s="261">
        <v>160841</v>
      </c>
      <c r="F236" s="261">
        <v>36297</v>
      </c>
      <c r="G236" s="287" t="s">
        <v>570</v>
      </c>
      <c r="H236" s="261">
        <v>124544</v>
      </c>
      <c r="I236" s="152">
        <v>0</v>
      </c>
      <c r="J236" s="152">
        <v>0</v>
      </c>
      <c r="K236" s="152">
        <v>0</v>
      </c>
      <c r="L236" s="261">
        <v>124544</v>
      </c>
    </row>
    <row r="237" spans="1:12" ht="45.75" x14ac:dyDescent="0.25">
      <c r="A237" s="140" t="s">
        <v>197</v>
      </c>
      <c r="B237" s="142" t="s">
        <v>198</v>
      </c>
      <c r="C237" s="139">
        <v>272</v>
      </c>
      <c r="D237" s="139" t="s">
        <v>38</v>
      </c>
      <c r="E237" s="261">
        <v>212691</v>
      </c>
      <c r="F237" s="261">
        <v>34030</v>
      </c>
      <c r="G237" s="287" t="s">
        <v>570</v>
      </c>
      <c r="H237" s="261">
        <v>178661</v>
      </c>
      <c r="I237" s="152">
        <v>0</v>
      </c>
      <c r="J237" s="152">
        <v>0</v>
      </c>
      <c r="K237" s="152">
        <v>0</v>
      </c>
      <c r="L237" s="261">
        <v>178661</v>
      </c>
    </row>
    <row r="238" spans="1:12" ht="45.75" x14ac:dyDescent="0.25">
      <c r="A238" s="140" t="s">
        <v>199</v>
      </c>
      <c r="B238" s="142" t="s">
        <v>200</v>
      </c>
      <c r="C238" s="139">
        <v>276</v>
      </c>
      <c r="D238" s="139" t="s">
        <v>38</v>
      </c>
      <c r="E238" s="261">
        <v>84258</v>
      </c>
      <c r="F238" s="261">
        <v>2880</v>
      </c>
      <c r="G238" s="287" t="s">
        <v>570</v>
      </c>
      <c r="H238" s="261">
        <v>81378</v>
      </c>
      <c r="I238" s="152">
        <v>0</v>
      </c>
      <c r="J238" s="152">
        <v>0</v>
      </c>
      <c r="K238" s="152">
        <v>0</v>
      </c>
      <c r="L238" s="261">
        <v>81378</v>
      </c>
    </row>
    <row r="239" spans="1:12" ht="90.75" x14ac:dyDescent="0.25">
      <c r="A239" s="140" t="s">
        <v>201</v>
      </c>
      <c r="B239" s="142" t="s">
        <v>202</v>
      </c>
      <c r="C239" s="139">
        <v>292</v>
      </c>
      <c r="D239" s="139" t="s">
        <v>38</v>
      </c>
      <c r="E239" s="261">
        <v>566786</v>
      </c>
      <c r="F239" s="261">
        <v>49899</v>
      </c>
      <c r="G239" s="287" t="s">
        <v>570</v>
      </c>
      <c r="H239" s="261">
        <v>516887</v>
      </c>
      <c r="I239" s="152">
        <v>0</v>
      </c>
      <c r="J239" s="152">
        <v>0</v>
      </c>
      <c r="K239" s="152">
        <v>0</v>
      </c>
      <c r="L239" s="261">
        <v>516887</v>
      </c>
    </row>
    <row r="240" spans="1:12" ht="30.75" x14ac:dyDescent="0.25">
      <c r="A240" s="140" t="s">
        <v>203</v>
      </c>
      <c r="B240" s="142" t="s">
        <v>204</v>
      </c>
      <c r="C240" s="139">
        <v>209</v>
      </c>
      <c r="D240" s="139" t="s">
        <v>38</v>
      </c>
      <c r="E240" s="261">
        <v>93729</v>
      </c>
      <c r="F240" s="261">
        <v>1000</v>
      </c>
      <c r="G240" s="287" t="s">
        <v>570</v>
      </c>
      <c r="H240" s="261">
        <v>92729</v>
      </c>
      <c r="I240" s="152">
        <v>0</v>
      </c>
      <c r="J240" s="152">
        <v>0</v>
      </c>
      <c r="K240" s="152">
        <v>0</v>
      </c>
      <c r="L240" s="261">
        <v>92729</v>
      </c>
    </row>
    <row r="241" spans="1:12" x14ac:dyDescent="0.25">
      <c r="A241" s="140" t="s">
        <v>205</v>
      </c>
      <c r="B241" s="142" t="s">
        <v>206</v>
      </c>
      <c r="C241" s="139">
        <v>183</v>
      </c>
      <c r="D241" s="139" t="s">
        <v>38</v>
      </c>
      <c r="E241" s="261">
        <v>53366</v>
      </c>
      <c r="F241" s="261">
        <v>15888</v>
      </c>
      <c r="G241" s="287" t="s">
        <v>570</v>
      </c>
      <c r="H241" s="261">
        <v>37478</v>
      </c>
      <c r="I241" s="152">
        <v>0</v>
      </c>
      <c r="J241" s="152">
        <v>0</v>
      </c>
      <c r="K241" s="152">
        <v>0</v>
      </c>
      <c r="L241" s="261">
        <v>37478</v>
      </c>
    </row>
    <row r="242" spans="1:12" x14ac:dyDescent="0.25">
      <c r="A242" s="140" t="s">
        <v>237</v>
      </c>
      <c r="B242" s="142" t="s">
        <v>238</v>
      </c>
      <c r="C242" s="139">
        <v>251</v>
      </c>
      <c r="D242" s="139" t="s">
        <v>38</v>
      </c>
      <c r="E242" s="261">
        <v>12287</v>
      </c>
      <c r="F242" s="261">
        <v>5287</v>
      </c>
      <c r="G242" s="287" t="s">
        <v>570</v>
      </c>
      <c r="H242" s="261">
        <v>7000</v>
      </c>
      <c r="I242" s="152">
        <v>0</v>
      </c>
      <c r="J242" s="152">
        <v>0</v>
      </c>
      <c r="K242" s="152">
        <v>0</v>
      </c>
      <c r="L242" s="261">
        <v>7000</v>
      </c>
    </row>
    <row r="243" spans="1:12" ht="30.75" x14ac:dyDescent="0.25">
      <c r="A243" s="140" t="s">
        <v>254</v>
      </c>
      <c r="B243" s="142" t="s">
        <v>196</v>
      </c>
      <c r="C243" s="139">
        <v>91</v>
      </c>
      <c r="D243" s="139" t="s">
        <v>38</v>
      </c>
      <c r="E243" s="261">
        <v>2373</v>
      </c>
      <c r="F243" s="261">
        <v>1321</v>
      </c>
      <c r="G243" s="287" t="s">
        <v>570</v>
      </c>
      <c r="H243" s="261">
        <v>1052</v>
      </c>
      <c r="I243" s="152">
        <v>0</v>
      </c>
      <c r="J243" s="152">
        <v>0</v>
      </c>
      <c r="K243" s="152">
        <v>0</v>
      </c>
      <c r="L243" s="261">
        <v>1052</v>
      </c>
    </row>
    <row r="244" spans="1:12" x14ac:dyDescent="0.25">
      <c r="A244" s="140" t="s">
        <v>207</v>
      </c>
      <c r="B244" s="142" t="s">
        <v>208</v>
      </c>
      <c r="C244" s="139">
        <v>192</v>
      </c>
      <c r="D244" s="139" t="s">
        <v>38</v>
      </c>
      <c r="E244" s="261">
        <v>28693</v>
      </c>
      <c r="F244" s="261">
        <v>9017</v>
      </c>
      <c r="G244" s="287" t="s">
        <v>570</v>
      </c>
      <c r="H244" s="261">
        <v>19676</v>
      </c>
      <c r="I244" s="152">
        <v>0</v>
      </c>
      <c r="J244" s="152">
        <v>0</v>
      </c>
      <c r="K244" s="152">
        <v>0</v>
      </c>
      <c r="L244" s="261">
        <v>19676</v>
      </c>
    </row>
    <row r="245" spans="1:12" ht="30.75" x14ac:dyDescent="0.25">
      <c r="A245" s="140" t="s">
        <v>209</v>
      </c>
      <c r="B245" s="142" t="s">
        <v>210</v>
      </c>
      <c r="C245" s="139">
        <v>297</v>
      </c>
      <c r="D245" s="139" t="s">
        <v>38</v>
      </c>
      <c r="E245" s="261">
        <v>10144275</v>
      </c>
      <c r="F245" s="261">
        <v>3136370</v>
      </c>
      <c r="G245" s="287" t="s">
        <v>570</v>
      </c>
      <c r="H245" s="261">
        <v>7007905</v>
      </c>
      <c r="I245" s="152">
        <v>0</v>
      </c>
      <c r="J245" s="152">
        <v>0</v>
      </c>
      <c r="K245" s="152">
        <v>0</v>
      </c>
      <c r="L245" s="261">
        <v>7007905</v>
      </c>
    </row>
    <row r="246" spans="1:12" x14ac:dyDescent="0.25">
      <c r="A246" s="140" t="s">
        <v>211</v>
      </c>
      <c r="B246" s="142" t="s">
        <v>212</v>
      </c>
      <c r="C246" s="139">
        <v>166</v>
      </c>
      <c r="D246" s="139" t="s">
        <v>38</v>
      </c>
      <c r="E246" s="261">
        <v>1046928</v>
      </c>
      <c r="F246" s="261">
        <v>447482</v>
      </c>
      <c r="G246" s="287" t="s">
        <v>570</v>
      </c>
      <c r="H246" s="261">
        <v>599446</v>
      </c>
      <c r="I246" s="152">
        <v>0</v>
      </c>
      <c r="J246" s="152">
        <v>0</v>
      </c>
      <c r="K246" s="152">
        <v>0</v>
      </c>
      <c r="L246" s="261">
        <v>599446</v>
      </c>
    </row>
    <row r="247" spans="1:12" x14ac:dyDescent="0.25">
      <c r="A247" s="140" t="s">
        <v>255</v>
      </c>
      <c r="B247" s="142" t="s">
        <v>256</v>
      </c>
      <c r="C247" s="139">
        <v>268</v>
      </c>
      <c r="D247" s="139" t="s">
        <v>38</v>
      </c>
      <c r="E247" s="261">
        <v>613754</v>
      </c>
      <c r="F247" s="261">
        <v>14822</v>
      </c>
      <c r="G247" s="287" t="s">
        <v>570</v>
      </c>
      <c r="H247" s="261">
        <v>598932</v>
      </c>
      <c r="I247" s="152">
        <v>0</v>
      </c>
      <c r="J247" s="152">
        <v>0</v>
      </c>
      <c r="K247" s="152">
        <v>0</v>
      </c>
      <c r="L247" s="261">
        <v>598932</v>
      </c>
    </row>
    <row r="248" spans="1:12" x14ac:dyDescent="0.25">
      <c r="A248" s="140" t="s">
        <v>213</v>
      </c>
      <c r="B248" s="142" t="s">
        <v>214</v>
      </c>
      <c r="C248" s="139">
        <v>32</v>
      </c>
      <c r="D248" s="139" t="s">
        <v>38</v>
      </c>
      <c r="E248" s="261">
        <v>224251</v>
      </c>
      <c r="F248" s="261">
        <v>87827</v>
      </c>
      <c r="G248" s="287" t="s">
        <v>570</v>
      </c>
      <c r="H248" s="261">
        <v>136424</v>
      </c>
      <c r="I248" s="152">
        <v>0</v>
      </c>
      <c r="J248" s="152">
        <v>0</v>
      </c>
      <c r="K248" s="152">
        <v>0</v>
      </c>
      <c r="L248" s="261">
        <v>136424</v>
      </c>
    </row>
    <row r="249" spans="1:12" ht="30.75" x14ac:dyDescent="0.25">
      <c r="A249" s="140" t="s">
        <v>215</v>
      </c>
      <c r="B249" s="142" t="s">
        <v>216</v>
      </c>
      <c r="C249" s="139">
        <v>368</v>
      </c>
      <c r="D249" s="139" t="s">
        <v>38</v>
      </c>
      <c r="E249" s="261">
        <v>196527</v>
      </c>
      <c r="F249" s="261">
        <v>95748</v>
      </c>
      <c r="G249" s="287" t="s">
        <v>570</v>
      </c>
      <c r="H249" s="261">
        <v>100779</v>
      </c>
      <c r="I249" s="152">
        <v>0</v>
      </c>
      <c r="J249" s="152">
        <v>0</v>
      </c>
      <c r="K249" s="152">
        <v>0</v>
      </c>
      <c r="L249" s="261">
        <v>100779</v>
      </c>
    </row>
    <row r="250" spans="1:12" x14ac:dyDescent="0.25">
      <c r="A250" s="140" t="s">
        <v>217</v>
      </c>
      <c r="B250" s="142" t="s">
        <v>218</v>
      </c>
      <c r="C250" s="139">
        <v>357</v>
      </c>
      <c r="D250" s="139" t="s">
        <v>38</v>
      </c>
      <c r="E250" s="261">
        <v>2619669</v>
      </c>
      <c r="F250" s="261">
        <v>2175080</v>
      </c>
      <c r="G250" s="287" t="s">
        <v>570</v>
      </c>
      <c r="H250" s="261">
        <v>444589</v>
      </c>
      <c r="I250" s="152">
        <v>0</v>
      </c>
      <c r="J250" s="152">
        <v>0</v>
      </c>
      <c r="K250" s="152">
        <v>0</v>
      </c>
      <c r="L250" s="261">
        <v>444589</v>
      </c>
    </row>
    <row r="251" spans="1:12" x14ac:dyDescent="0.25">
      <c r="A251" s="140" t="s">
        <v>257</v>
      </c>
      <c r="B251" s="142" t="s">
        <v>258</v>
      </c>
      <c r="C251" s="139">
        <v>148</v>
      </c>
      <c r="D251" s="139" t="s">
        <v>38</v>
      </c>
      <c r="E251" s="261">
        <v>8713</v>
      </c>
      <c r="F251" s="261">
        <v>1000</v>
      </c>
      <c r="G251" s="287" t="s">
        <v>570</v>
      </c>
      <c r="H251" s="261">
        <v>7713</v>
      </c>
      <c r="I251" s="152">
        <v>0</v>
      </c>
      <c r="J251" s="152">
        <v>0</v>
      </c>
      <c r="K251" s="152">
        <v>0</v>
      </c>
      <c r="L251" s="261">
        <v>7713</v>
      </c>
    </row>
    <row r="252" spans="1:12" x14ac:dyDescent="0.25">
      <c r="A252" s="140" t="s">
        <v>219</v>
      </c>
      <c r="B252" s="142" t="s">
        <v>220</v>
      </c>
      <c r="C252" s="139">
        <v>153</v>
      </c>
      <c r="D252" s="139" t="s">
        <v>38</v>
      </c>
      <c r="E252" s="261">
        <v>137810</v>
      </c>
      <c r="F252" s="261">
        <v>36419</v>
      </c>
      <c r="G252" s="287" t="s">
        <v>570</v>
      </c>
      <c r="H252" s="261">
        <v>101391</v>
      </c>
      <c r="I252" s="152">
        <v>0</v>
      </c>
      <c r="J252" s="152">
        <v>0</v>
      </c>
      <c r="K252" s="152">
        <v>0</v>
      </c>
      <c r="L252" s="261">
        <v>101391</v>
      </c>
    </row>
    <row r="253" spans="1:12" x14ac:dyDescent="0.25">
      <c r="A253" s="140" t="s">
        <v>239</v>
      </c>
      <c r="B253" s="142" t="s">
        <v>240</v>
      </c>
      <c r="C253" s="139">
        <v>155</v>
      </c>
      <c r="D253" s="139" t="s">
        <v>38</v>
      </c>
      <c r="E253" s="261">
        <v>222555</v>
      </c>
      <c r="F253" s="261">
        <v>2931</v>
      </c>
      <c r="G253" s="287" t="s">
        <v>570</v>
      </c>
      <c r="H253" s="261">
        <v>219624</v>
      </c>
      <c r="I253" s="152">
        <v>0</v>
      </c>
      <c r="J253" s="152">
        <v>0</v>
      </c>
      <c r="K253" s="152">
        <v>0</v>
      </c>
      <c r="L253" s="261">
        <v>219624</v>
      </c>
    </row>
    <row r="254" spans="1:12" x14ac:dyDescent="0.25">
      <c r="A254" s="140" t="s">
        <v>221</v>
      </c>
      <c r="B254" s="142" t="s">
        <v>210</v>
      </c>
      <c r="C254" s="139">
        <v>48</v>
      </c>
      <c r="D254" s="139" t="s">
        <v>38</v>
      </c>
      <c r="E254" s="261">
        <v>1589869</v>
      </c>
      <c r="F254" s="261">
        <v>835468</v>
      </c>
      <c r="G254" s="287" t="s">
        <v>570</v>
      </c>
      <c r="H254" s="261">
        <v>754401</v>
      </c>
      <c r="I254" s="152">
        <v>0</v>
      </c>
      <c r="J254" s="152">
        <v>0</v>
      </c>
      <c r="K254" s="152">
        <v>0</v>
      </c>
      <c r="L254" s="261">
        <v>754401</v>
      </c>
    </row>
    <row r="255" spans="1:12" x14ac:dyDescent="0.25">
      <c r="A255" s="140" t="s">
        <v>222</v>
      </c>
      <c r="B255" s="142" t="s">
        <v>223</v>
      </c>
      <c r="C255" s="139">
        <v>350</v>
      </c>
      <c r="D255" s="139" t="s">
        <v>38</v>
      </c>
      <c r="E255" s="261">
        <v>34239</v>
      </c>
      <c r="F255" s="261">
        <v>9495</v>
      </c>
      <c r="G255" s="287" t="s">
        <v>570</v>
      </c>
      <c r="H255" s="261">
        <v>24744</v>
      </c>
      <c r="I255" s="152">
        <v>0</v>
      </c>
      <c r="J255" s="152">
        <v>0</v>
      </c>
      <c r="K255" s="152">
        <v>0</v>
      </c>
      <c r="L255" s="261">
        <v>24744</v>
      </c>
    </row>
    <row r="256" spans="1:12" x14ac:dyDescent="0.25">
      <c r="A256" s="140" t="s">
        <v>241</v>
      </c>
      <c r="B256" s="142" t="s">
        <v>242</v>
      </c>
      <c r="C256" s="139">
        <v>173</v>
      </c>
      <c r="D256" s="139" t="s">
        <v>38</v>
      </c>
      <c r="E256" s="261">
        <v>63225</v>
      </c>
      <c r="F256" s="261">
        <v>18060</v>
      </c>
      <c r="G256" s="287" t="s">
        <v>570</v>
      </c>
      <c r="H256" s="261">
        <v>45165</v>
      </c>
      <c r="I256" s="152">
        <v>0</v>
      </c>
      <c r="J256" s="152">
        <v>0</v>
      </c>
      <c r="K256" s="152">
        <v>0</v>
      </c>
      <c r="L256" s="261">
        <v>45165</v>
      </c>
    </row>
    <row r="257" spans="1:12" ht="45.75" x14ac:dyDescent="0.25">
      <c r="A257" s="140" t="s">
        <v>248</v>
      </c>
      <c r="B257" s="142" t="s">
        <v>249</v>
      </c>
      <c r="C257" s="139">
        <v>261</v>
      </c>
      <c r="D257" s="139" t="s">
        <v>38</v>
      </c>
      <c r="E257" s="261">
        <v>42331</v>
      </c>
      <c r="F257" s="261">
        <v>15186</v>
      </c>
      <c r="G257" s="287" t="s">
        <v>570</v>
      </c>
      <c r="H257" s="261">
        <v>27145</v>
      </c>
      <c r="I257" s="152">
        <v>0</v>
      </c>
      <c r="J257" s="152">
        <v>0</v>
      </c>
      <c r="K257" s="152">
        <v>0</v>
      </c>
      <c r="L257" s="261">
        <v>27145</v>
      </c>
    </row>
    <row r="258" spans="1:12" x14ac:dyDescent="0.25">
      <c r="A258" s="140" t="s">
        <v>243</v>
      </c>
      <c r="B258" s="142" t="s">
        <v>229</v>
      </c>
      <c r="C258" s="139">
        <v>244</v>
      </c>
      <c r="D258" s="139" t="s">
        <v>38</v>
      </c>
      <c r="E258" s="261">
        <v>98089</v>
      </c>
      <c r="F258" s="261">
        <v>34676</v>
      </c>
      <c r="G258" s="287" t="s">
        <v>570</v>
      </c>
      <c r="H258" s="261">
        <v>63413</v>
      </c>
      <c r="I258" s="152">
        <v>0</v>
      </c>
      <c r="J258" s="152">
        <v>0</v>
      </c>
      <c r="K258" s="152">
        <v>0</v>
      </c>
      <c r="L258" s="261">
        <v>63413</v>
      </c>
    </row>
    <row r="259" spans="1:12" x14ac:dyDescent="0.25">
      <c r="A259" s="140" t="s">
        <v>259</v>
      </c>
      <c r="B259" s="142" t="s">
        <v>210</v>
      </c>
      <c r="C259" s="139">
        <v>280</v>
      </c>
      <c r="D259" s="139" t="s">
        <v>38</v>
      </c>
      <c r="E259" s="261">
        <v>6219</v>
      </c>
      <c r="F259" s="261">
        <v>1000</v>
      </c>
      <c r="G259" s="287" t="s">
        <v>570</v>
      </c>
      <c r="H259" s="261">
        <v>5219</v>
      </c>
      <c r="I259" s="152">
        <v>0</v>
      </c>
      <c r="J259" s="152">
        <v>0</v>
      </c>
      <c r="K259" s="152">
        <v>0</v>
      </c>
      <c r="L259" s="261">
        <v>5219</v>
      </c>
    </row>
    <row r="260" spans="1:12" x14ac:dyDescent="0.25">
      <c r="A260" s="140" t="s">
        <v>226</v>
      </c>
      <c r="B260" s="142" t="s">
        <v>227</v>
      </c>
      <c r="C260" s="139">
        <v>171</v>
      </c>
      <c r="D260" s="139" t="s">
        <v>38</v>
      </c>
      <c r="E260" s="261">
        <v>106624</v>
      </c>
      <c r="F260" s="261">
        <v>28148</v>
      </c>
      <c r="G260" s="287" t="s">
        <v>570</v>
      </c>
      <c r="H260" s="261">
        <v>78476</v>
      </c>
      <c r="I260" s="152">
        <v>0</v>
      </c>
      <c r="J260" s="152">
        <v>0</v>
      </c>
      <c r="K260" s="152">
        <v>0</v>
      </c>
      <c r="L260" s="261">
        <v>78476</v>
      </c>
    </row>
    <row r="261" spans="1:12" ht="45.75" x14ac:dyDescent="0.25">
      <c r="A261" s="140" t="s">
        <v>228</v>
      </c>
      <c r="B261" s="142" t="s">
        <v>229</v>
      </c>
      <c r="C261" s="139">
        <v>258</v>
      </c>
      <c r="D261" s="139" t="s">
        <v>38</v>
      </c>
      <c r="E261" s="261">
        <v>395050</v>
      </c>
      <c r="F261" s="261">
        <v>31957</v>
      </c>
      <c r="G261" s="287" t="s">
        <v>570</v>
      </c>
      <c r="H261" s="261">
        <v>363093</v>
      </c>
      <c r="I261" s="152">
        <v>0</v>
      </c>
      <c r="J261" s="152">
        <v>0</v>
      </c>
      <c r="K261" s="152">
        <v>0</v>
      </c>
      <c r="L261" s="261">
        <v>363093</v>
      </c>
    </row>
    <row r="262" spans="1:12" x14ac:dyDescent="0.25">
      <c r="A262" s="140" t="s">
        <v>260</v>
      </c>
      <c r="B262" s="142" t="s">
        <v>261</v>
      </c>
      <c r="C262" s="139">
        <v>228</v>
      </c>
      <c r="D262" s="139" t="s">
        <v>38</v>
      </c>
      <c r="E262" s="261">
        <v>17098</v>
      </c>
      <c r="F262" s="261">
        <v>1000</v>
      </c>
      <c r="G262" s="287" t="s">
        <v>570</v>
      </c>
      <c r="H262" s="261">
        <v>16098</v>
      </c>
      <c r="I262" s="152">
        <v>0</v>
      </c>
      <c r="J262" s="152">
        <v>0</v>
      </c>
      <c r="K262" s="152">
        <v>0</v>
      </c>
      <c r="L262" s="261">
        <v>16098</v>
      </c>
    </row>
    <row r="263" spans="1:12" x14ac:dyDescent="0.25">
      <c r="A263" s="140" t="s">
        <v>262</v>
      </c>
      <c r="B263" s="142" t="s">
        <v>263</v>
      </c>
      <c r="C263" s="139">
        <v>308</v>
      </c>
      <c r="D263" s="139" t="s">
        <v>38</v>
      </c>
      <c r="E263" s="261">
        <v>2805</v>
      </c>
      <c r="F263" s="261">
        <v>1000</v>
      </c>
      <c r="G263" s="287" t="s">
        <v>570</v>
      </c>
      <c r="H263" s="261">
        <v>1805</v>
      </c>
      <c r="I263" s="152">
        <v>0</v>
      </c>
      <c r="J263" s="152">
        <v>0</v>
      </c>
      <c r="K263" s="152">
        <v>0</v>
      </c>
      <c r="L263" s="261">
        <v>1805</v>
      </c>
    </row>
    <row r="264" spans="1:12" x14ac:dyDescent="0.25">
      <c r="A264" s="140" t="s">
        <v>230</v>
      </c>
      <c r="B264" s="142" t="s">
        <v>210</v>
      </c>
      <c r="C264" s="139">
        <v>260</v>
      </c>
      <c r="D264" s="139" t="s">
        <v>38</v>
      </c>
      <c r="E264" s="261">
        <v>1283851</v>
      </c>
      <c r="F264" s="261">
        <v>736708</v>
      </c>
      <c r="G264" s="287" t="s">
        <v>570</v>
      </c>
      <c r="H264" s="261">
        <v>547143</v>
      </c>
      <c r="I264" s="152">
        <v>0</v>
      </c>
      <c r="J264" s="152">
        <v>0</v>
      </c>
      <c r="K264" s="152">
        <v>0</v>
      </c>
      <c r="L264" s="261">
        <v>547143</v>
      </c>
    </row>
    <row r="265" spans="1:12" ht="30.75" x14ac:dyDescent="0.25">
      <c r="A265" s="140" t="s">
        <v>231</v>
      </c>
      <c r="B265" s="142" t="s">
        <v>232</v>
      </c>
      <c r="C265" s="139">
        <v>367</v>
      </c>
      <c r="D265" s="139" t="s">
        <v>38</v>
      </c>
      <c r="E265" s="261">
        <v>147181</v>
      </c>
      <c r="F265" s="261">
        <v>133599</v>
      </c>
      <c r="G265" s="287" t="s">
        <v>570</v>
      </c>
      <c r="H265" s="261">
        <v>13582</v>
      </c>
      <c r="I265" s="152">
        <v>0</v>
      </c>
      <c r="J265" s="152">
        <v>0</v>
      </c>
      <c r="K265" s="152">
        <v>0</v>
      </c>
      <c r="L265" s="261">
        <v>13582</v>
      </c>
    </row>
    <row r="266" spans="1:12" ht="30.75" x14ac:dyDescent="0.25">
      <c r="A266" s="140" t="s">
        <v>244</v>
      </c>
      <c r="B266" s="142" t="s">
        <v>245</v>
      </c>
      <c r="C266" s="139">
        <v>346</v>
      </c>
      <c r="D266" s="139" t="s">
        <v>38</v>
      </c>
      <c r="E266" s="261">
        <v>5540</v>
      </c>
      <c r="F266" s="261">
        <v>1000</v>
      </c>
      <c r="G266" s="287" t="s">
        <v>570</v>
      </c>
      <c r="H266" s="261">
        <v>4540</v>
      </c>
      <c r="I266" s="152">
        <v>0</v>
      </c>
      <c r="J266" s="152">
        <v>0</v>
      </c>
      <c r="K266" s="152">
        <v>0</v>
      </c>
      <c r="L266" s="261">
        <v>4540</v>
      </c>
    </row>
    <row r="267" spans="1:12" ht="30.75" x14ac:dyDescent="0.25">
      <c r="A267" s="140" t="s">
        <v>233</v>
      </c>
      <c r="B267" s="142" t="s">
        <v>234</v>
      </c>
      <c r="C267" s="139">
        <v>351</v>
      </c>
      <c r="D267" s="139" t="s">
        <v>38</v>
      </c>
      <c r="E267" s="261">
        <v>31192</v>
      </c>
      <c r="F267" s="261">
        <v>6108</v>
      </c>
      <c r="G267" s="287" t="s">
        <v>570</v>
      </c>
      <c r="H267" s="261">
        <v>25084</v>
      </c>
      <c r="I267" s="152">
        <v>0</v>
      </c>
      <c r="J267" s="152">
        <v>0</v>
      </c>
      <c r="K267" s="152">
        <v>0</v>
      </c>
      <c r="L267" s="261">
        <v>25084</v>
      </c>
    </row>
    <row r="268" spans="1:12" x14ac:dyDescent="0.25">
      <c r="A268" s="140" t="s">
        <v>250</v>
      </c>
      <c r="B268" s="142" t="s">
        <v>251</v>
      </c>
      <c r="C268" s="139">
        <v>305</v>
      </c>
      <c r="D268" s="139" t="s">
        <v>53</v>
      </c>
      <c r="E268" s="261">
        <v>11320</v>
      </c>
      <c r="F268" s="261">
        <v>5205</v>
      </c>
      <c r="G268" s="287" t="s">
        <v>570</v>
      </c>
      <c r="H268" s="261">
        <v>6115</v>
      </c>
      <c r="I268" s="152">
        <v>0</v>
      </c>
      <c r="J268" s="152">
        <v>0</v>
      </c>
      <c r="K268" s="152">
        <v>0</v>
      </c>
      <c r="L268" s="261">
        <v>6115</v>
      </c>
    </row>
    <row r="269" spans="1:12" ht="30.75" x14ac:dyDescent="0.25">
      <c r="A269" s="140" t="s">
        <v>185</v>
      </c>
      <c r="B269" s="142" t="s">
        <v>186</v>
      </c>
      <c r="C269" s="139">
        <v>250</v>
      </c>
      <c r="D269" s="139" t="s">
        <v>53</v>
      </c>
      <c r="E269" s="261">
        <v>82157</v>
      </c>
      <c r="F269" s="261">
        <v>13627</v>
      </c>
      <c r="G269" s="287" t="s">
        <v>570</v>
      </c>
      <c r="H269" s="261">
        <v>68530</v>
      </c>
      <c r="I269" s="152">
        <v>0</v>
      </c>
      <c r="J269" s="152">
        <v>0</v>
      </c>
      <c r="K269" s="152">
        <v>0</v>
      </c>
      <c r="L269" s="261">
        <v>68530</v>
      </c>
    </row>
    <row r="270" spans="1:12" ht="45.75" x14ac:dyDescent="0.25">
      <c r="A270" s="140" t="s">
        <v>187</v>
      </c>
      <c r="B270" s="142" t="s">
        <v>188</v>
      </c>
      <c r="C270" s="139">
        <v>369</v>
      </c>
      <c r="D270" s="139" t="s">
        <v>53</v>
      </c>
      <c r="E270" s="261">
        <v>66380580</v>
      </c>
      <c r="F270" s="261">
        <v>65815255</v>
      </c>
      <c r="G270" s="287" t="s">
        <v>570</v>
      </c>
      <c r="H270" s="261">
        <v>565325</v>
      </c>
      <c r="I270" s="152">
        <v>0</v>
      </c>
      <c r="J270" s="152">
        <v>0</v>
      </c>
      <c r="K270" s="152">
        <v>0</v>
      </c>
      <c r="L270" s="261">
        <v>565325</v>
      </c>
    </row>
    <row r="271" spans="1:12" ht="30.75" x14ac:dyDescent="0.25">
      <c r="A271" s="140" t="s">
        <v>264</v>
      </c>
      <c r="B271" s="142" t="s">
        <v>64</v>
      </c>
      <c r="C271" s="139">
        <v>354</v>
      </c>
      <c r="D271" s="139" t="s">
        <v>53</v>
      </c>
      <c r="E271" s="261">
        <v>160491</v>
      </c>
      <c r="F271" s="261">
        <v>80368</v>
      </c>
      <c r="G271" s="287" t="s">
        <v>570</v>
      </c>
      <c r="H271" s="261">
        <v>80123</v>
      </c>
      <c r="I271" s="152">
        <v>0</v>
      </c>
      <c r="J271" s="152">
        <v>0</v>
      </c>
      <c r="K271" s="152">
        <v>0</v>
      </c>
      <c r="L271" s="261">
        <v>80123</v>
      </c>
    </row>
    <row r="272" spans="1:12" ht="30.75" x14ac:dyDescent="0.25">
      <c r="A272" s="140" t="s">
        <v>265</v>
      </c>
      <c r="B272" s="142" t="s">
        <v>266</v>
      </c>
      <c r="C272" s="139">
        <v>286</v>
      </c>
      <c r="D272" s="139" t="s">
        <v>53</v>
      </c>
      <c r="E272" s="261">
        <v>3934</v>
      </c>
      <c r="F272" s="261">
        <v>1000</v>
      </c>
      <c r="G272" s="287" t="s">
        <v>570</v>
      </c>
      <c r="H272" s="261">
        <v>2934</v>
      </c>
      <c r="I272" s="152">
        <v>0</v>
      </c>
      <c r="J272" s="152">
        <v>0</v>
      </c>
      <c r="K272" s="152">
        <v>0</v>
      </c>
      <c r="L272" s="261">
        <v>2934</v>
      </c>
    </row>
    <row r="273" spans="1:12" ht="30.75" x14ac:dyDescent="0.25">
      <c r="A273" s="140" t="s">
        <v>189</v>
      </c>
      <c r="B273" s="142" t="s">
        <v>190</v>
      </c>
      <c r="C273" s="139">
        <v>172</v>
      </c>
      <c r="D273" s="139" t="s">
        <v>53</v>
      </c>
      <c r="E273" s="261">
        <v>39521</v>
      </c>
      <c r="F273" s="261">
        <v>18266</v>
      </c>
      <c r="G273" s="287" t="s">
        <v>570</v>
      </c>
      <c r="H273" s="261">
        <v>21255</v>
      </c>
      <c r="I273" s="152">
        <v>0</v>
      </c>
      <c r="J273" s="152">
        <v>0</v>
      </c>
      <c r="K273" s="152">
        <v>0</v>
      </c>
      <c r="L273" s="261">
        <v>21255</v>
      </c>
    </row>
    <row r="274" spans="1:12" x14ac:dyDescent="0.25">
      <c r="A274" s="140" t="s">
        <v>246</v>
      </c>
      <c r="B274" s="142" t="s">
        <v>247</v>
      </c>
      <c r="C274" s="139">
        <v>278</v>
      </c>
      <c r="D274" s="139" t="s">
        <v>53</v>
      </c>
      <c r="E274" s="261">
        <v>68418</v>
      </c>
      <c r="F274" s="261">
        <v>5575</v>
      </c>
      <c r="G274" s="287" t="s">
        <v>570</v>
      </c>
      <c r="H274" s="261">
        <v>62843</v>
      </c>
      <c r="I274" s="152">
        <v>0</v>
      </c>
      <c r="J274" s="152">
        <v>0</v>
      </c>
      <c r="K274" s="152">
        <v>0</v>
      </c>
      <c r="L274" s="261">
        <v>62843</v>
      </c>
    </row>
    <row r="275" spans="1:12" x14ac:dyDescent="0.25">
      <c r="A275" s="140" t="s">
        <v>267</v>
      </c>
      <c r="B275" s="142" t="s">
        <v>268</v>
      </c>
      <c r="C275" s="139">
        <v>337</v>
      </c>
      <c r="D275" s="139" t="s">
        <v>53</v>
      </c>
      <c r="E275" s="261">
        <v>56740</v>
      </c>
      <c r="F275" s="261">
        <v>55085</v>
      </c>
      <c r="G275" s="287" t="s">
        <v>570</v>
      </c>
      <c r="H275" s="261">
        <v>1655</v>
      </c>
      <c r="I275" s="152">
        <v>0</v>
      </c>
      <c r="J275" s="152">
        <v>0</v>
      </c>
      <c r="K275" s="152">
        <v>0</v>
      </c>
      <c r="L275" s="261">
        <v>1655</v>
      </c>
    </row>
    <row r="276" spans="1:12" ht="30.75" x14ac:dyDescent="0.25">
      <c r="A276" s="140" t="s">
        <v>191</v>
      </c>
      <c r="B276" s="142" t="s">
        <v>192</v>
      </c>
      <c r="C276" s="139">
        <v>11</v>
      </c>
      <c r="D276" s="139" t="s">
        <v>53</v>
      </c>
      <c r="E276" s="261">
        <v>2001920</v>
      </c>
      <c r="F276" s="261">
        <v>1183130</v>
      </c>
      <c r="G276" s="287" t="s">
        <v>570</v>
      </c>
      <c r="H276" s="261">
        <v>818790</v>
      </c>
      <c r="I276" s="152">
        <v>0</v>
      </c>
      <c r="J276" s="152">
        <v>0</v>
      </c>
      <c r="K276" s="152">
        <v>0</v>
      </c>
      <c r="L276" s="261">
        <v>818790</v>
      </c>
    </row>
    <row r="277" spans="1:12" ht="30.75" x14ac:dyDescent="0.25">
      <c r="A277" s="140" t="s">
        <v>193</v>
      </c>
      <c r="B277" s="142" t="s">
        <v>194</v>
      </c>
      <c r="C277" s="139">
        <v>313</v>
      </c>
      <c r="D277" s="139" t="s">
        <v>53</v>
      </c>
      <c r="E277" s="261">
        <v>255446</v>
      </c>
      <c r="F277" s="261">
        <v>89237</v>
      </c>
      <c r="G277" s="287" t="s">
        <v>570</v>
      </c>
      <c r="H277" s="261">
        <v>166209</v>
      </c>
      <c r="I277" s="152">
        <v>0</v>
      </c>
      <c r="J277" s="152">
        <v>0</v>
      </c>
      <c r="K277" s="152">
        <v>0</v>
      </c>
      <c r="L277" s="261">
        <v>166209</v>
      </c>
    </row>
    <row r="278" spans="1:12" ht="30.75" x14ac:dyDescent="0.25">
      <c r="A278" s="140" t="s">
        <v>195</v>
      </c>
      <c r="B278" s="142" t="s">
        <v>196</v>
      </c>
      <c r="C278" s="139">
        <v>330</v>
      </c>
      <c r="D278" s="139" t="s">
        <v>53</v>
      </c>
      <c r="E278" s="261">
        <v>220093</v>
      </c>
      <c r="F278" s="261">
        <v>90234</v>
      </c>
      <c r="G278" s="287" t="s">
        <v>570</v>
      </c>
      <c r="H278" s="261">
        <v>129859</v>
      </c>
      <c r="I278" s="152">
        <v>0</v>
      </c>
      <c r="J278" s="152">
        <v>0</v>
      </c>
      <c r="K278" s="152">
        <v>0</v>
      </c>
      <c r="L278" s="261">
        <v>129859</v>
      </c>
    </row>
    <row r="279" spans="1:12" ht="45.75" x14ac:dyDescent="0.25">
      <c r="A279" s="140" t="s">
        <v>197</v>
      </c>
      <c r="B279" s="142" t="s">
        <v>198</v>
      </c>
      <c r="C279" s="139">
        <v>272</v>
      </c>
      <c r="D279" s="139" t="s">
        <v>53</v>
      </c>
      <c r="E279" s="261">
        <v>310676</v>
      </c>
      <c r="F279" s="261">
        <v>107194</v>
      </c>
      <c r="G279" s="287" t="s">
        <v>570</v>
      </c>
      <c r="H279" s="261">
        <v>203482</v>
      </c>
      <c r="I279" s="152">
        <v>0</v>
      </c>
      <c r="J279" s="152">
        <v>0</v>
      </c>
      <c r="K279" s="152">
        <v>0</v>
      </c>
      <c r="L279" s="261">
        <v>203482</v>
      </c>
    </row>
    <row r="280" spans="1:12" ht="45.75" x14ac:dyDescent="0.25">
      <c r="A280" s="140" t="s">
        <v>199</v>
      </c>
      <c r="B280" s="142" t="s">
        <v>200</v>
      </c>
      <c r="C280" s="139">
        <v>276</v>
      </c>
      <c r="D280" s="139" t="s">
        <v>53</v>
      </c>
      <c r="E280" s="261">
        <v>98097</v>
      </c>
      <c r="F280" s="261">
        <v>5803</v>
      </c>
      <c r="G280" s="287" t="s">
        <v>570</v>
      </c>
      <c r="H280" s="261">
        <v>92294</v>
      </c>
      <c r="I280" s="152">
        <v>0</v>
      </c>
      <c r="J280" s="152">
        <v>0</v>
      </c>
      <c r="K280" s="152">
        <v>0</v>
      </c>
      <c r="L280" s="261">
        <v>92294</v>
      </c>
    </row>
    <row r="281" spans="1:12" ht="90.75" x14ac:dyDescent="0.25">
      <c r="A281" s="140" t="s">
        <v>201</v>
      </c>
      <c r="B281" s="142" t="s">
        <v>202</v>
      </c>
      <c r="C281" s="139">
        <v>292</v>
      </c>
      <c r="D281" s="139" t="s">
        <v>53</v>
      </c>
      <c r="E281" s="261">
        <v>605343</v>
      </c>
      <c r="F281" s="261">
        <v>154725</v>
      </c>
      <c r="G281" s="287" t="s">
        <v>570</v>
      </c>
      <c r="H281" s="261">
        <v>450618</v>
      </c>
      <c r="I281" s="152">
        <v>0</v>
      </c>
      <c r="J281" s="152">
        <v>0</v>
      </c>
      <c r="K281" s="152">
        <v>0</v>
      </c>
      <c r="L281" s="261">
        <v>450618</v>
      </c>
    </row>
    <row r="282" spans="1:12" ht="30.75" x14ac:dyDescent="0.25">
      <c r="A282" s="140" t="s">
        <v>203</v>
      </c>
      <c r="B282" s="142" t="s">
        <v>204</v>
      </c>
      <c r="C282" s="139">
        <v>209</v>
      </c>
      <c r="D282" s="139" t="s">
        <v>53</v>
      </c>
      <c r="E282" s="261">
        <v>100210</v>
      </c>
      <c r="F282" s="261">
        <v>1000</v>
      </c>
      <c r="G282" s="287" t="s">
        <v>570</v>
      </c>
      <c r="H282" s="261">
        <v>99210</v>
      </c>
      <c r="I282" s="152">
        <v>0</v>
      </c>
      <c r="J282" s="152">
        <v>0</v>
      </c>
      <c r="K282" s="152">
        <v>0</v>
      </c>
      <c r="L282" s="261">
        <v>99210</v>
      </c>
    </row>
    <row r="283" spans="1:12" x14ac:dyDescent="0.25">
      <c r="A283" s="140" t="s">
        <v>205</v>
      </c>
      <c r="B283" s="142" t="s">
        <v>206</v>
      </c>
      <c r="C283" s="139">
        <v>183</v>
      </c>
      <c r="D283" s="139" t="s">
        <v>53</v>
      </c>
      <c r="E283" s="261">
        <v>24654</v>
      </c>
      <c r="F283" s="261">
        <v>6249</v>
      </c>
      <c r="G283" s="287" t="s">
        <v>570</v>
      </c>
      <c r="H283" s="261">
        <v>18405</v>
      </c>
      <c r="I283" s="152">
        <v>0</v>
      </c>
      <c r="J283" s="152">
        <v>0</v>
      </c>
      <c r="K283" s="152">
        <v>0</v>
      </c>
      <c r="L283" s="261">
        <v>18405</v>
      </c>
    </row>
    <row r="284" spans="1:12" x14ac:dyDescent="0.25">
      <c r="A284" s="140" t="s">
        <v>237</v>
      </c>
      <c r="B284" s="142" t="s">
        <v>238</v>
      </c>
      <c r="C284" s="139">
        <v>251</v>
      </c>
      <c r="D284" s="139" t="s">
        <v>53</v>
      </c>
      <c r="E284" s="261">
        <v>33464</v>
      </c>
      <c r="F284" s="261">
        <v>8855</v>
      </c>
      <c r="G284" s="287" t="s">
        <v>570</v>
      </c>
      <c r="H284" s="261">
        <v>24609</v>
      </c>
      <c r="I284" s="152">
        <v>0</v>
      </c>
      <c r="J284" s="152">
        <v>0</v>
      </c>
      <c r="K284" s="152">
        <v>0</v>
      </c>
      <c r="L284" s="261">
        <v>24609</v>
      </c>
    </row>
    <row r="285" spans="1:12" ht="30.75" x14ac:dyDescent="0.25">
      <c r="A285" s="140" t="s">
        <v>254</v>
      </c>
      <c r="B285" s="142" t="s">
        <v>196</v>
      </c>
      <c r="C285" s="139">
        <v>91</v>
      </c>
      <c r="D285" s="139" t="s">
        <v>53</v>
      </c>
      <c r="E285" s="261">
        <v>2373</v>
      </c>
      <c r="F285" s="261">
        <v>1275</v>
      </c>
      <c r="G285" s="287" t="s">
        <v>570</v>
      </c>
      <c r="H285" s="261">
        <v>1098</v>
      </c>
      <c r="I285" s="152">
        <v>0</v>
      </c>
      <c r="J285" s="152">
        <v>0</v>
      </c>
      <c r="K285" s="152">
        <v>0</v>
      </c>
      <c r="L285" s="261">
        <v>1098</v>
      </c>
    </row>
    <row r="286" spans="1:12" x14ac:dyDescent="0.25">
      <c r="A286" s="140" t="s">
        <v>207</v>
      </c>
      <c r="B286" s="142" t="s">
        <v>208</v>
      </c>
      <c r="C286" s="139">
        <v>192</v>
      </c>
      <c r="D286" s="139" t="s">
        <v>53</v>
      </c>
      <c r="E286" s="261">
        <v>38653</v>
      </c>
      <c r="F286" s="261">
        <v>12345</v>
      </c>
      <c r="G286" s="287" t="s">
        <v>570</v>
      </c>
      <c r="H286" s="261">
        <v>26308</v>
      </c>
      <c r="I286" s="152">
        <v>0</v>
      </c>
      <c r="J286" s="152">
        <v>0</v>
      </c>
      <c r="K286" s="152">
        <v>0</v>
      </c>
      <c r="L286" s="261">
        <v>26308</v>
      </c>
    </row>
    <row r="287" spans="1:12" ht="30.75" x14ac:dyDescent="0.25">
      <c r="A287" s="140" t="s">
        <v>209</v>
      </c>
      <c r="B287" s="142" t="s">
        <v>210</v>
      </c>
      <c r="C287" s="139">
        <v>297</v>
      </c>
      <c r="D287" s="139" t="s">
        <v>53</v>
      </c>
      <c r="E287" s="261">
        <v>12654809</v>
      </c>
      <c r="F287" s="261">
        <v>3552077</v>
      </c>
      <c r="G287" s="287" t="s">
        <v>570</v>
      </c>
      <c r="H287" s="261">
        <v>9102732</v>
      </c>
      <c r="I287" s="152">
        <v>0</v>
      </c>
      <c r="J287" s="152">
        <v>0</v>
      </c>
      <c r="K287" s="152">
        <v>0</v>
      </c>
      <c r="L287" s="261">
        <v>9102732</v>
      </c>
    </row>
    <row r="288" spans="1:12" x14ac:dyDescent="0.25">
      <c r="A288" s="140" t="s">
        <v>211</v>
      </c>
      <c r="B288" s="142" t="s">
        <v>212</v>
      </c>
      <c r="C288" s="139">
        <v>166</v>
      </c>
      <c r="D288" s="139" t="s">
        <v>53</v>
      </c>
      <c r="E288" s="261">
        <v>659009</v>
      </c>
      <c r="F288" s="261">
        <v>215541</v>
      </c>
      <c r="G288" s="287" t="s">
        <v>570</v>
      </c>
      <c r="H288" s="261">
        <v>443468</v>
      </c>
      <c r="I288" s="152">
        <v>0</v>
      </c>
      <c r="J288" s="152">
        <v>0</v>
      </c>
      <c r="K288" s="152">
        <v>0</v>
      </c>
      <c r="L288" s="261">
        <v>443468</v>
      </c>
    </row>
    <row r="289" spans="1:12" x14ac:dyDescent="0.25">
      <c r="A289" s="140" t="s">
        <v>255</v>
      </c>
      <c r="B289" s="142" t="s">
        <v>256</v>
      </c>
      <c r="C289" s="139">
        <v>268</v>
      </c>
      <c r="D289" s="139" t="s">
        <v>53</v>
      </c>
      <c r="E289" s="261">
        <v>549337</v>
      </c>
      <c r="F289" s="261">
        <v>74880</v>
      </c>
      <c r="G289" s="287" t="s">
        <v>570</v>
      </c>
      <c r="H289" s="261">
        <v>474457</v>
      </c>
      <c r="I289" s="152">
        <v>0</v>
      </c>
      <c r="J289" s="152">
        <v>0</v>
      </c>
      <c r="K289" s="152">
        <v>0</v>
      </c>
      <c r="L289" s="261">
        <v>474457</v>
      </c>
    </row>
    <row r="290" spans="1:12" x14ac:dyDescent="0.25">
      <c r="A290" s="140" t="s">
        <v>213</v>
      </c>
      <c r="B290" s="142" t="s">
        <v>214</v>
      </c>
      <c r="C290" s="139">
        <v>32</v>
      </c>
      <c r="D290" s="139" t="s">
        <v>53</v>
      </c>
      <c r="E290" s="261">
        <v>266637</v>
      </c>
      <c r="F290" s="261">
        <v>137331</v>
      </c>
      <c r="G290" s="287" t="s">
        <v>570</v>
      </c>
      <c r="H290" s="261">
        <v>129306</v>
      </c>
      <c r="I290" s="152">
        <v>0</v>
      </c>
      <c r="J290" s="152">
        <v>0</v>
      </c>
      <c r="K290" s="152">
        <v>0</v>
      </c>
      <c r="L290" s="261">
        <v>129306</v>
      </c>
    </row>
    <row r="291" spans="1:12" ht="30.75" x14ac:dyDescent="0.25">
      <c r="A291" s="140" t="s">
        <v>215</v>
      </c>
      <c r="B291" s="142" t="s">
        <v>216</v>
      </c>
      <c r="C291" s="139">
        <v>368</v>
      </c>
      <c r="D291" s="139" t="s">
        <v>53</v>
      </c>
      <c r="E291" s="261">
        <v>237345</v>
      </c>
      <c r="F291" s="261">
        <v>139031</v>
      </c>
      <c r="G291" s="287" t="s">
        <v>570</v>
      </c>
      <c r="H291" s="261">
        <v>98314</v>
      </c>
      <c r="I291" s="152">
        <v>0</v>
      </c>
      <c r="J291" s="152">
        <v>0</v>
      </c>
      <c r="K291" s="152">
        <v>0</v>
      </c>
      <c r="L291" s="261">
        <v>98314</v>
      </c>
    </row>
    <row r="292" spans="1:12" x14ac:dyDescent="0.25">
      <c r="A292" s="140" t="s">
        <v>217</v>
      </c>
      <c r="B292" s="142" t="s">
        <v>218</v>
      </c>
      <c r="C292" s="139">
        <v>357</v>
      </c>
      <c r="D292" s="139" t="s">
        <v>53</v>
      </c>
      <c r="E292" s="261">
        <v>1199049</v>
      </c>
      <c r="F292" s="261">
        <v>971288</v>
      </c>
      <c r="G292" s="287" t="s">
        <v>570</v>
      </c>
      <c r="H292" s="261">
        <v>227761</v>
      </c>
      <c r="I292" s="152">
        <v>0</v>
      </c>
      <c r="J292" s="152">
        <v>0</v>
      </c>
      <c r="K292" s="152">
        <v>0</v>
      </c>
      <c r="L292" s="261">
        <v>227761</v>
      </c>
    </row>
    <row r="293" spans="1:12" x14ac:dyDescent="0.25">
      <c r="A293" s="140" t="s">
        <v>257</v>
      </c>
      <c r="B293" s="142" t="s">
        <v>258</v>
      </c>
      <c r="C293" s="139">
        <v>148</v>
      </c>
      <c r="D293" s="139" t="s">
        <v>53</v>
      </c>
      <c r="E293" s="261">
        <v>5963</v>
      </c>
      <c r="F293" s="261">
        <v>2158</v>
      </c>
      <c r="G293" s="287" t="s">
        <v>570</v>
      </c>
      <c r="H293" s="261">
        <v>3805</v>
      </c>
      <c r="I293" s="152">
        <v>0</v>
      </c>
      <c r="J293" s="152">
        <v>0</v>
      </c>
      <c r="K293" s="152">
        <v>0</v>
      </c>
      <c r="L293" s="261">
        <v>3805</v>
      </c>
    </row>
    <row r="294" spans="1:12" x14ac:dyDescent="0.25">
      <c r="A294" s="140" t="s">
        <v>219</v>
      </c>
      <c r="B294" s="142" t="s">
        <v>220</v>
      </c>
      <c r="C294" s="139">
        <v>153</v>
      </c>
      <c r="D294" s="139" t="s">
        <v>53</v>
      </c>
      <c r="E294" s="261">
        <v>140532</v>
      </c>
      <c r="F294" s="261">
        <v>62155</v>
      </c>
      <c r="G294" s="287" t="s">
        <v>570</v>
      </c>
      <c r="H294" s="261">
        <v>78377</v>
      </c>
      <c r="I294" s="152">
        <v>0</v>
      </c>
      <c r="J294" s="152">
        <v>0</v>
      </c>
      <c r="K294" s="152">
        <v>0</v>
      </c>
      <c r="L294" s="261">
        <v>78377</v>
      </c>
    </row>
    <row r="295" spans="1:12" x14ac:dyDescent="0.25">
      <c r="A295" s="140" t="s">
        <v>239</v>
      </c>
      <c r="B295" s="142" t="s">
        <v>240</v>
      </c>
      <c r="C295" s="139">
        <v>155</v>
      </c>
      <c r="D295" s="139" t="s">
        <v>53</v>
      </c>
      <c r="E295" s="261">
        <v>247195</v>
      </c>
      <c r="F295" s="261">
        <v>2026</v>
      </c>
      <c r="G295" s="287" t="s">
        <v>570</v>
      </c>
      <c r="H295" s="261">
        <v>245169</v>
      </c>
      <c r="I295" s="152">
        <v>0</v>
      </c>
      <c r="J295" s="152">
        <v>0</v>
      </c>
      <c r="K295" s="152">
        <v>0</v>
      </c>
      <c r="L295" s="261">
        <v>245169</v>
      </c>
    </row>
    <row r="296" spans="1:12" x14ac:dyDescent="0.25">
      <c r="A296" s="140" t="s">
        <v>221</v>
      </c>
      <c r="B296" s="142" t="s">
        <v>210</v>
      </c>
      <c r="C296" s="139">
        <v>48</v>
      </c>
      <c r="D296" s="139" t="s">
        <v>53</v>
      </c>
      <c r="E296" s="261">
        <v>1841459</v>
      </c>
      <c r="F296" s="261">
        <v>1214783</v>
      </c>
      <c r="G296" s="287" t="s">
        <v>570</v>
      </c>
      <c r="H296" s="261">
        <v>626676</v>
      </c>
      <c r="I296" s="152">
        <v>0</v>
      </c>
      <c r="J296" s="152">
        <v>0</v>
      </c>
      <c r="K296" s="152">
        <v>0</v>
      </c>
      <c r="L296" s="261">
        <v>626676</v>
      </c>
    </row>
    <row r="297" spans="1:12" x14ac:dyDescent="0.25">
      <c r="A297" s="140" t="s">
        <v>222</v>
      </c>
      <c r="B297" s="142" t="s">
        <v>223</v>
      </c>
      <c r="C297" s="139">
        <v>350</v>
      </c>
      <c r="D297" s="139" t="s">
        <v>53</v>
      </c>
      <c r="E297" s="261">
        <v>139137</v>
      </c>
      <c r="F297" s="261">
        <v>54044</v>
      </c>
      <c r="G297" s="287" t="s">
        <v>570</v>
      </c>
      <c r="H297" s="261">
        <v>85093</v>
      </c>
      <c r="I297" s="152">
        <v>0</v>
      </c>
      <c r="J297" s="152">
        <v>0</v>
      </c>
      <c r="K297" s="152">
        <v>0</v>
      </c>
      <c r="L297" s="261">
        <v>85093</v>
      </c>
    </row>
    <row r="298" spans="1:12" x14ac:dyDescent="0.25">
      <c r="A298" s="140" t="s">
        <v>241</v>
      </c>
      <c r="B298" s="142" t="s">
        <v>242</v>
      </c>
      <c r="C298" s="139">
        <v>173</v>
      </c>
      <c r="D298" s="139" t="s">
        <v>53</v>
      </c>
      <c r="E298" s="261">
        <v>76582</v>
      </c>
      <c r="F298" s="261">
        <v>41508</v>
      </c>
      <c r="G298" s="287" t="s">
        <v>570</v>
      </c>
      <c r="H298" s="261">
        <v>35074</v>
      </c>
      <c r="I298" s="152">
        <v>0</v>
      </c>
      <c r="J298" s="152">
        <v>0</v>
      </c>
      <c r="K298" s="152">
        <v>0</v>
      </c>
      <c r="L298" s="261">
        <v>35074</v>
      </c>
    </row>
    <row r="299" spans="1:12" ht="45.75" x14ac:dyDescent="0.25">
      <c r="A299" s="140" t="s">
        <v>248</v>
      </c>
      <c r="B299" s="142" t="s">
        <v>249</v>
      </c>
      <c r="C299" s="139">
        <v>261</v>
      </c>
      <c r="D299" s="139" t="s">
        <v>53</v>
      </c>
      <c r="E299" s="261">
        <v>43542</v>
      </c>
      <c r="F299" s="261">
        <v>22564</v>
      </c>
      <c r="G299" s="287" t="s">
        <v>570</v>
      </c>
      <c r="H299" s="261">
        <v>20978</v>
      </c>
      <c r="I299" s="152">
        <v>0</v>
      </c>
      <c r="J299" s="152">
        <v>0</v>
      </c>
      <c r="K299" s="152">
        <v>0</v>
      </c>
      <c r="L299" s="261">
        <v>20978</v>
      </c>
    </row>
    <row r="300" spans="1:12" x14ac:dyDescent="0.25">
      <c r="A300" s="140" t="s">
        <v>243</v>
      </c>
      <c r="B300" s="142" t="s">
        <v>229</v>
      </c>
      <c r="C300" s="139">
        <v>244</v>
      </c>
      <c r="D300" s="139" t="s">
        <v>53</v>
      </c>
      <c r="E300" s="261">
        <v>132122</v>
      </c>
      <c r="F300" s="261">
        <v>74816</v>
      </c>
      <c r="G300" s="287" t="s">
        <v>570</v>
      </c>
      <c r="H300" s="261">
        <v>57306</v>
      </c>
      <c r="I300" s="152">
        <v>0</v>
      </c>
      <c r="J300" s="152">
        <v>0</v>
      </c>
      <c r="K300" s="152">
        <v>0</v>
      </c>
      <c r="L300" s="261">
        <v>57306</v>
      </c>
    </row>
    <row r="301" spans="1:12" x14ac:dyDescent="0.25">
      <c r="A301" s="140" t="s">
        <v>259</v>
      </c>
      <c r="B301" s="142" t="s">
        <v>210</v>
      </c>
      <c r="C301" s="139">
        <v>280</v>
      </c>
      <c r="D301" s="139" t="s">
        <v>53</v>
      </c>
      <c r="E301" s="261">
        <v>5931</v>
      </c>
      <c r="F301" s="261">
        <v>1000</v>
      </c>
      <c r="G301" s="287" t="s">
        <v>570</v>
      </c>
      <c r="H301" s="261">
        <v>4931</v>
      </c>
      <c r="I301" s="152">
        <v>0</v>
      </c>
      <c r="J301" s="152">
        <v>0</v>
      </c>
      <c r="K301" s="152">
        <v>0</v>
      </c>
      <c r="L301" s="261">
        <v>4931</v>
      </c>
    </row>
    <row r="302" spans="1:12" x14ac:dyDescent="0.25">
      <c r="A302" s="140" t="s">
        <v>269</v>
      </c>
      <c r="B302" s="142" t="s">
        <v>270</v>
      </c>
      <c r="C302" s="139">
        <v>362</v>
      </c>
      <c r="D302" s="139" t="s">
        <v>53</v>
      </c>
      <c r="E302" s="261">
        <v>55547</v>
      </c>
      <c r="F302" s="261">
        <v>49268</v>
      </c>
      <c r="G302" s="287" t="s">
        <v>570</v>
      </c>
      <c r="H302" s="261">
        <v>6279</v>
      </c>
      <c r="I302" s="152">
        <v>0</v>
      </c>
      <c r="J302" s="152">
        <v>0</v>
      </c>
      <c r="K302" s="152">
        <v>0</v>
      </c>
      <c r="L302" s="261">
        <v>6279</v>
      </c>
    </row>
    <row r="303" spans="1:12" x14ac:dyDescent="0.25">
      <c r="A303" s="140" t="s">
        <v>226</v>
      </c>
      <c r="B303" s="142" t="s">
        <v>227</v>
      </c>
      <c r="C303" s="139">
        <v>171</v>
      </c>
      <c r="D303" s="139" t="s">
        <v>53</v>
      </c>
      <c r="E303" s="261">
        <v>159068</v>
      </c>
      <c r="F303" s="261">
        <v>55602</v>
      </c>
      <c r="G303" s="287" t="s">
        <v>570</v>
      </c>
      <c r="H303" s="261">
        <v>103466</v>
      </c>
      <c r="I303" s="152">
        <v>0</v>
      </c>
      <c r="J303" s="152">
        <v>0</v>
      </c>
      <c r="K303" s="152">
        <v>0</v>
      </c>
      <c r="L303" s="261">
        <v>103466</v>
      </c>
    </row>
    <row r="304" spans="1:12" ht="45.75" x14ac:dyDescent="0.25">
      <c r="A304" s="140" t="s">
        <v>228</v>
      </c>
      <c r="B304" s="142" t="s">
        <v>229</v>
      </c>
      <c r="C304" s="139">
        <v>258</v>
      </c>
      <c r="D304" s="139" t="s">
        <v>53</v>
      </c>
      <c r="E304" s="261">
        <v>478898</v>
      </c>
      <c r="F304" s="261">
        <v>117893</v>
      </c>
      <c r="G304" s="287" t="s">
        <v>570</v>
      </c>
      <c r="H304" s="261">
        <v>361005</v>
      </c>
      <c r="I304" s="152">
        <v>0</v>
      </c>
      <c r="J304" s="152">
        <v>0</v>
      </c>
      <c r="K304" s="152">
        <v>0</v>
      </c>
      <c r="L304" s="261">
        <v>361005</v>
      </c>
    </row>
    <row r="305" spans="1:12" x14ac:dyDescent="0.25">
      <c r="A305" s="140" t="s">
        <v>260</v>
      </c>
      <c r="B305" s="142" t="s">
        <v>261</v>
      </c>
      <c r="C305" s="139">
        <v>228</v>
      </c>
      <c r="D305" s="139" t="s">
        <v>53</v>
      </c>
      <c r="E305" s="261">
        <v>51918</v>
      </c>
      <c r="F305" s="261">
        <v>1000</v>
      </c>
      <c r="G305" s="287" t="s">
        <v>570</v>
      </c>
      <c r="H305" s="261">
        <v>50918</v>
      </c>
      <c r="I305" s="152">
        <v>0</v>
      </c>
      <c r="J305" s="152">
        <v>0</v>
      </c>
      <c r="K305" s="152">
        <v>0</v>
      </c>
      <c r="L305" s="261">
        <v>50918</v>
      </c>
    </row>
    <row r="306" spans="1:12" x14ac:dyDescent="0.25">
      <c r="A306" s="140" t="s">
        <v>262</v>
      </c>
      <c r="B306" s="142" t="s">
        <v>263</v>
      </c>
      <c r="C306" s="139">
        <v>308</v>
      </c>
      <c r="D306" s="139" t="s">
        <v>53</v>
      </c>
      <c r="E306" s="261">
        <v>1359</v>
      </c>
      <c r="F306" s="261">
        <v>1000</v>
      </c>
      <c r="G306" s="287" t="s">
        <v>570</v>
      </c>
      <c r="H306" s="261">
        <v>359</v>
      </c>
      <c r="I306" s="152">
        <v>0</v>
      </c>
      <c r="J306" s="152">
        <v>0</v>
      </c>
      <c r="K306" s="152">
        <v>0</v>
      </c>
      <c r="L306" s="261">
        <v>359</v>
      </c>
    </row>
    <row r="307" spans="1:12" x14ac:dyDescent="0.25">
      <c r="A307" s="140" t="s">
        <v>230</v>
      </c>
      <c r="B307" s="142" t="s">
        <v>210</v>
      </c>
      <c r="C307" s="139">
        <v>260</v>
      </c>
      <c r="D307" s="139" t="s">
        <v>53</v>
      </c>
      <c r="E307" s="261">
        <v>1213813</v>
      </c>
      <c r="F307" s="261">
        <v>664042</v>
      </c>
      <c r="G307" s="287" t="s">
        <v>570</v>
      </c>
      <c r="H307" s="261">
        <v>549771</v>
      </c>
      <c r="I307" s="152">
        <v>0</v>
      </c>
      <c r="J307" s="152">
        <v>0</v>
      </c>
      <c r="K307" s="152">
        <v>0</v>
      </c>
      <c r="L307" s="261">
        <v>549771</v>
      </c>
    </row>
    <row r="308" spans="1:12" ht="30.75" x14ac:dyDescent="0.25">
      <c r="A308" s="140" t="s">
        <v>244</v>
      </c>
      <c r="B308" s="142" t="s">
        <v>245</v>
      </c>
      <c r="C308" s="139">
        <v>346</v>
      </c>
      <c r="D308" s="139" t="s">
        <v>53</v>
      </c>
      <c r="E308" s="261">
        <v>55556</v>
      </c>
      <c r="F308" s="261">
        <v>27581</v>
      </c>
      <c r="G308" s="287" t="s">
        <v>570</v>
      </c>
      <c r="H308" s="261">
        <v>27975</v>
      </c>
      <c r="I308" s="152">
        <v>0</v>
      </c>
      <c r="J308" s="152">
        <v>0</v>
      </c>
      <c r="K308" s="152">
        <v>0</v>
      </c>
      <c r="L308" s="261">
        <v>27975</v>
      </c>
    </row>
    <row r="309" spans="1:12" ht="30.75" x14ac:dyDescent="0.25">
      <c r="A309" s="140" t="s">
        <v>233</v>
      </c>
      <c r="B309" s="142" t="s">
        <v>234</v>
      </c>
      <c r="C309" s="139">
        <v>351</v>
      </c>
      <c r="D309" s="139" t="s">
        <v>53</v>
      </c>
      <c r="E309" s="261">
        <v>141465</v>
      </c>
      <c r="F309" s="261">
        <v>72454</v>
      </c>
      <c r="G309" s="287" t="s">
        <v>570</v>
      </c>
      <c r="H309" s="261">
        <v>69011</v>
      </c>
      <c r="I309" s="152">
        <v>0</v>
      </c>
      <c r="J309" s="152">
        <v>0</v>
      </c>
      <c r="K309" s="152">
        <v>0</v>
      </c>
      <c r="L309" s="261">
        <v>69011</v>
      </c>
    </row>
    <row r="310" spans="1:12" x14ac:dyDescent="0.25">
      <c r="A310" s="140" t="s">
        <v>250</v>
      </c>
      <c r="B310" s="142" t="s">
        <v>251</v>
      </c>
      <c r="C310" s="139">
        <v>305</v>
      </c>
      <c r="D310" s="139" t="s">
        <v>54</v>
      </c>
      <c r="E310" s="261">
        <v>74278</v>
      </c>
      <c r="F310" s="261">
        <v>21976</v>
      </c>
      <c r="G310" s="287" t="s">
        <v>570</v>
      </c>
      <c r="H310" s="261">
        <v>52302</v>
      </c>
      <c r="I310" s="152">
        <v>0</v>
      </c>
      <c r="J310" s="152">
        <v>0</v>
      </c>
      <c r="K310" s="152">
        <v>0</v>
      </c>
      <c r="L310" s="261">
        <v>52302</v>
      </c>
    </row>
    <row r="311" spans="1:12" ht="30.75" x14ac:dyDescent="0.25">
      <c r="A311" s="140" t="s">
        <v>185</v>
      </c>
      <c r="B311" s="142" t="s">
        <v>186</v>
      </c>
      <c r="C311" s="139">
        <v>250</v>
      </c>
      <c r="D311" s="139" t="s">
        <v>54</v>
      </c>
      <c r="E311" s="261">
        <v>140238</v>
      </c>
      <c r="F311" s="261">
        <v>56175</v>
      </c>
      <c r="G311" s="287" t="s">
        <v>570</v>
      </c>
      <c r="H311" s="261">
        <v>84063</v>
      </c>
      <c r="I311" s="152">
        <v>0</v>
      </c>
      <c r="J311" s="152">
        <v>0</v>
      </c>
      <c r="K311" s="152">
        <v>0</v>
      </c>
      <c r="L311" s="261">
        <v>84063</v>
      </c>
    </row>
    <row r="312" spans="1:12" ht="30.75" x14ac:dyDescent="0.25">
      <c r="A312" s="140" t="s">
        <v>271</v>
      </c>
      <c r="B312" s="142" t="s">
        <v>272</v>
      </c>
      <c r="C312" s="139">
        <v>349</v>
      </c>
      <c r="D312" s="139" t="s">
        <v>54</v>
      </c>
      <c r="E312" s="261">
        <v>567515</v>
      </c>
      <c r="F312" s="261">
        <v>339292</v>
      </c>
      <c r="G312" s="287" t="s">
        <v>570</v>
      </c>
      <c r="H312" s="261">
        <v>228223</v>
      </c>
      <c r="I312" s="152">
        <v>0</v>
      </c>
      <c r="J312" s="152">
        <v>0</v>
      </c>
      <c r="K312" s="152">
        <v>0</v>
      </c>
      <c r="L312" s="261">
        <v>228223</v>
      </c>
    </row>
    <row r="313" spans="1:12" ht="30.75" x14ac:dyDescent="0.25">
      <c r="A313" s="140" t="s">
        <v>264</v>
      </c>
      <c r="B313" s="142" t="s">
        <v>64</v>
      </c>
      <c r="C313" s="139">
        <v>354</v>
      </c>
      <c r="D313" s="139" t="s">
        <v>54</v>
      </c>
      <c r="E313" s="261">
        <v>138826</v>
      </c>
      <c r="F313" s="261">
        <v>96195</v>
      </c>
      <c r="G313" s="287" t="s">
        <v>570</v>
      </c>
      <c r="H313" s="261">
        <v>42631</v>
      </c>
      <c r="I313" s="152">
        <v>0</v>
      </c>
      <c r="J313" s="152">
        <v>0</v>
      </c>
      <c r="K313" s="152">
        <v>0</v>
      </c>
      <c r="L313" s="261">
        <v>42631</v>
      </c>
    </row>
    <row r="314" spans="1:12" ht="30.75" x14ac:dyDescent="0.25">
      <c r="A314" s="140" t="s">
        <v>265</v>
      </c>
      <c r="B314" s="142" t="s">
        <v>266</v>
      </c>
      <c r="C314" s="139">
        <v>286</v>
      </c>
      <c r="D314" s="139" t="s">
        <v>54</v>
      </c>
      <c r="E314" s="261">
        <v>3927</v>
      </c>
      <c r="F314" s="261">
        <v>2888</v>
      </c>
      <c r="G314" s="287" t="s">
        <v>570</v>
      </c>
      <c r="H314" s="261">
        <v>1039</v>
      </c>
      <c r="I314" s="152">
        <v>0</v>
      </c>
      <c r="J314" s="152">
        <v>0</v>
      </c>
      <c r="K314" s="152">
        <v>0</v>
      </c>
      <c r="L314" s="261">
        <v>1039</v>
      </c>
    </row>
    <row r="315" spans="1:12" ht="30.75" x14ac:dyDescent="0.25">
      <c r="A315" s="140" t="s">
        <v>189</v>
      </c>
      <c r="B315" s="142" t="s">
        <v>190</v>
      </c>
      <c r="C315" s="139">
        <v>172</v>
      </c>
      <c r="D315" s="139" t="s">
        <v>54</v>
      </c>
      <c r="E315" s="261">
        <v>112635</v>
      </c>
      <c r="F315" s="261">
        <v>61328</v>
      </c>
      <c r="G315" s="287" t="s">
        <v>570</v>
      </c>
      <c r="H315" s="261">
        <v>51307</v>
      </c>
      <c r="I315" s="152">
        <v>0</v>
      </c>
      <c r="J315" s="152">
        <v>0</v>
      </c>
      <c r="K315" s="152">
        <v>0</v>
      </c>
      <c r="L315" s="261">
        <v>51307</v>
      </c>
    </row>
    <row r="316" spans="1:12" x14ac:dyDescent="0.25">
      <c r="A316" s="140" t="s">
        <v>246</v>
      </c>
      <c r="B316" s="142" t="s">
        <v>247</v>
      </c>
      <c r="C316" s="139">
        <v>278</v>
      </c>
      <c r="D316" s="139" t="s">
        <v>54</v>
      </c>
      <c r="E316" s="261">
        <v>125147</v>
      </c>
      <c r="F316" s="261">
        <v>88618</v>
      </c>
      <c r="G316" s="287" t="s">
        <v>570</v>
      </c>
      <c r="H316" s="261">
        <v>36529</v>
      </c>
      <c r="I316" s="152">
        <v>0</v>
      </c>
      <c r="J316" s="152">
        <v>0</v>
      </c>
      <c r="K316" s="152">
        <v>0</v>
      </c>
      <c r="L316" s="261">
        <v>36529</v>
      </c>
    </row>
    <row r="317" spans="1:12" x14ac:dyDescent="0.25">
      <c r="A317" s="140" t="s">
        <v>267</v>
      </c>
      <c r="B317" s="142" t="s">
        <v>268</v>
      </c>
      <c r="C317" s="139">
        <v>337</v>
      </c>
      <c r="D317" s="139" t="s">
        <v>54</v>
      </c>
      <c r="E317" s="261">
        <v>25128</v>
      </c>
      <c r="F317" s="261">
        <v>9606</v>
      </c>
      <c r="G317" s="287" t="s">
        <v>570</v>
      </c>
      <c r="H317" s="261">
        <v>15522</v>
      </c>
      <c r="I317" s="152">
        <v>0</v>
      </c>
      <c r="J317" s="152">
        <v>0</v>
      </c>
      <c r="K317" s="152">
        <v>0</v>
      </c>
      <c r="L317" s="261">
        <v>15522</v>
      </c>
    </row>
    <row r="318" spans="1:12" x14ac:dyDescent="0.25">
      <c r="A318" s="140" t="s">
        <v>252</v>
      </c>
      <c r="B318" s="142" t="s">
        <v>253</v>
      </c>
      <c r="C318" s="139">
        <v>309</v>
      </c>
      <c r="D318" s="139" t="s">
        <v>54</v>
      </c>
      <c r="E318" s="261">
        <v>1813</v>
      </c>
      <c r="F318" s="261">
        <v>1000</v>
      </c>
      <c r="G318" s="287" t="s">
        <v>570</v>
      </c>
      <c r="H318" s="261">
        <v>813</v>
      </c>
      <c r="I318" s="152">
        <v>0</v>
      </c>
      <c r="J318" s="152">
        <v>0</v>
      </c>
      <c r="K318" s="152">
        <v>0</v>
      </c>
      <c r="L318" s="261">
        <v>813</v>
      </c>
    </row>
    <row r="319" spans="1:12" ht="30.75" x14ac:dyDescent="0.25">
      <c r="A319" s="140" t="s">
        <v>191</v>
      </c>
      <c r="B319" s="142" t="s">
        <v>192</v>
      </c>
      <c r="C319" s="139">
        <v>11</v>
      </c>
      <c r="D319" s="139" t="s">
        <v>54</v>
      </c>
      <c r="E319" s="261">
        <v>3492266</v>
      </c>
      <c r="F319" s="261">
        <v>2246286</v>
      </c>
      <c r="G319" s="287" t="s">
        <v>570</v>
      </c>
      <c r="H319" s="261">
        <v>1245980</v>
      </c>
      <c r="I319" s="152">
        <v>0</v>
      </c>
      <c r="J319" s="152">
        <v>0</v>
      </c>
      <c r="K319" s="152">
        <v>0</v>
      </c>
      <c r="L319" s="261">
        <v>1245980</v>
      </c>
    </row>
    <row r="320" spans="1:12" ht="30.75" x14ac:dyDescent="0.25">
      <c r="A320" s="140" t="s">
        <v>193</v>
      </c>
      <c r="B320" s="142" t="s">
        <v>194</v>
      </c>
      <c r="C320" s="139">
        <v>313</v>
      </c>
      <c r="D320" s="139" t="s">
        <v>54</v>
      </c>
      <c r="E320" s="261">
        <v>632114</v>
      </c>
      <c r="F320" s="261">
        <v>302976</v>
      </c>
      <c r="G320" s="287" t="s">
        <v>570</v>
      </c>
      <c r="H320" s="261">
        <v>329138</v>
      </c>
      <c r="I320" s="152">
        <v>0</v>
      </c>
      <c r="J320" s="152">
        <v>0</v>
      </c>
      <c r="K320" s="152">
        <v>0</v>
      </c>
      <c r="L320" s="261">
        <v>329138</v>
      </c>
    </row>
    <row r="321" spans="1:12" ht="30.75" x14ac:dyDescent="0.25">
      <c r="A321" s="140" t="s">
        <v>195</v>
      </c>
      <c r="B321" s="142" t="s">
        <v>196</v>
      </c>
      <c r="C321" s="139">
        <v>330</v>
      </c>
      <c r="D321" s="139" t="s">
        <v>54</v>
      </c>
      <c r="E321" s="261">
        <v>791895</v>
      </c>
      <c r="F321" s="261">
        <v>385103</v>
      </c>
      <c r="G321" s="287" t="s">
        <v>570</v>
      </c>
      <c r="H321" s="261">
        <v>406792</v>
      </c>
      <c r="I321" s="152">
        <v>0</v>
      </c>
      <c r="J321" s="152">
        <v>0</v>
      </c>
      <c r="K321" s="152">
        <v>0</v>
      </c>
      <c r="L321" s="261">
        <v>406792</v>
      </c>
    </row>
    <row r="322" spans="1:12" ht="45.75" x14ac:dyDescent="0.25">
      <c r="A322" s="140" t="s">
        <v>197</v>
      </c>
      <c r="B322" s="142" t="s">
        <v>198</v>
      </c>
      <c r="C322" s="139">
        <v>272</v>
      </c>
      <c r="D322" s="139" t="s">
        <v>54</v>
      </c>
      <c r="E322" s="261">
        <v>994982</v>
      </c>
      <c r="F322" s="261">
        <v>714840</v>
      </c>
      <c r="G322" s="287" t="s">
        <v>570</v>
      </c>
      <c r="H322" s="261">
        <v>280142</v>
      </c>
      <c r="I322" s="152">
        <v>0</v>
      </c>
      <c r="J322" s="152">
        <v>0</v>
      </c>
      <c r="K322" s="152">
        <v>0</v>
      </c>
      <c r="L322" s="261">
        <v>280142</v>
      </c>
    </row>
    <row r="323" spans="1:12" ht="45.75" x14ac:dyDescent="0.25">
      <c r="A323" s="140" t="s">
        <v>199</v>
      </c>
      <c r="B323" s="142" t="s">
        <v>200</v>
      </c>
      <c r="C323" s="139">
        <v>276</v>
      </c>
      <c r="D323" s="139" t="s">
        <v>54</v>
      </c>
      <c r="E323" s="261">
        <v>107115</v>
      </c>
      <c r="F323" s="261">
        <v>46927</v>
      </c>
      <c r="G323" s="287" t="s">
        <v>570</v>
      </c>
      <c r="H323" s="261">
        <v>60188</v>
      </c>
      <c r="I323" s="152">
        <v>0</v>
      </c>
      <c r="J323" s="152">
        <v>0</v>
      </c>
      <c r="K323" s="152">
        <v>0</v>
      </c>
      <c r="L323" s="261">
        <v>60188</v>
      </c>
    </row>
    <row r="324" spans="1:12" ht="90.75" x14ac:dyDescent="0.25">
      <c r="A324" s="140" t="s">
        <v>201</v>
      </c>
      <c r="B324" s="142" t="s">
        <v>202</v>
      </c>
      <c r="C324" s="139">
        <v>292</v>
      </c>
      <c r="D324" s="139" t="s">
        <v>54</v>
      </c>
      <c r="E324" s="261">
        <v>1233342</v>
      </c>
      <c r="F324" s="261">
        <v>557867</v>
      </c>
      <c r="G324" s="287" t="s">
        <v>570</v>
      </c>
      <c r="H324" s="261">
        <v>675475</v>
      </c>
      <c r="I324" s="152">
        <v>0</v>
      </c>
      <c r="J324" s="152">
        <v>0</v>
      </c>
      <c r="K324" s="152">
        <v>0</v>
      </c>
      <c r="L324" s="261">
        <v>675475</v>
      </c>
    </row>
    <row r="325" spans="1:12" ht="30.75" x14ac:dyDescent="0.25">
      <c r="A325" s="140" t="s">
        <v>203</v>
      </c>
      <c r="B325" s="142" t="s">
        <v>204</v>
      </c>
      <c r="C325" s="139">
        <v>209</v>
      </c>
      <c r="D325" s="139" t="s">
        <v>54</v>
      </c>
      <c r="E325" s="261">
        <v>169611</v>
      </c>
      <c r="F325" s="261">
        <v>1000</v>
      </c>
      <c r="G325" s="287" t="s">
        <v>570</v>
      </c>
      <c r="H325" s="261">
        <v>168611</v>
      </c>
      <c r="I325" s="152">
        <v>0</v>
      </c>
      <c r="J325" s="152">
        <v>0</v>
      </c>
      <c r="K325" s="152">
        <v>0</v>
      </c>
      <c r="L325" s="261">
        <v>168611</v>
      </c>
    </row>
    <row r="326" spans="1:12" x14ac:dyDescent="0.25">
      <c r="A326" s="140" t="s">
        <v>205</v>
      </c>
      <c r="B326" s="142" t="s">
        <v>206</v>
      </c>
      <c r="C326" s="139">
        <v>183</v>
      </c>
      <c r="D326" s="139" t="s">
        <v>54</v>
      </c>
      <c r="E326" s="261">
        <v>85755</v>
      </c>
      <c r="F326" s="261">
        <v>48045</v>
      </c>
      <c r="G326" s="287" t="s">
        <v>570</v>
      </c>
      <c r="H326" s="261">
        <v>37710</v>
      </c>
      <c r="I326" s="152">
        <v>0</v>
      </c>
      <c r="J326" s="152">
        <v>0</v>
      </c>
      <c r="K326" s="152">
        <v>0</v>
      </c>
      <c r="L326" s="261">
        <v>37710</v>
      </c>
    </row>
    <row r="327" spans="1:12" x14ac:dyDescent="0.25">
      <c r="A327" s="140" t="s">
        <v>237</v>
      </c>
      <c r="B327" s="142" t="s">
        <v>238</v>
      </c>
      <c r="C327" s="139">
        <v>251</v>
      </c>
      <c r="D327" s="139" t="s">
        <v>54</v>
      </c>
      <c r="E327" s="261">
        <v>81057</v>
      </c>
      <c r="F327" s="261">
        <v>30477</v>
      </c>
      <c r="G327" s="287" t="s">
        <v>570</v>
      </c>
      <c r="H327" s="261">
        <v>50580</v>
      </c>
      <c r="I327" s="152">
        <v>0</v>
      </c>
      <c r="J327" s="152">
        <v>0</v>
      </c>
      <c r="K327" s="152">
        <v>0</v>
      </c>
      <c r="L327" s="261">
        <v>50580</v>
      </c>
    </row>
    <row r="328" spans="1:12" ht="30.75" x14ac:dyDescent="0.25">
      <c r="A328" s="140" t="s">
        <v>254</v>
      </c>
      <c r="B328" s="142" t="s">
        <v>196</v>
      </c>
      <c r="C328" s="139">
        <v>91</v>
      </c>
      <c r="D328" s="139" t="s">
        <v>54</v>
      </c>
      <c r="E328" s="261">
        <v>2506</v>
      </c>
      <c r="F328" s="261">
        <v>2074</v>
      </c>
      <c r="G328" s="287" t="s">
        <v>570</v>
      </c>
      <c r="H328" s="261">
        <v>432</v>
      </c>
      <c r="I328" s="152">
        <v>0</v>
      </c>
      <c r="J328" s="152">
        <v>0</v>
      </c>
      <c r="K328" s="152">
        <v>0</v>
      </c>
      <c r="L328" s="261">
        <v>432</v>
      </c>
    </row>
    <row r="329" spans="1:12" x14ac:dyDescent="0.25">
      <c r="A329" s="140" t="s">
        <v>207</v>
      </c>
      <c r="B329" s="142" t="s">
        <v>208</v>
      </c>
      <c r="C329" s="139">
        <v>192</v>
      </c>
      <c r="D329" s="139" t="s">
        <v>54</v>
      </c>
      <c r="E329" s="261">
        <v>81021</v>
      </c>
      <c r="F329" s="261">
        <v>44621</v>
      </c>
      <c r="G329" s="287" t="s">
        <v>570</v>
      </c>
      <c r="H329" s="261">
        <v>36400</v>
      </c>
      <c r="I329" s="152">
        <v>0</v>
      </c>
      <c r="J329" s="152">
        <v>0</v>
      </c>
      <c r="K329" s="152">
        <v>0</v>
      </c>
      <c r="L329" s="261">
        <v>36400</v>
      </c>
    </row>
    <row r="330" spans="1:12" ht="30.75" x14ac:dyDescent="0.25">
      <c r="A330" s="140" t="s">
        <v>209</v>
      </c>
      <c r="B330" s="142" t="s">
        <v>210</v>
      </c>
      <c r="C330" s="139">
        <v>297</v>
      </c>
      <c r="D330" s="139" t="s">
        <v>54</v>
      </c>
      <c r="E330" s="261">
        <v>152630350</v>
      </c>
      <c r="F330" s="261">
        <v>107778755</v>
      </c>
      <c r="G330" s="287" t="s">
        <v>570</v>
      </c>
      <c r="H330" s="261">
        <v>44851595</v>
      </c>
      <c r="I330" s="152">
        <v>0</v>
      </c>
      <c r="J330" s="152">
        <v>0</v>
      </c>
      <c r="K330" s="152">
        <v>0</v>
      </c>
      <c r="L330" s="261">
        <v>44851595</v>
      </c>
    </row>
    <row r="331" spans="1:12" x14ac:dyDescent="0.25">
      <c r="A331" s="140" t="s">
        <v>211</v>
      </c>
      <c r="B331" s="142" t="s">
        <v>212</v>
      </c>
      <c r="C331" s="139">
        <v>166</v>
      </c>
      <c r="D331" s="139" t="s">
        <v>54</v>
      </c>
      <c r="E331" s="261">
        <v>1467642</v>
      </c>
      <c r="F331" s="261">
        <v>867256</v>
      </c>
      <c r="G331" s="287" t="s">
        <v>570</v>
      </c>
      <c r="H331" s="261">
        <v>600386</v>
      </c>
      <c r="I331" s="152">
        <v>0</v>
      </c>
      <c r="J331" s="152">
        <v>0</v>
      </c>
      <c r="K331" s="152">
        <v>0</v>
      </c>
      <c r="L331" s="261">
        <v>600386</v>
      </c>
    </row>
    <row r="332" spans="1:12" x14ac:dyDescent="0.25">
      <c r="A332" s="140" t="s">
        <v>255</v>
      </c>
      <c r="B332" s="142" t="s">
        <v>256</v>
      </c>
      <c r="C332" s="139">
        <v>268</v>
      </c>
      <c r="D332" s="139" t="s">
        <v>54</v>
      </c>
      <c r="E332" s="261">
        <v>1367206</v>
      </c>
      <c r="F332" s="261">
        <v>476655</v>
      </c>
      <c r="G332" s="287" t="s">
        <v>570</v>
      </c>
      <c r="H332" s="261">
        <v>890551</v>
      </c>
      <c r="I332" s="152">
        <v>0</v>
      </c>
      <c r="J332" s="152">
        <v>0</v>
      </c>
      <c r="K332" s="152">
        <v>0</v>
      </c>
      <c r="L332" s="261">
        <v>890551</v>
      </c>
    </row>
    <row r="333" spans="1:12" x14ac:dyDescent="0.25">
      <c r="A333" s="140" t="s">
        <v>213</v>
      </c>
      <c r="B333" s="142" t="s">
        <v>214</v>
      </c>
      <c r="C333" s="139">
        <v>32</v>
      </c>
      <c r="D333" s="139" t="s">
        <v>54</v>
      </c>
      <c r="E333" s="261">
        <v>752478</v>
      </c>
      <c r="F333" s="261">
        <v>594151</v>
      </c>
      <c r="G333" s="287" t="s">
        <v>570</v>
      </c>
      <c r="H333" s="261">
        <v>158327</v>
      </c>
      <c r="I333" s="152">
        <v>0</v>
      </c>
      <c r="J333" s="152">
        <v>0</v>
      </c>
      <c r="K333" s="152">
        <v>0</v>
      </c>
      <c r="L333" s="261">
        <v>158327</v>
      </c>
    </row>
    <row r="334" spans="1:12" x14ac:dyDescent="0.25">
      <c r="A334" s="140" t="s">
        <v>273</v>
      </c>
      <c r="B334" s="142" t="s">
        <v>216</v>
      </c>
      <c r="C334" s="139">
        <v>230</v>
      </c>
      <c r="D334" s="139" t="s">
        <v>54</v>
      </c>
      <c r="E334" s="261">
        <v>845230</v>
      </c>
      <c r="F334" s="261">
        <v>696961</v>
      </c>
      <c r="G334" s="287" t="s">
        <v>570</v>
      </c>
      <c r="H334" s="261">
        <v>148269</v>
      </c>
      <c r="I334" s="152">
        <v>0</v>
      </c>
      <c r="J334" s="152">
        <v>0</v>
      </c>
      <c r="K334" s="152">
        <v>0</v>
      </c>
      <c r="L334" s="261">
        <v>148269</v>
      </c>
    </row>
    <row r="335" spans="1:12" x14ac:dyDescent="0.25">
      <c r="A335" s="140" t="s">
        <v>217</v>
      </c>
      <c r="B335" s="142" t="s">
        <v>218</v>
      </c>
      <c r="C335" s="139">
        <v>357</v>
      </c>
      <c r="D335" s="139" t="s">
        <v>54</v>
      </c>
      <c r="E335" s="261">
        <v>1824109</v>
      </c>
      <c r="F335" s="261">
        <v>1568232</v>
      </c>
      <c r="G335" s="287" t="s">
        <v>570</v>
      </c>
      <c r="H335" s="261">
        <v>255877</v>
      </c>
      <c r="I335" s="152">
        <v>0</v>
      </c>
      <c r="J335" s="152">
        <v>0</v>
      </c>
      <c r="K335" s="152">
        <v>0</v>
      </c>
      <c r="L335" s="261">
        <v>255877</v>
      </c>
    </row>
    <row r="336" spans="1:12" x14ac:dyDescent="0.25">
      <c r="A336" s="140" t="s">
        <v>257</v>
      </c>
      <c r="B336" s="142" t="s">
        <v>258</v>
      </c>
      <c r="C336" s="139">
        <v>148</v>
      </c>
      <c r="D336" s="139" t="s">
        <v>54</v>
      </c>
      <c r="E336" s="261">
        <v>14148</v>
      </c>
      <c r="F336" s="261">
        <v>3224</v>
      </c>
      <c r="G336" s="287" t="s">
        <v>570</v>
      </c>
      <c r="H336" s="261">
        <v>10924</v>
      </c>
      <c r="I336" s="152">
        <v>0</v>
      </c>
      <c r="J336" s="152">
        <v>0</v>
      </c>
      <c r="K336" s="152">
        <v>0</v>
      </c>
      <c r="L336" s="261">
        <v>10924</v>
      </c>
    </row>
    <row r="337" spans="1:12" x14ac:dyDescent="0.25">
      <c r="A337" s="140" t="s">
        <v>219</v>
      </c>
      <c r="B337" s="142" t="s">
        <v>220</v>
      </c>
      <c r="C337" s="139">
        <v>153</v>
      </c>
      <c r="D337" s="139" t="s">
        <v>54</v>
      </c>
      <c r="E337" s="261">
        <v>655319</v>
      </c>
      <c r="F337" s="261">
        <v>407291</v>
      </c>
      <c r="G337" s="287" t="s">
        <v>570</v>
      </c>
      <c r="H337" s="261">
        <v>248028</v>
      </c>
      <c r="I337" s="152">
        <v>0</v>
      </c>
      <c r="J337" s="152">
        <v>0</v>
      </c>
      <c r="K337" s="152">
        <v>0</v>
      </c>
      <c r="L337" s="261">
        <v>248028</v>
      </c>
    </row>
    <row r="338" spans="1:12" x14ac:dyDescent="0.25">
      <c r="A338" s="140" t="s">
        <v>239</v>
      </c>
      <c r="B338" s="142" t="s">
        <v>240</v>
      </c>
      <c r="C338" s="139">
        <v>155</v>
      </c>
      <c r="D338" s="139" t="s">
        <v>54</v>
      </c>
      <c r="E338" s="261">
        <v>490395</v>
      </c>
      <c r="F338" s="261">
        <v>7255</v>
      </c>
      <c r="G338" s="287" t="s">
        <v>570</v>
      </c>
      <c r="H338" s="261">
        <v>483140</v>
      </c>
      <c r="I338" s="152">
        <v>0</v>
      </c>
      <c r="J338" s="152">
        <v>0</v>
      </c>
      <c r="K338" s="152">
        <v>0</v>
      </c>
      <c r="L338" s="261">
        <v>483140</v>
      </c>
    </row>
    <row r="339" spans="1:12" ht="30.75" x14ac:dyDescent="0.25">
      <c r="A339" s="140" t="s">
        <v>274</v>
      </c>
      <c r="B339" s="142" t="s">
        <v>68</v>
      </c>
      <c r="C339" s="139">
        <v>319</v>
      </c>
      <c r="D339" s="139" t="s">
        <v>54</v>
      </c>
      <c r="E339" s="261">
        <v>3769865</v>
      </c>
      <c r="F339" s="261">
        <v>1953055</v>
      </c>
      <c r="G339" s="287" t="s">
        <v>570</v>
      </c>
      <c r="H339" s="261">
        <v>1816810</v>
      </c>
      <c r="I339" s="152">
        <v>0</v>
      </c>
      <c r="J339" s="152">
        <v>0</v>
      </c>
      <c r="K339" s="152">
        <v>0</v>
      </c>
      <c r="L339" s="261">
        <v>1816810</v>
      </c>
    </row>
    <row r="340" spans="1:12" x14ac:dyDescent="0.25">
      <c r="A340" s="140" t="s">
        <v>221</v>
      </c>
      <c r="B340" s="142" t="s">
        <v>210</v>
      </c>
      <c r="C340" s="139">
        <v>48</v>
      </c>
      <c r="D340" s="139" t="s">
        <v>54</v>
      </c>
      <c r="E340" s="261">
        <v>2724441</v>
      </c>
      <c r="F340" s="261">
        <v>1912990</v>
      </c>
      <c r="G340" s="287" t="s">
        <v>570</v>
      </c>
      <c r="H340" s="261">
        <v>811451</v>
      </c>
      <c r="I340" s="152">
        <v>0</v>
      </c>
      <c r="J340" s="152">
        <v>0</v>
      </c>
      <c r="K340" s="152">
        <v>0</v>
      </c>
      <c r="L340" s="261">
        <v>811451</v>
      </c>
    </row>
    <row r="341" spans="1:12" ht="30.75" x14ac:dyDescent="0.25">
      <c r="A341" s="140" t="s">
        <v>56</v>
      </c>
      <c r="B341" s="142" t="s">
        <v>57</v>
      </c>
      <c r="C341" s="139">
        <v>218</v>
      </c>
      <c r="D341" s="139" t="s">
        <v>54</v>
      </c>
      <c r="E341" s="261">
        <v>211524</v>
      </c>
      <c r="F341" s="261">
        <v>98885</v>
      </c>
      <c r="G341" s="287" t="s">
        <v>570</v>
      </c>
      <c r="H341" s="261">
        <v>112639</v>
      </c>
      <c r="I341" s="152">
        <v>0</v>
      </c>
      <c r="J341" s="152">
        <v>0</v>
      </c>
      <c r="K341" s="152">
        <v>0</v>
      </c>
      <c r="L341" s="261">
        <v>112639</v>
      </c>
    </row>
    <row r="342" spans="1:12" x14ac:dyDescent="0.25">
      <c r="A342" s="140" t="s">
        <v>222</v>
      </c>
      <c r="B342" s="142" t="s">
        <v>223</v>
      </c>
      <c r="C342" s="139">
        <v>350</v>
      </c>
      <c r="D342" s="139" t="s">
        <v>54</v>
      </c>
      <c r="E342" s="261">
        <v>181556</v>
      </c>
      <c r="F342" s="261">
        <v>92283</v>
      </c>
      <c r="G342" s="287" t="s">
        <v>570</v>
      </c>
      <c r="H342" s="261">
        <v>89273</v>
      </c>
      <c r="I342" s="261">
        <v>1000</v>
      </c>
      <c r="J342" s="261">
        <v>1000</v>
      </c>
      <c r="K342" s="152">
        <v>0</v>
      </c>
      <c r="L342" s="261">
        <v>89273</v>
      </c>
    </row>
    <row r="343" spans="1:12" x14ac:dyDescent="0.25">
      <c r="A343" s="140" t="s">
        <v>241</v>
      </c>
      <c r="B343" s="142" t="s">
        <v>242</v>
      </c>
      <c r="C343" s="139">
        <v>173</v>
      </c>
      <c r="D343" s="139" t="s">
        <v>54</v>
      </c>
      <c r="E343" s="261">
        <v>269560</v>
      </c>
      <c r="F343" s="261">
        <v>180691</v>
      </c>
      <c r="G343" s="287" t="s">
        <v>570</v>
      </c>
      <c r="H343" s="261">
        <v>88869</v>
      </c>
      <c r="I343" s="152">
        <v>0</v>
      </c>
      <c r="J343" s="152">
        <v>0</v>
      </c>
      <c r="K343" s="152">
        <v>0</v>
      </c>
      <c r="L343" s="261">
        <v>88869</v>
      </c>
    </row>
    <row r="344" spans="1:12" x14ac:dyDescent="0.25">
      <c r="A344" s="140" t="s">
        <v>275</v>
      </c>
      <c r="B344" s="142" t="s">
        <v>276</v>
      </c>
      <c r="C344" s="139">
        <v>335</v>
      </c>
      <c r="D344" s="139" t="s">
        <v>54</v>
      </c>
      <c r="E344" s="261">
        <v>3331</v>
      </c>
      <c r="F344" s="261">
        <v>1000</v>
      </c>
      <c r="G344" s="287" t="s">
        <v>570</v>
      </c>
      <c r="H344" s="261">
        <v>2331</v>
      </c>
      <c r="I344" s="152">
        <v>0</v>
      </c>
      <c r="J344" s="152">
        <v>0</v>
      </c>
      <c r="K344" s="152">
        <v>0</v>
      </c>
      <c r="L344" s="261">
        <v>2331</v>
      </c>
    </row>
    <row r="345" spans="1:12" ht="45.75" x14ac:dyDescent="0.25">
      <c r="A345" s="140" t="s">
        <v>248</v>
      </c>
      <c r="B345" s="142" t="s">
        <v>249</v>
      </c>
      <c r="C345" s="139">
        <v>261</v>
      </c>
      <c r="D345" s="139" t="s">
        <v>54</v>
      </c>
      <c r="E345" s="261">
        <v>120472</v>
      </c>
      <c r="F345" s="261">
        <v>88845</v>
      </c>
      <c r="G345" s="287" t="s">
        <v>570</v>
      </c>
      <c r="H345" s="261">
        <v>31627</v>
      </c>
      <c r="I345" s="152">
        <v>0</v>
      </c>
      <c r="J345" s="152">
        <v>0</v>
      </c>
      <c r="K345" s="152">
        <v>0</v>
      </c>
      <c r="L345" s="261">
        <v>31627</v>
      </c>
    </row>
    <row r="346" spans="1:12" x14ac:dyDescent="0.25">
      <c r="A346" s="140" t="s">
        <v>243</v>
      </c>
      <c r="B346" s="142" t="s">
        <v>229</v>
      </c>
      <c r="C346" s="139">
        <v>244</v>
      </c>
      <c r="D346" s="139" t="s">
        <v>54</v>
      </c>
      <c r="E346" s="261">
        <v>298013</v>
      </c>
      <c r="F346" s="261">
        <v>210002</v>
      </c>
      <c r="G346" s="287" t="s">
        <v>570</v>
      </c>
      <c r="H346" s="261">
        <v>88011</v>
      </c>
      <c r="I346" s="152">
        <v>0</v>
      </c>
      <c r="J346" s="152">
        <v>0</v>
      </c>
      <c r="K346" s="152">
        <v>0</v>
      </c>
      <c r="L346" s="261">
        <v>88011</v>
      </c>
    </row>
    <row r="347" spans="1:12" x14ac:dyDescent="0.25">
      <c r="A347" s="140" t="s">
        <v>259</v>
      </c>
      <c r="B347" s="142" t="s">
        <v>210</v>
      </c>
      <c r="C347" s="139">
        <v>280</v>
      </c>
      <c r="D347" s="139" t="s">
        <v>54</v>
      </c>
      <c r="E347" s="261">
        <v>11550</v>
      </c>
      <c r="F347" s="261">
        <v>1000</v>
      </c>
      <c r="G347" s="287" t="s">
        <v>570</v>
      </c>
      <c r="H347" s="261">
        <v>10550</v>
      </c>
      <c r="I347" s="152">
        <v>0</v>
      </c>
      <c r="J347" s="152">
        <v>0</v>
      </c>
      <c r="K347" s="152">
        <v>0</v>
      </c>
      <c r="L347" s="261">
        <v>10550</v>
      </c>
    </row>
    <row r="348" spans="1:12" x14ac:dyDescent="0.25">
      <c r="A348" s="140" t="s">
        <v>226</v>
      </c>
      <c r="B348" s="142" t="s">
        <v>227</v>
      </c>
      <c r="C348" s="139">
        <v>171</v>
      </c>
      <c r="D348" s="139" t="s">
        <v>54</v>
      </c>
      <c r="E348" s="261">
        <v>481374</v>
      </c>
      <c r="F348" s="261">
        <v>297786</v>
      </c>
      <c r="G348" s="287" t="s">
        <v>570</v>
      </c>
      <c r="H348" s="261">
        <v>183588</v>
      </c>
      <c r="I348" s="152">
        <v>0</v>
      </c>
      <c r="J348" s="152">
        <v>0</v>
      </c>
      <c r="K348" s="152">
        <v>0</v>
      </c>
      <c r="L348" s="261">
        <v>183588</v>
      </c>
    </row>
    <row r="349" spans="1:12" ht="45.75" x14ac:dyDescent="0.25">
      <c r="A349" s="140" t="s">
        <v>228</v>
      </c>
      <c r="B349" s="142" t="s">
        <v>229</v>
      </c>
      <c r="C349" s="139">
        <v>258</v>
      </c>
      <c r="D349" s="139" t="s">
        <v>54</v>
      </c>
      <c r="E349" s="261">
        <v>896710</v>
      </c>
      <c r="F349" s="261">
        <v>389941</v>
      </c>
      <c r="G349" s="287" t="s">
        <v>570</v>
      </c>
      <c r="H349" s="261">
        <v>506769</v>
      </c>
      <c r="I349" s="152">
        <v>0</v>
      </c>
      <c r="J349" s="152">
        <v>0</v>
      </c>
      <c r="K349" s="152">
        <v>0</v>
      </c>
      <c r="L349" s="261">
        <v>506769</v>
      </c>
    </row>
    <row r="350" spans="1:12" x14ac:dyDescent="0.25">
      <c r="A350" s="140" t="s">
        <v>262</v>
      </c>
      <c r="B350" s="142" t="s">
        <v>263</v>
      </c>
      <c r="C350" s="139">
        <v>308</v>
      </c>
      <c r="D350" s="139" t="s">
        <v>54</v>
      </c>
      <c r="E350" s="261">
        <v>2483</v>
      </c>
      <c r="F350" s="261">
        <v>1000</v>
      </c>
      <c r="G350" s="287" t="s">
        <v>570</v>
      </c>
      <c r="H350" s="261">
        <v>1483</v>
      </c>
      <c r="I350" s="152">
        <v>0</v>
      </c>
      <c r="J350" s="152">
        <v>0</v>
      </c>
      <c r="K350" s="152">
        <v>0</v>
      </c>
      <c r="L350" s="261">
        <v>1483</v>
      </c>
    </row>
    <row r="351" spans="1:12" x14ac:dyDescent="0.25">
      <c r="A351" s="140" t="s">
        <v>230</v>
      </c>
      <c r="B351" s="142" t="s">
        <v>210</v>
      </c>
      <c r="C351" s="139">
        <v>260</v>
      </c>
      <c r="D351" s="139" t="s">
        <v>54</v>
      </c>
      <c r="E351" s="261">
        <v>3323409</v>
      </c>
      <c r="F351" s="261">
        <v>2110826</v>
      </c>
      <c r="G351" s="287" t="s">
        <v>570</v>
      </c>
      <c r="H351" s="261">
        <v>1212583</v>
      </c>
      <c r="I351" s="152">
        <v>0</v>
      </c>
      <c r="J351" s="152">
        <v>0</v>
      </c>
      <c r="K351" s="152">
        <v>0</v>
      </c>
      <c r="L351" s="261">
        <v>1212583</v>
      </c>
    </row>
    <row r="352" spans="1:12" ht="30.75" x14ac:dyDescent="0.25">
      <c r="A352" s="140" t="s">
        <v>244</v>
      </c>
      <c r="B352" s="142" t="s">
        <v>245</v>
      </c>
      <c r="C352" s="139">
        <v>346</v>
      </c>
      <c r="D352" s="139" t="s">
        <v>54</v>
      </c>
      <c r="E352" s="261">
        <v>80974</v>
      </c>
      <c r="F352" s="261">
        <v>41603</v>
      </c>
      <c r="G352" s="287" t="s">
        <v>570</v>
      </c>
      <c r="H352" s="261">
        <v>39371</v>
      </c>
      <c r="I352" s="152">
        <v>0</v>
      </c>
      <c r="J352" s="152">
        <v>0</v>
      </c>
      <c r="K352" s="152">
        <v>0</v>
      </c>
      <c r="L352" s="261">
        <v>39371</v>
      </c>
    </row>
    <row r="353" spans="1:12" ht="30.75" x14ac:dyDescent="0.25">
      <c r="A353" s="140" t="s">
        <v>233</v>
      </c>
      <c r="B353" s="142" t="s">
        <v>234</v>
      </c>
      <c r="C353" s="139">
        <v>351</v>
      </c>
      <c r="D353" s="139" t="s">
        <v>54</v>
      </c>
      <c r="E353" s="261">
        <v>165895</v>
      </c>
      <c r="F353" s="261">
        <v>126335</v>
      </c>
      <c r="G353" s="287" t="s">
        <v>570</v>
      </c>
      <c r="H353" s="261">
        <v>39560</v>
      </c>
      <c r="I353" s="152">
        <v>0</v>
      </c>
      <c r="J353" s="152">
        <v>0</v>
      </c>
      <c r="K353" s="152">
        <v>0</v>
      </c>
      <c r="L353" s="261">
        <v>39560</v>
      </c>
    </row>
    <row r="354" spans="1:12" x14ac:dyDescent="0.25">
      <c r="A354" s="140" t="s">
        <v>250</v>
      </c>
      <c r="B354" s="142" t="s">
        <v>251</v>
      </c>
      <c r="C354" s="139">
        <v>305</v>
      </c>
      <c r="D354" s="139" t="s">
        <v>55</v>
      </c>
      <c r="E354" s="261">
        <v>490925</v>
      </c>
      <c r="F354" s="261">
        <v>343920</v>
      </c>
      <c r="G354" s="287" t="s">
        <v>570</v>
      </c>
      <c r="H354" s="261">
        <v>147005</v>
      </c>
      <c r="I354" s="152">
        <v>0</v>
      </c>
      <c r="J354" s="152">
        <v>0</v>
      </c>
      <c r="K354" s="152">
        <v>0</v>
      </c>
      <c r="L354" s="261">
        <v>147005</v>
      </c>
    </row>
    <row r="355" spans="1:12" ht="30.75" x14ac:dyDescent="0.25">
      <c r="A355" s="140" t="s">
        <v>185</v>
      </c>
      <c r="B355" s="142" t="s">
        <v>186</v>
      </c>
      <c r="C355" s="139">
        <v>250</v>
      </c>
      <c r="D355" s="139" t="s">
        <v>55</v>
      </c>
      <c r="E355" s="261">
        <v>1349838</v>
      </c>
      <c r="F355" s="261">
        <v>680526</v>
      </c>
      <c r="G355" s="287" t="s">
        <v>570</v>
      </c>
      <c r="H355" s="261">
        <v>669312</v>
      </c>
      <c r="I355" s="152">
        <v>0</v>
      </c>
      <c r="J355" s="152">
        <v>0</v>
      </c>
      <c r="K355" s="152">
        <v>0</v>
      </c>
      <c r="L355" s="261">
        <v>669312</v>
      </c>
    </row>
    <row r="356" spans="1:12" ht="30.75" x14ac:dyDescent="0.25">
      <c r="A356" s="140" t="s">
        <v>277</v>
      </c>
      <c r="B356" s="142" t="s">
        <v>272</v>
      </c>
      <c r="C356" s="139">
        <v>348</v>
      </c>
      <c r="D356" s="139" t="s">
        <v>55</v>
      </c>
      <c r="E356" s="261">
        <v>1482185</v>
      </c>
      <c r="F356" s="261">
        <v>1046875</v>
      </c>
      <c r="G356" s="287" t="s">
        <v>570</v>
      </c>
      <c r="H356" s="261">
        <v>435310</v>
      </c>
      <c r="I356" s="152">
        <v>0</v>
      </c>
      <c r="J356" s="152">
        <v>0</v>
      </c>
      <c r="K356" s="152">
        <v>0</v>
      </c>
      <c r="L356" s="261">
        <v>435310</v>
      </c>
    </row>
    <row r="357" spans="1:12" ht="30.75" x14ac:dyDescent="0.25">
      <c r="A357" s="140" t="s">
        <v>264</v>
      </c>
      <c r="B357" s="142" t="s">
        <v>64</v>
      </c>
      <c r="C357" s="139">
        <v>354</v>
      </c>
      <c r="D357" s="139" t="s">
        <v>55</v>
      </c>
      <c r="E357" s="261">
        <v>119930</v>
      </c>
      <c r="F357" s="261">
        <v>91042</v>
      </c>
      <c r="G357" s="287" t="s">
        <v>570</v>
      </c>
      <c r="H357" s="261">
        <v>28888</v>
      </c>
      <c r="I357" s="152">
        <v>0</v>
      </c>
      <c r="J357" s="152">
        <v>0</v>
      </c>
      <c r="K357" s="152">
        <v>0</v>
      </c>
      <c r="L357" s="261">
        <v>28888</v>
      </c>
    </row>
    <row r="358" spans="1:12" ht="30.75" x14ac:dyDescent="0.25">
      <c r="A358" s="140" t="s">
        <v>265</v>
      </c>
      <c r="B358" s="142" t="s">
        <v>266</v>
      </c>
      <c r="C358" s="139">
        <v>286</v>
      </c>
      <c r="D358" s="139" t="s">
        <v>55</v>
      </c>
      <c r="E358" s="261">
        <v>45817</v>
      </c>
      <c r="F358" s="261">
        <v>39849</v>
      </c>
      <c r="G358" s="287" t="s">
        <v>570</v>
      </c>
      <c r="H358" s="261">
        <v>5968</v>
      </c>
      <c r="I358" s="152">
        <v>0</v>
      </c>
      <c r="J358" s="152">
        <v>0</v>
      </c>
      <c r="K358" s="152">
        <v>0</v>
      </c>
      <c r="L358" s="261">
        <v>5968</v>
      </c>
    </row>
    <row r="359" spans="1:12" ht="30.75" x14ac:dyDescent="0.25">
      <c r="A359" s="140" t="s">
        <v>189</v>
      </c>
      <c r="B359" s="142" t="s">
        <v>190</v>
      </c>
      <c r="C359" s="139">
        <v>172</v>
      </c>
      <c r="D359" s="139" t="s">
        <v>55</v>
      </c>
      <c r="E359" s="261">
        <v>434043</v>
      </c>
      <c r="F359" s="261">
        <v>297644</v>
      </c>
      <c r="G359" s="287" t="s">
        <v>570</v>
      </c>
      <c r="H359" s="261">
        <v>136399</v>
      </c>
      <c r="I359" s="152">
        <v>0</v>
      </c>
      <c r="J359" s="152">
        <v>0</v>
      </c>
      <c r="K359" s="152">
        <v>0</v>
      </c>
      <c r="L359" s="261">
        <v>136399</v>
      </c>
    </row>
    <row r="360" spans="1:12" x14ac:dyDescent="0.25">
      <c r="A360" s="140" t="s">
        <v>246</v>
      </c>
      <c r="B360" s="142" t="s">
        <v>247</v>
      </c>
      <c r="C360" s="139">
        <v>278</v>
      </c>
      <c r="D360" s="139" t="s">
        <v>55</v>
      </c>
      <c r="E360" s="261">
        <v>1612674</v>
      </c>
      <c r="F360" s="261">
        <v>1156102</v>
      </c>
      <c r="G360" s="287" t="s">
        <v>570</v>
      </c>
      <c r="H360" s="261">
        <v>456572</v>
      </c>
      <c r="I360" s="152">
        <v>0</v>
      </c>
      <c r="J360" s="152">
        <v>0</v>
      </c>
      <c r="K360" s="152">
        <v>0</v>
      </c>
      <c r="L360" s="261">
        <v>456572</v>
      </c>
    </row>
    <row r="361" spans="1:12" x14ac:dyDescent="0.25">
      <c r="A361" s="140" t="s">
        <v>252</v>
      </c>
      <c r="B361" s="142" t="s">
        <v>253</v>
      </c>
      <c r="C361" s="139">
        <v>309</v>
      </c>
      <c r="D361" s="139" t="s">
        <v>55</v>
      </c>
      <c r="E361" s="261">
        <v>17554</v>
      </c>
      <c r="F361" s="261">
        <v>13333</v>
      </c>
      <c r="G361" s="287" t="s">
        <v>570</v>
      </c>
      <c r="H361" s="261">
        <v>4221</v>
      </c>
      <c r="I361" s="152">
        <v>0</v>
      </c>
      <c r="J361" s="152">
        <v>0</v>
      </c>
      <c r="K361" s="152">
        <v>0</v>
      </c>
      <c r="L361" s="261">
        <v>4221</v>
      </c>
    </row>
    <row r="362" spans="1:12" ht="30.75" x14ac:dyDescent="0.25">
      <c r="A362" s="140" t="s">
        <v>191</v>
      </c>
      <c r="B362" s="142" t="s">
        <v>192</v>
      </c>
      <c r="C362" s="139">
        <v>11</v>
      </c>
      <c r="D362" s="139" t="s">
        <v>55</v>
      </c>
      <c r="E362" s="261">
        <v>16846668</v>
      </c>
      <c r="F362" s="261">
        <v>12873998</v>
      </c>
      <c r="G362" s="287" t="s">
        <v>570</v>
      </c>
      <c r="H362" s="261">
        <v>3972670</v>
      </c>
      <c r="I362" s="152">
        <v>0</v>
      </c>
      <c r="J362" s="152">
        <v>0</v>
      </c>
      <c r="K362" s="152">
        <v>0</v>
      </c>
      <c r="L362" s="261">
        <v>3972670</v>
      </c>
    </row>
    <row r="363" spans="1:12" ht="30.75" x14ac:dyDescent="0.25">
      <c r="A363" s="140" t="s">
        <v>193</v>
      </c>
      <c r="B363" s="142" t="s">
        <v>194</v>
      </c>
      <c r="C363" s="139">
        <v>313</v>
      </c>
      <c r="D363" s="139" t="s">
        <v>55</v>
      </c>
      <c r="E363" s="261">
        <v>3330989</v>
      </c>
      <c r="F363" s="261">
        <v>2665902</v>
      </c>
      <c r="G363" s="287" t="s">
        <v>570</v>
      </c>
      <c r="H363" s="261">
        <v>665087</v>
      </c>
      <c r="I363" s="152">
        <v>0</v>
      </c>
      <c r="J363" s="152">
        <v>0</v>
      </c>
      <c r="K363" s="152">
        <v>0</v>
      </c>
      <c r="L363" s="261">
        <v>665087</v>
      </c>
    </row>
    <row r="364" spans="1:12" ht="45.75" x14ac:dyDescent="0.25">
      <c r="A364" s="140" t="s">
        <v>197</v>
      </c>
      <c r="B364" s="142" t="s">
        <v>198</v>
      </c>
      <c r="C364" s="139">
        <v>272</v>
      </c>
      <c r="D364" s="139" t="s">
        <v>55</v>
      </c>
      <c r="E364" s="261">
        <v>5736940</v>
      </c>
      <c r="F364" s="261">
        <v>4834791</v>
      </c>
      <c r="G364" s="287" t="s">
        <v>570</v>
      </c>
      <c r="H364" s="261">
        <v>902149</v>
      </c>
      <c r="I364" s="152">
        <v>0</v>
      </c>
      <c r="J364" s="152">
        <v>0</v>
      </c>
      <c r="K364" s="152">
        <v>0</v>
      </c>
      <c r="L364" s="261">
        <v>902149</v>
      </c>
    </row>
    <row r="365" spans="1:12" ht="45.75" x14ac:dyDescent="0.25">
      <c r="A365" s="140" t="s">
        <v>199</v>
      </c>
      <c r="B365" s="142" t="s">
        <v>200</v>
      </c>
      <c r="C365" s="139">
        <v>276</v>
      </c>
      <c r="D365" s="139" t="s">
        <v>55</v>
      </c>
      <c r="E365" s="261">
        <v>729070</v>
      </c>
      <c r="F365" s="261">
        <v>500095</v>
      </c>
      <c r="G365" s="287" t="s">
        <v>570</v>
      </c>
      <c r="H365" s="261">
        <v>228975</v>
      </c>
      <c r="I365" s="152">
        <v>0</v>
      </c>
      <c r="J365" s="152">
        <v>0</v>
      </c>
      <c r="K365" s="152">
        <v>0</v>
      </c>
      <c r="L365" s="261">
        <v>228975</v>
      </c>
    </row>
    <row r="366" spans="1:12" ht="90.75" x14ac:dyDescent="0.25">
      <c r="A366" s="140" t="s">
        <v>201</v>
      </c>
      <c r="B366" s="142" t="s">
        <v>202</v>
      </c>
      <c r="C366" s="139">
        <v>292</v>
      </c>
      <c r="D366" s="139" t="s">
        <v>55</v>
      </c>
      <c r="E366" s="261">
        <v>6487182</v>
      </c>
      <c r="F366" s="261">
        <v>4834944</v>
      </c>
      <c r="G366" s="287" t="s">
        <v>570</v>
      </c>
      <c r="H366" s="261">
        <v>1652238</v>
      </c>
      <c r="I366" s="152">
        <v>0</v>
      </c>
      <c r="J366" s="152">
        <v>0</v>
      </c>
      <c r="K366" s="152">
        <v>0</v>
      </c>
      <c r="L366" s="261">
        <v>1652238</v>
      </c>
    </row>
    <row r="367" spans="1:12" ht="30.75" x14ac:dyDescent="0.25">
      <c r="A367" s="140" t="s">
        <v>203</v>
      </c>
      <c r="B367" s="142" t="s">
        <v>204</v>
      </c>
      <c r="C367" s="139">
        <v>209</v>
      </c>
      <c r="D367" s="139" t="s">
        <v>55</v>
      </c>
      <c r="E367" s="261">
        <v>268885</v>
      </c>
      <c r="F367" s="261">
        <v>31975</v>
      </c>
      <c r="G367" s="287" t="s">
        <v>570</v>
      </c>
      <c r="H367" s="261">
        <v>236910</v>
      </c>
      <c r="I367" s="152">
        <v>0</v>
      </c>
      <c r="J367" s="152">
        <v>0</v>
      </c>
      <c r="K367" s="152">
        <v>0</v>
      </c>
      <c r="L367" s="261">
        <v>236910</v>
      </c>
    </row>
    <row r="368" spans="1:12" x14ac:dyDescent="0.25">
      <c r="A368" s="140" t="s">
        <v>205</v>
      </c>
      <c r="B368" s="142" t="s">
        <v>206</v>
      </c>
      <c r="C368" s="139">
        <v>183</v>
      </c>
      <c r="D368" s="139" t="s">
        <v>55</v>
      </c>
      <c r="E368" s="261">
        <v>402570</v>
      </c>
      <c r="F368" s="261">
        <v>289308</v>
      </c>
      <c r="G368" s="287" t="s">
        <v>570</v>
      </c>
      <c r="H368" s="261">
        <v>113262</v>
      </c>
      <c r="I368" s="152">
        <v>0</v>
      </c>
      <c r="J368" s="152">
        <v>0</v>
      </c>
      <c r="K368" s="152">
        <v>0</v>
      </c>
      <c r="L368" s="261">
        <v>113262</v>
      </c>
    </row>
    <row r="369" spans="1:12" x14ac:dyDescent="0.25">
      <c r="A369" s="140" t="s">
        <v>237</v>
      </c>
      <c r="B369" s="142" t="s">
        <v>238</v>
      </c>
      <c r="C369" s="139">
        <v>251</v>
      </c>
      <c r="D369" s="139" t="s">
        <v>55</v>
      </c>
      <c r="E369" s="261">
        <v>499410</v>
      </c>
      <c r="F369" s="261">
        <v>262998</v>
      </c>
      <c r="G369" s="287" t="s">
        <v>570</v>
      </c>
      <c r="H369" s="261">
        <v>236412</v>
      </c>
      <c r="I369" s="152">
        <v>0</v>
      </c>
      <c r="J369" s="152">
        <v>0</v>
      </c>
      <c r="K369" s="152">
        <v>0</v>
      </c>
      <c r="L369" s="261">
        <v>236412</v>
      </c>
    </row>
    <row r="370" spans="1:12" ht="30.75" x14ac:dyDescent="0.25">
      <c r="A370" s="140" t="s">
        <v>254</v>
      </c>
      <c r="B370" s="142" t="s">
        <v>196</v>
      </c>
      <c r="C370" s="139">
        <v>91</v>
      </c>
      <c r="D370" s="139" t="s">
        <v>55</v>
      </c>
      <c r="E370" s="261">
        <v>14415</v>
      </c>
      <c r="F370" s="261">
        <v>12228</v>
      </c>
      <c r="G370" s="287" t="s">
        <v>570</v>
      </c>
      <c r="H370" s="261">
        <v>2187</v>
      </c>
      <c r="I370" s="152">
        <v>0</v>
      </c>
      <c r="J370" s="152">
        <v>0</v>
      </c>
      <c r="K370" s="152">
        <v>0</v>
      </c>
      <c r="L370" s="261">
        <v>2187</v>
      </c>
    </row>
    <row r="371" spans="1:12" x14ac:dyDescent="0.25">
      <c r="A371" s="140" t="s">
        <v>207</v>
      </c>
      <c r="B371" s="142" t="s">
        <v>208</v>
      </c>
      <c r="C371" s="139">
        <v>192</v>
      </c>
      <c r="D371" s="139" t="s">
        <v>55</v>
      </c>
      <c r="E371" s="261">
        <v>253379</v>
      </c>
      <c r="F371" s="261">
        <v>167612</v>
      </c>
      <c r="G371" s="287" t="s">
        <v>570</v>
      </c>
      <c r="H371" s="261">
        <v>85767</v>
      </c>
      <c r="I371" s="152">
        <v>0</v>
      </c>
      <c r="J371" s="152">
        <v>0</v>
      </c>
      <c r="K371" s="152">
        <v>0</v>
      </c>
      <c r="L371" s="261">
        <v>85767</v>
      </c>
    </row>
    <row r="372" spans="1:12" ht="30.75" x14ac:dyDescent="0.25">
      <c r="A372" s="140" t="s">
        <v>209</v>
      </c>
      <c r="B372" s="142" t="s">
        <v>210</v>
      </c>
      <c r="C372" s="139">
        <v>297</v>
      </c>
      <c r="D372" s="139" t="s">
        <v>55</v>
      </c>
      <c r="E372" s="261">
        <v>175223207</v>
      </c>
      <c r="F372" s="261">
        <v>137436831</v>
      </c>
      <c r="G372" s="287" t="s">
        <v>570</v>
      </c>
      <c r="H372" s="261">
        <v>37786376</v>
      </c>
      <c r="I372" s="152">
        <v>0</v>
      </c>
      <c r="J372" s="152">
        <v>0</v>
      </c>
      <c r="K372" s="152">
        <v>0</v>
      </c>
      <c r="L372" s="261">
        <v>37786376</v>
      </c>
    </row>
    <row r="373" spans="1:12" x14ac:dyDescent="0.25">
      <c r="A373" s="140" t="s">
        <v>211</v>
      </c>
      <c r="B373" s="142" t="s">
        <v>212</v>
      </c>
      <c r="C373" s="139">
        <v>166</v>
      </c>
      <c r="D373" s="139" t="s">
        <v>55</v>
      </c>
      <c r="E373" s="261">
        <v>6610732</v>
      </c>
      <c r="F373" s="261">
        <v>4973496</v>
      </c>
      <c r="G373" s="287" t="s">
        <v>570</v>
      </c>
      <c r="H373" s="261">
        <v>1637236</v>
      </c>
      <c r="I373" s="152">
        <v>0</v>
      </c>
      <c r="J373" s="152">
        <v>0</v>
      </c>
      <c r="K373" s="152">
        <v>0</v>
      </c>
      <c r="L373" s="261">
        <v>1637236</v>
      </c>
    </row>
    <row r="374" spans="1:12" x14ac:dyDescent="0.25">
      <c r="A374" s="140" t="s">
        <v>255</v>
      </c>
      <c r="B374" s="142" t="s">
        <v>256</v>
      </c>
      <c r="C374" s="139">
        <v>268</v>
      </c>
      <c r="D374" s="139" t="s">
        <v>55</v>
      </c>
      <c r="E374" s="261">
        <v>6268501</v>
      </c>
      <c r="F374" s="261">
        <v>3349640</v>
      </c>
      <c r="G374" s="287" t="s">
        <v>570</v>
      </c>
      <c r="H374" s="261">
        <v>2918861</v>
      </c>
      <c r="I374" s="152">
        <v>0</v>
      </c>
      <c r="J374" s="152">
        <v>0</v>
      </c>
      <c r="K374" s="152">
        <v>0</v>
      </c>
      <c r="L374" s="261">
        <v>2918861</v>
      </c>
    </row>
    <row r="375" spans="1:12" x14ac:dyDescent="0.25">
      <c r="A375" s="140" t="s">
        <v>213</v>
      </c>
      <c r="B375" s="142" t="s">
        <v>214</v>
      </c>
      <c r="C375" s="139">
        <v>32</v>
      </c>
      <c r="D375" s="139" t="s">
        <v>55</v>
      </c>
      <c r="E375" s="261">
        <v>4553723</v>
      </c>
      <c r="F375" s="261">
        <v>4089648</v>
      </c>
      <c r="G375" s="287" t="s">
        <v>570</v>
      </c>
      <c r="H375" s="261">
        <v>464075</v>
      </c>
      <c r="I375" s="152">
        <v>0</v>
      </c>
      <c r="J375" s="152">
        <v>0</v>
      </c>
      <c r="K375" s="152">
        <v>0</v>
      </c>
      <c r="L375" s="261">
        <v>464075</v>
      </c>
    </row>
    <row r="376" spans="1:12" x14ac:dyDescent="0.25">
      <c r="A376" s="140" t="s">
        <v>273</v>
      </c>
      <c r="B376" s="142" t="s">
        <v>216</v>
      </c>
      <c r="C376" s="139">
        <v>230</v>
      </c>
      <c r="D376" s="139" t="s">
        <v>55</v>
      </c>
      <c r="E376" s="261">
        <v>5672021</v>
      </c>
      <c r="F376" s="261">
        <v>5265644</v>
      </c>
      <c r="G376" s="287" t="s">
        <v>570</v>
      </c>
      <c r="H376" s="261">
        <v>406377</v>
      </c>
      <c r="I376" s="152">
        <v>0</v>
      </c>
      <c r="J376" s="152">
        <v>0</v>
      </c>
      <c r="K376" s="152">
        <v>0</v>
      </c>
      <c r="L376" s="261">
        <v>406377</v>
      </c>
    </row>
    <row r="377" spans="1:12" x14ac:dyDescent="0.25">
      <c r="A377" s="140" t="s">
        <v>217</v>
      </c>
      <c r="B377" s="142" t="s">
        <v>218</v>
      </c>
      <c r="C377" s="139">
        <v>357</v>
      </c>
      <c r="D377" s="139" t="s">
        <v>55</v>
      </c>
      <c r="E377" s="261">
        <v>7090199</v>
      </c>
      <c r="F377" s="261">
        <v>5397077</v>
      </c>
      <c r="G377" s="287" t="s">
        <v>570</v>
      </c>
      <c r="H377" s="261">
        <v>1693122</v>
      </c>
      <c r="I377" s="152">
        <v>0</v>
      </c>
      <c r="J377" s="152">
        <v>0</v>
      </c>
      <c r="K377" s="152">
        <v>0</v>
      </c>
      <c r="L377" s="261">
        <v>1693122</v>
      </c>
    </row>
    <row r="378" spans="1:12" x14ac:dyDescent="0.25">
      <c r="A378" s="140" t="s">
        <v>257</v>
      </c>
      <c r="B378" s="142" t="s">
        <v>258</v>
      </c>
      <c r="C378" s="139">
        <v>148</v>
      </c>
      <c r="D378" s="139" t="s">
        <v>55</v>
      </c>
      <c r="E378" s="261">
        <v>218554</v>
      </c>
      <c r="F378" s="261">
        <v>3127</v>
      </c>
      <c r="G378" s="287" t="s">
        <v>570</v>
      </c>
      <c r="H378" s="261">
        <v>215427</v>
      </c>
      <c r="I378" s="152">
        <v>0</v>
      </c>
      <c r="J378" s="152">
        <v>0</v>
      </c>
      <c r="K378" s="152">
        <v>0</v>
      </c>
      <c r="L378" s="261">
        <v>215427</v>
      </c>
    </row>
    <row r="379" spans="1:12" x14ac:dyDescent="0.25">
      <c r="A379" s="140" t="s">
        <v>219</v>
      </c>
      <c r="B379" s="142" t="s">
        <v>220</v>
      </c>
      <c r="C379" s="139">
        <v>153</v>
      </c>
      <c r="D379" s="139" t="s">
        <v>55</v>
      </c>
      <c r="E379" s="261">
        <v>3685492</v>
      </c>
      <c r="F379" s="261">
        <v>3016024</v>
      </c>
      <c r="G379" s="287" t="s">
        <v>570</v>
      </c>
      <c r="H379" s="261">
        <v>669468</v>
      </c>
      <c r="I379" s="152">
        <v>0</v>
      </c>
      <c r="J379" s="152">
        <v>0</v>
      </c>
      <c r="K379" s="152">
        <v>0</v>
      </c>
      <c r="L379" s="261">
        <v>669468</v>
      </c>
    </row>
    <row r="380" spans="1:12" x14ac:dyDescent="0.25">
      <c r="A380" s="140" t="s">
        <v>239</v>
      </c>
      <c r="B380" s="142" t="s">
        <v>240</v>
      </c>
      <c r="C380" s="139">
        <v>155</v>
      </c>
      <c r="D380" s="139" t="s">
        <v>55</v>
      </c>
      <c r="E380" s="261">
        <v>845595</v>
      </c>
      <c r="F380" s="261">
        <v>217384</v>
      </c>
      <c r="G380" s="287" t="s">
        <v>570</v>
      </c>
      <c r="H380" s="261">
        <v>628211</v>
      </c>
      <c r="I380" s="152">
        <v>0</v>
      </c>
      <c r="J380" s="152">
        <v>0</v>
      </c>
      <c r="K380" s="152">
        <v>0</v>
      </c>
      <c r="L380" s="261">
        <v>628211</v>
      </c>
    </row>
    <row r="381" spans="1:12" ht="30.75" x14ac:dyDescent="0.25">
      <c r="A381" s="140" t="s">
        <v>274</v>
      </c>
      <c r="B381" s="142" t="s">
        <v>68</v>
      </c>
      <c r="C381" s="139">
        <v>319</v>
      </c>
      <c r="D381" s="139" t="s">
        <v>55</v>
      </c>
      <c r="E381" s="261">
        <v>16305370</v>
      </c>
      <c r="F381" s="261">
        <v>12354318</v>
      </c>
      <c r="G381" s="287" t="s">
        <v>570</v>
      </c>
      <c r="H381" s="261">
        <v>3951052</v>
      </c>
      <c r="I381" s="152">
        <v>0</v>
      </c>
      <c r="J381" s="152">
        <v>0</v>
      </c>
      <c r="K381" s="152">
        <v>0</v>
      </c>
      <c r="L381" s="261">
        <v>3951052</v>
      </c>
    </row>
    <row r="382" spans="1:12" x14ac:dyDescent="0.25">
      <c r="A382" s="140" t="s">
        <v>221</v>
      </c>
      <c r="B382" s="142" t="s">
        <v>210</v>
      </c>
      <c r="C382" s="139">
        <v>48</v>
      </c>
      <c r="D382" s="139" t="s">
        <v>55</v>
      </c>
      <c r="E382" s="261">
        <v>25173907</v>
      </c>
      <c r="F382" s="261">
        <v>21266482</v>
      </c>
      <c r="G382" s="287" t="s">
        <v>570</v>
      </c>
      <c r="H382" s="261">
        <v>3907425</v>
      </c>
      <c r="I382" s="152">
        <v>0</v>
      </c>
      <c r="J382" s="152">
        <v>0</v>
      </c>
      <c r="K382" s="152">
        <v>0</v>
      </c>
      <c r="L382" s="261">
        <v>3907425</v>
      </c>
    </row>
    <row r="383" spans="1:12" ht="30.75" x14ac:dyDescent="0.25">
      <c r="A383" s="140" t="s">
        <v>56</v>
      </c>
      <c r="B383" s="142" t="s">
        <v>57</v>
      </c>
      <c r="C383" s="139">
        <v>218</v>
      </c>
      <c r="D383" s="139" t="s">
        <v>55</v>
      </c>
      <c r="E383" s="261">
        <v>3243852</v>
      </c>
      <c r="F383" s="261">
        <v>2176378</v>
      </c>
      <c r="G383" s="287" t="s">
        <v>570</v>
      </c>
      <c r="H383" s="261">
        <v>1067474</v>
      </c>
      <c r="I383" s="152">
        <v>0</v>
      </c>
      <c r="J383" s="152">
        <v>0</v>
      </c>
      <c r="K383" s="152">
        <v>0</v>
      </c>
      <c r="L383" s="261">
        <v>1067474</v>
      </c>
    </row>
    <row r="384" spans="1:12" x14ac:dyDescent="0.25">
      <c r="A384" s="140" t="s">
        <v>222</v>
      </c>
      <c r="B384" s="142" t="s">
        <v>223</v>
      </c>
      <c r="C384" s="139">
        <v>350</v>
      </c>
      <c r="D384" s="139" t="s">
        <v>55</v>
      </c>
      <c r="E384" s="261">
        <v>51357</v>
      </c>
      <c r="F384" s="261">
        <v>40229</v>
      </c>
      <c r="G384" s="287" t="s">
        <v>570</v>
      </c>
      <c r="H384" s="261">
        <v>11128</v>
      </c>
      <c r="I384" s="152">
        <v>0</v>
      </c>
      <c r="J384" s="152">
        <v>0</v>
      </c>
      <c r="K384" s="152">
        <v>0</v>
      </c>
      <c r="L384" s="261">
        <v>11128</v>
      </c>
    </row>
    <row r="385" spans="1:12" x14ac:dyDescent="0.25">
      <c r="A385" s="140" t="s">
        <v>241</v>
      </c>
      <c r="B385" s="142" t="s">
        <v>242</v>
      </c>
      <c r="C385" s="139">
        <v>173</v>
      </c>
      <c r="D385" s="139" t="s">
        <v>55</v>
      </c>
      <c r="E385" s="261">
        <v>1475090</v>
      </c>
      <c r="F385" s="261">
        <v>1254514</v>
      </c>
      <c r="G385" s="287" t="s">
        <v>570</v>
      </c>
      <c r="H385" s="261">
        <v>220576</v>
      </c>
      <c r="I385" s="152">
        <v>0</v>
      </c>
      <c r="J385" s="152">
        <v>0</v>
      </c>
      <c r="K385" s="152">
        <v>0</v>
      </c>
      <c r="L385" s="261">
        <v>220576</v>
      </c>
    </row>
    <row r="386" spans="1:12" x14ac:dyDescent="0.25">
      <c r="A386" s="140" t="s">
        <v>278</v>
      </c>
      <c r="B386" s="142" t="s">
        <v>279</v>
      </c>
      <c r="C386" s="139">
        <v>304</v>
      </c>
      <c r="D386" s="139" t="s">
        <v>55</v>
      </c>
      <c r="E386" s="261">
        <v>159665</v>
      </c>
      <c r="F386" s="261">
        <v>26698</v>
      </c>
      <c r="G386" s="287" t="s">
        <v>570</v>
      </c>
      <c r="H386" s="261">
        <v>132967</v>
      </c>
      <c r="I386" s="152">
        <v>0</v>
      </c>
      <c r="J386" s="152">
        <v>0</v>
      </c>
      <c r="K386" s="152">
        <v>0</v>
      </c>
      <c r="L386" s="261">
        <v>132967</v>
      </c>
    </row>
    <row r="387" spans="1:12" x14ac:dyDescent="0.25">
      <c r="A387" s="140" t="s">
        <v>275</v>
      </c>
      <c r="B387" s="142" t="s">
        <v>276</v>
      </c>
      <c r="C387" s="139">
        <v>335</v>
      </c>
      <c r="D387" s="139" t="s">
        <v>55</v>
      </c>
      <c r="E387" s="261">
        <v>30695</v>
      </c>
      <c r="F387" s="261">
        <v>27192</v>
      </c>
      <c r="G387" s="287" t="s">
        <v>570</v>
      </c>
      <c r="H387" s="261">
        <v>3503</v>
      </c>
      <c r="I387" s="152">
        <v>0</v>
      </c>
      <c r="J387" s="152">
        <v>0</v>
      </c>
      <c r="K387" s="152">
        <v>0</v>
      </c>
      <c r="L387" s="261">
        <v>3503</v>
      </c>
    </row>
    <row r="388" spans="1:12" ht="60.75" x14ac:dyDescent="0.25">
      <c r="A388" s="140" t="s">
        <v>280</v>
      </c>
      <c r="B388" s="142" t="s">
        <v>281</v>
      </c>
      <c r="C388" s="139">
        <v>329</v>
      </c>
      <c r="D388" s="139" t="s">
        <v>55</v>
      </c>
      <c r="E388" s="261">
        <v>1358026</v>
      </c>
      <c r="F388" s="261">
        <v>1019340</v>
      </c>
      <c r="G388" s="287" t="s">
        <v>570</v>
      </c>
      <c r="H388" s="261">
        <v>338686</v>
      </c>
      <c r="I388" s="152">
        <v>0</v>
      </c>
      <c r="J388" s="152">
        <v>0</v>
      </c>
      <c r="K388" s="152">
        <v>0</v>
      </c>
      <c r="L388" s="261">
        <v>338686</v>
      </c>
    </row>
    <row r="389" spans="1:12" ht="45.75" x14ac:dyDescent="0.25">
      <c r="A389" s="140" t="s">
        <v>248</v>
      </c>
      <c r="B389" s="142" t="s">
        <v>249</v>
      </c>
      <c r="C389" s="139">
        <v>261</v>
      </c>
      <c r="D389" s="139" t="s">
        <v>55</v>
      </c>
      <c r="E389" s="261">
        <v>905756</v>
      </c>
      <c r="F389" s="261">
        <v>827559</v>
      </c>
      <c r="G389" s="287" t="s">
        <v>570</v>
      </c>
      <c r="H389" s="261">
        <v>78197</v>
      </c>
      <c r="I389" s="152">
        <v>0</v>
      </c>
      <c r="J389" s="152">
        <v>0</v>
      </c>
      <c r="K389" s="152">
        <v>0</v>
      </c>
      <c r="L389" s="261">
        <v>78197</v>
      </c>
    </row>
    <row r="390" spans="1:12" x14ac:dyDescent="0.25">
      <c r="A390" s="140" t="s">
        <v>243</v>
      </c>
      <c r="B390" s="142" t="s">
        <v>229</v>
      </c>
      <c r="C390" s="139">
        <v>244</v>
      </c>
      <c r="D390" s="139" t="s">
        <v>55</v>
      </c>
      <c r="E390" s="261">
        <v>1880327</v>
      </c>
      <c r="F390" s="261">
        <v>1751540</v>
      </c>
      <c r="G390" s="287" t="s">
        <v>570</v>
      </c>
      <c r="H390" s="261">
        <v>128787</v>
      </c>
      <c r="I390" s="152">
        <v>0</v>
      </c>
      <c r="J390" s="152">
        <v>0</v>
      </c>
      <c r="K390" s="152">
        <v>0</v>
      </c>
      <c r="L390" s="261">
        <v>128787</v>
      </c>
    </row>
    <row r="391" spans="1:12" x14ac:dyDescent="0.25">
      <c r="A391" s="140" t="s">
        <v>259</v>
      </c>
      <c r="B391" s="142" t="s">
        <v>210</v>
      </c>
      <c r="C391" s="139">
        <v>280</v>
      </c>
      <c r="D391" s="139" t="s">
        <v>55</v>
      </c>
      <c r="E391" s="261">
        <v>88241</v>
      </c>
      <c r="F391" s="261">
        <v>32642</v>
      </c>
      <c r="G391" s="287" t="s">
        <v>570</v>
      </c>
      <c r="H391" s="261">
        <v>55599</v>
      </c>
      <c r="I391" s="152">
        <v>0</v>
      </c>
      <c r="J391" s="152">
        <v>0</v>
      </c>
      <c r="K391" s="152">
        <v>0</v>
      </c>
      <c r="L391" s="261">
        <v>55599</v>
      </c>
    </row>
    <row r="392" spans="1:12" ht="30.75" x14ac:dyDescent="0.25">
      <c r="A392" s="140" t="s">
        <v>282</v>
      </c>
      <c r="B392" s="142" t="s">
        <v>196</v>
      </c>
      <c r="C392" s="139">
        <v>176</v>
      </c>
      <c r="D392" s="139" t="s">
        <v>55</v>
      </c>
      <c r="E392" s="261">
        <v>3638143</v>
      </c>
      <c r="F392" s="261">
        <v>2824667</v>
      </c>
      <c r="G392" s="287" t="s">
        <v>570</v>
      </c>
      <c r="H392" s="261">
        <v>813476</v>
      </c>
      <c r="I392" s="152">
        <v>0</v>
      </c>
      <c r="J392" s="152">
        <v>0</v>
      </c>
      <c r="K392" s="152">
        <v>0</v>
      </c>
      <c r="L392" s="261">
        <v>813476</v>
      </c>
    </row>
    <row r="393" spans="1:12" x14ac:dyDescent="0.25">
      <c r="A393" s="140" t="s">
        <v>226</v>
      </c>
      <c r="B393" s="142" t="s">
        <v>227</v>
      </c>
      <c r="C393" s="139">
        <v>171</v>
      </c>
      <c r="D393" s="139" t="s">
        <v>55</v>
      </c>
      <c r="E393" s="261">
        <v>2298151</v>
      </c>
      <c r="F393" s="261">
        <v>1836916</v>
      </c>
      <c r="G393" s="287" t="s">
        <v>570</v>
      </c>
      <c r="H393" s="261">
        <v>461235</v>
      </c>
      <c r="I393" s="152">
        <v>0</v>
      </c>
      <c r="J393" s="152">
        <v>0</v>
      </c>
      <c r="K393" s="152">
        <v>0</v>
      </c>
      <c r="L393" s="261">
        <v>461235</v>
      </c>
    </row>
    <row r="394" spans="1:12" ht="45.75" x14ac:dyDescent="0.25">
      <c r="A394" s="140" t="s">
        <v>228</v>
      </c>
      <c r="B394" s="142" t="s">
        <v>229</v>
      </c>
      <c r="C394" s="139">
        <v>258</v>
      </c>
      <c r="D394" s="139" t="s">
        <v>55</v>
      </c>
      <c r="E394" s="261">
        <v>2670692</v>
      </c>
      <c r="F394" s="261">
        <v>1665935</v>
      </c>
      <c r="G394" s="287" t="s">
        <v>570</v>
      </c>
      <c r="H394" s="261">
        <v>1004757</v>
      </c>
      <c r="I394" s="152">
        <v>0</v>
      </c>
      <c r="J394" s="152">
        <v>0</v>
      </c>
      <c r="K394" s="152">
        <v>0</v>
      </c>
      <c r="L394" s="261">
        <v>1004757</v>
      </c>
    </row>
    <row r="395" spans="1:12" x14ac:dyDescent="0.25">
      <c r="A395" s="140" t="s">
        <v>230</v>
      </c>
      <c r="B395" s="142" t="s">
        <v>210</v>
      </c>
      <c r="C395" s="139">
        <v>260</v>
      </c>
      <c r="D395" s="139" t="s">
        <v>55</v>
      </c>
      <c r="E395" s="261">
        <v>16510388</v>
      </c>
      <c r="F395" s="261">
        <v>13454196</v>
      </c>
      <c r="G395" s="287" t="s">
        <v>570</v>
      </c>
      <c r="H395" s="261">
        <v>3056192</v>
      </c>
      <c r="I395" s="152">
        <v>0</v>
      </c>
      <c r="J395" s="152">
        <v>0</v>
      </c>
      <c r="K395" s="152">
        <v>0</v>
      </c>
      <c r="L395" s="261">
        <v>3056192</v>
      </c>
    </row>
    <row r="396" spans="1:12" ht="30.75" x14ac:dyDescent="0.25">
      <c r="A396" s="140" t="s">
        <v>244</v>
      </c>
      <c r="B396" s="142" t="s">
        <v>245</v>
      </c>
      <c r="C396" s="139">
        <v>346</v>
      </c>
      <c r="D396" s="139" t="s">
        <v>55</v>
      </c>
      <c r="E396" s="261">
        <v>28428</v>
      </c>
      <c r="F396" s="261">
        <v>12805</v>
      </c>
      <c r="G396" s="287" t="s">
        <v>570</v>
      </c>
      <c r="H396" s="261">
        <v>15623</v>
      </c>
      <c r="I396" s="152">
        <v>0</v>
      </c>
      <c r="J396" s="152">
        <v>0</v>
      </c>
      <c r="K396" s="152">
        <v>0</v>
      </c>
      <c r="L396" s="261">
        <v>15623</v>
      </c>
    </row>
    <row r="397" spans="1:12" ht="30.75" x14ac:dyDescent="0.25">
      <c r="A397" s="140" t="s">
        <v>233</v>
      </c>
      <c r="B397" s="142" t="s">
        <v>234</v>
      </c>
      <c r="C397" s="139">
        <v>351</v>
      </c>
      <c r="D397" s="139" t="s">
        <v>55</v>
      </c>
      <c r="E397" s="261">
        <v>118402</v>
      </c>
      <c r="F397" s="261">
        <v>102022</v>
      </c>
      <c r="G397" s="287" t="s">
        <v>570</v>
      </c>
      <c r="H397" s="261">
        <v>16380</v>
      </c>
      <c r="I397" s="152">
        <v>0</v>
      </c>
      <c r="J397" s="152">
        <v>0</v>
      </c>
      <c r="K397" s="152">
        <v>0</v>
      </c>
      <c r="L397" s="261">
        <v>16380</v>
      </c>
    </row>
    <row r="398" spans="1:12" x14ac:dyDescent="0.25">
      <c r="A398" s="140" t="s">
        <v>250</v>
      </c>
      <c r="B398" s="142" t="s">
        <v>251</v>
      </c>
      <c r="C398" s="139">
        <v>305</v>
      </c>
      <c r="D398" s="139" t="s">
        <v>58</v>
      </c>
      <c r="E398" s="261">
        <v>404335</v>
      </c>
      <c r="F398" s="261">
        <v>284067</v>
      </c>
      <c r="G398" s="287" t="s">
        <v>570</v>
      </c>
      <c r="H398" s="261">
        <v>120268</v>
      </c>
      <c r="I398" s="152">
        <v>0</v>
      </c>
      <c r="J398" s="152">
        <v>0</v>
      </c>
      <c r="K398" s="152">
        <v>0</v>
      </c>
      <c r="L398" s="261">
        <v>120268</v>
      </c>
    </row>
    <row r="399" spans="1:12" x14ac:dyDescent="0.25">
      <c r="A399" s="140" t="s">
        <v>283</v>
      </c>
      <c r="B399" s="142" t="s">
        <v>284</v>
      </c>
      <c r="C399" s="139">
        <v>269</v>
      </c>
      <c r="D399" s="139" t="s">
        <v>58</v>
      </c>
      <c r="E399" s="261">
        <v>8679</v>
      </c>
      <c r="F399" s="261">
        <v>6144</v>
      </c>
      <c r="G399" s="287" t="s">
        <v>570</v>
      </c>
      <c r="H399" s="261">
        <v>2535</v>
      </c>
      <c r="I399" s="152">
        <v>0</v>
      </c>
      <c r="J399" s="152">
        <v>0</v>
      </c>
      <c r="K399" s="152">
        <v>0</v>
      </c>
      <c r="L399" s="261">
        <v>2535</v>
      </c>
    </row>
    <row r="400" spans="1:12" ht="30.75" x14ac:dyDescent="0.25">
      <c r="A400" s="140" t="s">
        <v>185</v>
      </c>
      <c r="B400" s="142" t="s">
        <v>186</v>
      </c>
      <c r="C400" s="139">
        <v>250</v>
      </c>
      <c r="D400" s="139" t="s">
        <v>58</v>
      </c>
      <c r="E400" s="261">
        <v>1284869</v>
      </c>
      <c r="F400" s="261">
        <v>670698</v>
      </c>
      <c r="G400" s="287" t="s">
        <v>570</v>
      </c>
      <c r="H400" s="261">
        <v>614171</v>
      </c>
      <c r="I400" s="152">
        <v>0</v>
      </c>
      <c r="J400" s="152">
        <v>0</v>
      </c>
      <c r="K400" s="152">
        <v>0</v>
      </c>
      <c r="L400" s="261">
        <v>614171</v>
      </c>
    </row>
    <row r="401" spans="1:12" ht="30.75" x14ac:dyDescent="0.25">
      <c r="A401" s="140" t="s">
        <v>277</v>
      </c>
      <c r="B401" s="142" t="s">
        <v>272</v>
      </c>
      <c r="C401" s="139">
        <v>348</v>
      </c>
      <c r="D401" s="139" t="s">
        <v>58</v>
      </c>
      <c r="E401" s="261">
        <v>1223752</v>
      </c>
      <c r="F401" s="261">
        <v>860241</v>
      </c>
      <c r="G401" s="287" t="s">
        <v>570</v>
      </c>
      <c r="H401" s="261">
        <v>363511</v>
      </c>
      <c r="I401" s="152">
        <v>0</v>
      </c>
      <c r="J401" s="152">
        <v>0</v>
      </c>
      <c r="K401" s="152">
        <v>0</v>
      </c>
      <c r="L401" s="261">
        <v>363511</v>
      </c>
    </row>
    <row r="402" spans="1:12" ht="30.75" x14ac:dyDescent="0.25">
      <c r="A402" s="140" t="s">
        <v>264</v>
      </c>
      <c r="B402" s="142" t="s">
        <v>64</v>
      </c>
      <c r="C402" s="139">
        <v>354</v>
      </c>
      <c r="D402" s="139" t="s">
        <v>58</v>
      </c>
      <c r="E402" s="261">
        <v>86685</v>
      </c>
      <c r="F402" s="261">
        <v>72103</v>
      </c>
      <c r="G402" s="287" t="s">
        <v>570</v>
      </c>
      <c r="H402" s="261">
        <v>14582</v>
      </c>
      <c r="I402" s="152">
        <v>0</v>
      </c>
      <c r="J402" s="152">
        <v>0</v>
      </c>
      <c r="K402" s="152">
        <v>0</v>
      </c>
      <c r="L402" s="261">
        <v>14582</v>
      </c>
    </row>
    <row r="403" spans="1:12" ht="30.75" x14ac:dyDescent="0.25">
      <c r="A403" s="140" t="s">
        <v>265</v>
      </c>
      <c r="B403" s="142" t="s">
        <v>266</v>
      </c>
      <c r="C403" s="139">
        <v>286</v>
      </c>
      <c r="D403" s="139" t="s">
        <v>58</v>
      </c>
      <c r="E403" s="261">
        <v>48564</v>
      </c>
      <c r="F403" s="261">
        <v>38573</v>
      </c>
      <c r="G403" s="287" t="s">
        <v>570</v>
      </c>
      <c r="H403" s="261">
        <v>9991</v>
      </c>
      <c r="I403" s="152">
        <v>0</v>
      </c>
      <c r="J403" s="152">
        <v>0</v>
      </c>
      <c r="K403" s="152">
        <v>0</v>
      </c>
      <c r="L403" s="261">
        <v>9991</v>
      </c>
    </row>
    <row r="404" spans="1:12" ht="30.75" x14ac:dyDescent="0.25">
      <c r="A404" s="140" t="s">
        <v>189</v>
      </c>
      <c r="B404" s="142" t="s">
        <v>190</v>
      </c>
      <c r="C404" s="139">
        <v>172</v>
      </c>
      <c r="D404" s="139" t="s">
        <v>58</v>
      </c>
      <c r="E404" s="261">
        <v>509912</v>
      </c>
      <c r="F404" s="261">
        <v>359546</v>
      </c>
      <c r="G404" s="287" t="s">
        <v>570</v>
      </c>
      <c r="H404" s="261">
        <v>150366</v>
      </c>
      <c r="I404" s="152">
        <v>0</v>
      </c>
      <c r="J404" s="152">
        <v>0</v>
      </c>
      <c r="K404" s="152">
        <v>0</v>
      </c>
      <c r="L404" s="261">
        <v>150366</v>
      </c>
    </row>
    <row r="405" spans="1:12" x14ac:dyDescent="0.25">
      <c r="A405" s="140" t="s">
        <v>246</v>
      </c>
      <c r="B405" s="142" t="s">
        <v>247</v>
      </c>
      <c r="C405" s="139">
        <v>278</v>
      </c>
      <c r="D405" s="139" t="s">
        <v>58</v>
      </c>
      <c r="E405" s="261">
        <v>1935990</v>
      </c>
      <c r="F405" s="261">
        <v>1331459</v>
      </c>
      <c r="G405" s="287" t="s">
        <v>570</v>
      </c>
      <c r="H405" s="261">
        <v>604531</v>
      </c>
      <c r="I405" s="152">
        <v>0</v>
      </c>
      <c r="J405" s="152">
        <v>0</v>
      </c>
      <c r="K405" s="152">
        <v>0</v>
      </c>
      <c r="L405" s="261">
        <v>604531</v>
      </c>
    </row>
    <row r="406" spans="1:12" x14ac:dyDescent="0.25">
      <c r="A406" s="140" t="s">
        <v>252</v>
      </c>
      <c r="B406" s="142" t="s">
        <v>253</v>
      </c>
      <c r="C406" s="139">
        <v>309</v>
      </c>
      <c r="D406" s="139" t="s">
        <v>58</v>
      </c>
      <c r="E406" s="261">
        <v>13640</v>
      </c>
      <c r="F406" s="261">
        <v>7429</v>
      </c>
      <c r="G406" s="287" t="s">
        <v>570</v>
      </c>
      <c r="H406" s="261">
        <v>6211</v>
      </c>
      <c r="I406" s="152">
        <v>0</v>
      </c>
      <c r="J406" s="152">
        <v>0</v>
      </c>
      <c r="K406" s="152">
        <v>0</v>
      </c>
      <c r="L406" s="261">
        <v>6211</v>
      </c>
    </row>
    <row r="407" spans="1:12" ht="30.75" x14ac:dyDescent="0.25">
      <c r="A407" s="140" t="s">
        <v>191</v>
      </c>
      <c r="B407" s="142" t="s">
        <v>192</v>
      </c>
      <c r="C407" s="139">
        <v>11</v>
      </c>
      <c r="D407" s="139" t="s">
        <v>58</v>
      </c>
      <c r="E407" s="261">
        <v>17982853</v>
      </c>
      <c r="F407" s="261">
        <v>14351227</v>
      </c>
      <c r="G407" s="287" t="s">
        <v>570</v>
      </c>
      <c r="H407" s="261">
        <v>3631626</v>
      </c>
      <c r="I407" s="152">
        <v>0</v>
      </c>
      <c r="J407" s="152">
        <v>0</v>
      </c>
      <c r="K407" s="152">
        <v>0</v>
      </c>
      <c r="L407" s="261">
        <v>3631626</v>
      </c>
    </row>
    <row r="408" spans="1:12" ht="30.75" x14ac:dyDescent="0.25">
      <c r="A408" s="140" t="s">
        <v>193</v>
      </c>
      <c r="B408" s="142" t="s">
        <v>194</v>
      </c>
      <c r="C408" s="139">
        <v>313</v>
      </c>
      <c r="D408" s="139" t="s">
        <v>58</v>
      </c>
      <c r="E408" s="261">
        <v>3239505</v>
      </c>
      <c r="F408" s="261">
        <v>2671236</v>
      </c>
      <c r="G408" s="287" t="s">
        <v>570</v>
      </c>
      <c r="H408" s="261">
        <v>568269</v>
      </c>
      <c r="I408" s="152">
        <v>0</v>
      </c>
      <c r="J408" s="152">
        <v>0</v>
      </c>
      <c r="K408" s="152">
        <v>0</v>
      </c>
      <c r="L408" s="261">
        <v>568269</v>
      </c>
    </row>
    <row r="409" spans="1:12" ht="45.75" x14ac:dyDescent="0.25">
      <c r="A409" s="140" t="s">
        <v>197</v>
      </c>
      <c r="B409" s="142" t="s">
        <v>198</v>
      </c>
      <c r="C409" s="139">
        <v>272</v>
      </c>
      <c r="D409" s="139" t="s">
        <v>58</v>
      </c>
      <c r="E409" s="261">
        <v>9390921</v>
      </c>
      <c r="F409" s="261">
        <v>7958284</v>
      </c>
      <c r="G409" s="287" t="s">
        <v>570</v>
      </c>
      <c r="H409" s="261">
        <v>1432637</v>
      </c>
      <c r="I409" s="152">
        <v>0</v>
      </c>
      <c r="J409" s="152">
        <v>0</v>
      </c>
      <c r="K409" s="152">
        <v>0</v>
      </c>
      <c r="L409" s="261">
        <v>1432637</v>
      </c>
    </row>
    <row r="410" spans="1:12" ht="45.75" x14ac:dyDescent="0.25">
      <c r="A410" s="140" t="s">
        <v>199</v>
      </c>
      <c r="B410" s="142" t="s">
        <v>200</v>
      </c>
      <c r="C410" s="139">
        <v>276</v>
      </c>
      <c r="D410" s="139" t="s">
        <v>58</v>
      </c>
      <c r="E410" s="261">
        <v>938353</v>
      </c>
      <c r="F410" s="261">
        <v>629984</v>
      </c>
      <c r="G410" s="287" t="s">
        <v>570</v>
      </c>
      <c r="H410" s="261">
        <v>308369</v>
      </c>
      <c r="I410" s="152">
        <v>0</v>
      </c>
      <c r="J410" s="152">
        <v>0</v>
      </c>
      <c r="K410" s="152">
        <v>0</v>
      </c>
      <c r="L410" s="261">
        <v>308369</v>
      </c>
    </row>
    <row r="411" spans="1:12" ht="90.75" x14ac:dyDescent="0.25">
      <c r="A411" s="140" t="s">
        <v>201</v>
      </c>
      <c r="B411" s="142" t="s">
        <v>202</v>
      </c>
      <c r="C411" s="139">
        <v>292</v>
      </c>
      <c r="D411" s="139" t="s">
        <v>58</v>
      </c>
      <c r="E411" s="261">
        <v>7856369</v>
      </c>
      <c r="F411" s="261">
        <v>6178623</v>
      </c>
      <c r="G411" s="287" t="s">
        <v>570</v>
      </c>
      <c r="H411" s="261">
        <v>1677746</v>
      </c>
      <c r="I411" s="152">
        <v>0</v>
      </c>
      <c r="J411" s="152">
        <v>0</v>
      </c>
      <c r="K411" s="152">
        <v>0</v>
      </c>
      <c r="L411" s="261">
        <v>1677746</v>
      </c>
    </row>
    <row r="412" spans="1:12" ht="30.75" x14ac:dyDescent="0.25">
      <c r="A412" s="140" t="s">
        <v>203</v>
      </c>
      <c r="B412" s="142" t="s">
        <v>204</v>
      </c>
      <c r="C412" s="139">
        <v>209</v>
      </c>
      <c r="D412" s="139" t="s">
        <v>58</v>
      </c>
      <c r="E412" s="261">
        <v>297042</v>
      </c>
      <c r="F412" s="261">
        <v>29832</v>
      </c>
      <c r="G412" s="287" t="s">
        <v>570</v>
      </c>
      <c r="H412" s="261">
        <v>267210</v>
      </c>
      <c r="I412" s="152">
        <v>0</v>
      </c>
      <c r="J412" s="152">
        <v>0</v>
      </c>
      <c r="K412" s="152">
        <v>0</v>
      </c>
      <c r="L412" s="261">
        <v>267210</v>
      </c>
    </row>
    <row r="413" spans="1:12" x14ac:dyDescent="0.25">
      <c r="A413" s="140" t="s">
        <v>205</v>
      </c>
      <c r="B413" s="142" t="s">
        <v>206</v>
      </c>
      <c r="C413" s="139">
        <v>183</v>
      </c>
      <c r="D413" s="139" t="s">
        <v>58</v>
      </c>
      <c r="E413" s="261">
        <v>472674</v>
      </c>
      <c r="F413" s="261">
        <v>391438</v>
      </c>
      <c r="G413" s="287" t="s">
        <v>570</v>
      </c>
      <c r="H413" s="261">
        <v>81236</v>
      </c>
      <c r="I413" s="152">
        <v>0</v>
      </c>
      <c r="J413" s="152">
        <v>0</v>
      </c>
      <c r="K413" s="152">
        <v>0</v>
      </c>
      <c r="L413" s="261">
        <v>81236</v>
      </c>
    </row>
    <row r="414" spans="1:12" x14ac:dyDescent="0.25">
      <c r="A414" s="140" t="s">
        <v>237</v>
      </c>
      <c r="B414" s="142" t="s">
        <v>238</v>
      </c>
      <c r="C414" s="139">
        <v>251</v>
      </c>
      <c r="D414" s="139" t="s">
        <v>58</v>
      </c>
      <c r="E414" s="261">
        <v>438643</v>
      </c>
      <c r="F414" s="261">
        <v>278771</v>
      </c>
      <c r="G414" s="287" t="s">
        <v>570</v>
      </c>
      <c r="H414" s="261">
        <v>159872</v>
      </c>
      <c r="I414" s="152">
        <v>0</v>
      </c>
      <c r="J414" s="152">
        <v>0</v>
      </c>
      <c r="K414" s="152">
        <v>0</v>
      </c>
      <c r="L414" s="261">
        <v>159872</v>
      </c>
    </row>
    <row r="415" spans="1:12" x14ac:dyDescent="0.25">
      <c r="A415" s="140" t="s">
        <v>285</v>
      </c>
      <c r="B415" s="142" t="s">
        <v>286</v>
      </c>
      <c r="C415" s="139">
        <v>333</v>
      </c>
      <c r="D415" s="139" t="s">
        <v>58</v>
      </c>
      <c r="E415" s="261">
        <v>51096</v>
      </c>
      <c r="F415" s="261">
        <v>24635</v>
      </c>
      <c r="G415" s="287" t="s">
        <v>570</v>
      </c>
      <c r="H415" s="261">
        <v>26461</v>
      </c>
      <c r="I415" s="152">
        <v>0</v>
      </c>
      <c r="J415" s="152">
        <v>0</v>
      </c>
      <c r="K415" s="152">
        <v>0</v>
      </c>
      <c r="L415" s="261">
        <v>26461</v>
      </c>
    </row>
    <row r="416" spans="1:12" ht="30.75" x14ac:dyDescent="0.25">
      <c r="A416" s="140" t="s">
        <v>254</v>
      </c>
      <c r="B416" s="142" t="s">
        <v>196</v>
      </c>
      <c r="C416" s="139">
        <v>91</v>
      </c>
      <c r="D416" s="139" t="s">
        <v>58</v>
      </c>
      <c r="E416" s="261">
        <v>15135</v>
      </c>
      <c r="F416" s="261">
        <v>10746</v>
      </c>
      <c r="G416" s="287" t="s">
        <v>570</v>
      </c>
      <c r="H416" s="261">
        <v>4389</v>
      </c>
      <c r="I416" s="152">
        <v>0</v>
      </c>
      <c r="J416" s="152">
        <v>0</v>
      </c>
      <c r="K416" s="152">
        <v>0</v>
      </c>
      <c r="L416" s="261">
        <v>4389</v>
      </c>
    </row>
    <row r="417" spans="1:12" x14ac:dyDescent="0.25">
      <c r="A417" s="140" t="s">
        <v>207</v>
      </c>
      <c r="B417" s="142" t="s">
        <v>208</v>
      </c>
      <c r="C417" s="139">
        <v>192</v>
      </c>
      <c r="D417" s="139" t="s">
        <v>58</v>
      </c>
      <c r="E417" s="261">
        <v>281654</v>
      </c>
      <c r="F417" s="261">
        <v>169043</v>
      </c>
      <c r="G417" s="287" t="s">
        <v>570</v>
      </c>
      <c r="H417" s="261">
        <v>112611</v>
      </c>
      <c r="I417" s="152">
        <v>0</v>
      </c>
      <c r="J417" s="152">
        <v>0</v>
      </c>
      <c r="K417" s="152">
        <v>0</v>
      </c>
      <c r="L417" s="261">
        <v>112611</v>
      </c>
    </row>
    <row r="418" spans="1:12" ht="30.75" x14ac:dyDescent="0.25">
      <c r="A418" s="140" t="s">
        <v>209</v>
      </c>
      <c r="B418" s="142" t="s">
        <v>210</v>
      </c>
      <c r="C418" s="139">
        <v>297</v>
      </c>
      <c r="D418" s="139" t="s">
        <v>58</v>
      </c>
      <c r="E418" s="261">
        <v>180251358</v>
      </c>
      <c r="F418" s="261">
        <v>150700314</v>
      </c>
      <c r="G418" s="287" t="s">
        <v>570</v>
      </c>
      <c r="H418" s="261">
        <v>29551044</v>
      </c>
      <c r="I418" s="152">
        <v>0</v>
      </c>
      <c r="J418" s="152">
        <v>0</v>
      </c>
      <c r="K418" s="152">
        <v>0</v>
      </c>
      <c r="L418" s="261">
        <v>29551044</v>
      </c>
    </row>
    <row r="419" spans="1:12" x14ac:dyDescent="0.25">
      <c r="A419" s="140" t="s">
        <v>211</v>
      </c>
      <c r="B419" s="142" t="s">
        <v>212</v>
      </c>
      <c r="C419" s="139">
        <v>166</v>
      </c>
      <c r="D419" s="139" t="s">
        <v>58</v>
      </c>
      <c r="E419" s="261">
        <v>7441492</v>
      </c>
      <c r="F419" s="261">
        <v>5709338</v>
      </c>
      <c r="G419" s="287" t="s">
        <v>570</v>
      </c>
      <c r="H419" s="261">
        <v>1732154</v>
      </c>
      <c r="I419" s="152">
        <v>0</v>
      </c>
      <c r="J419" s="152">
        <v>0</v>
      </c>
      <c r="K419" s="152">
        <v>0</v>
      </c>
      <c r="L419" s="261">
        <v>1732154</v>
      </c>
    </row>
    <row r="420" spans="1:12" x14ac:dyDescent="0.25">
      <c r="A420" s="140" t="s">
        <v>255</v>
      </c>
      <c r="B420" s="142" t="s">
        <v>256</v>
      </c>
      <c r="C420" s="139">
        <v>268</v>
      </c>
      <c r="D420" s="139" t="s">
        <v>58</v>
      </c>
      <c r="E420" s="261">
        <v>6645364</v>
      </c>
      <c r="F420" s="261">
        <v>4043416</v>
      </c>
      <c r="G420" s="287" t="s">
        <v>570</v>
      </c>
      <c r="H420" s="261">
        <v>2601948</v>
      </c>
      <c r="I420" s="152">
        <v>0</v>
      </c>
      <c r="J420" s="152">
        <v>0</v>
      </c>
      <c r="K420" s="152">
        <v>0</v>
      </c>
      <c r="L420" s="261">
        <v>2601948</v>
      </c>
    </row>
    <row r="421" spans="1:12" x14ac:dyDescent="0.25">
      <c r="A421" s="140" t="s">
        <v>213</v>
      </c>
      <c r="B421" s="142" t="s">
        <v>214</v>
      </c>
      <c r="C421" s="139">
        <v>32</v>
      </c>
      <c r="D421" s="139" t="s">
        <v>58</v>
      </c>
      <c r="E421" s="261">
        <v>4523685</v>
      </c>
      <c r="F421" s="261">
        <v>4169933</v>
      </c>
      <c r="G421" s="287" t="s">
        <v>570</v>
      </c>
      <c r="H421" s="261">
        <v>353752</v>
      </c>
      <c r="I421" s="152">
        <v>0</v>
      </c>
      <c r="J421" s="152">
        <v>0</v>
      </c>
      <c r="K421" s="152">
        <v>0</v>
      </c>
      <c r="L421" s="261">
        <v>353752</v>
      </c>
    </row>
    <row r="422" spans="1:12" x14ac:dyDescent="0.25">
      <c r="A422" s="140" t="s">
        <v>273</v>
      </c>
      <c r="B422" s="142" t="s">
        <v>216</v>
      </c>
      <c r="C422" s="139">
        <v>230</v>
      </c>
      <c r="D422" s="139" t="s">
        <v>58</v>
      </c>
      <c r="E422" s="261">
        <v>5839873</v>
      </c>
      <c r="F422" s="261">
        <v>5536750</v>
      </c>
      <c r="G422" s="287" t="s">
        <v>570</v>
      </c>
      <c r="H422" s="261">
        <v>303123</v>
      </c>
      <c r="I422" s="152">
        <v>0</v>
      </c>
      <c r="J422" s="152">
        <v>0</v>
      </c>
      <c r="K422" s="152">
        <v>0</v>
      </c>
      <c r="L422" s="261">
        <v>303123</v>
      </c>
    </row>
    <row r="423" spans="1:12" x14ac:dyDescent="0.25">
      <c r="A423" s="140" t="s">
        <v>257</v>
      </c>
      <c r="B423" s="142" t="s">
        <v>258</v>
      </c>
      <c r="C423" s="139">
        <v>148</v>
      </c>
      <c r="D423" s="139" t="s">
        <v>58</v>
      </c>
      <c r="E423" s="261">
        <v>190413</v>
      </c>
      <c r="F423" s="261">
        <v>5416</v>
      </c>
      <c r="G423" s="287" t="s">
        <v>570</v>
      </c>
      <c r="H423" s="261">
        <v>184997</v>
      </c>
      <c r="I423" s="152">
        <v>0</v>
      </c>
      <c r="J423" s="152">
        <v>0</v>
      </c>
      <c r="K423" s="152">
        <v>0</v>
      </c>
      <c r="L423" s="261">
        <v>184997</v>
      </c>
    </row>
    <row r="424" spans="1:12" x14ac:dyDescent="0.25">
      <c r="A424" s="140" t="s">
        <v>219</v>
      </c>
      <c r="B424" s="142" t="s">
        <v>220</v>
      </c>
      <c r="C424" s="139">
        <v>153</v>
      </c>
      <c r="D424" s="139" t="s">
        <v>58</v>
      </c>
      <c r="E424" s="261">
        <v>4617785</v>
      </c>
      <c r="F424" s="261">
        <v>3861580</v>
      </c>
      <c r="G424" s="287" t="s">
        <v>570</v>
      </c>
      <c r="H424" s="261">
        <v>756205</v>
      </c>
      <c r="I424" s="152">
        <v>0</v>
      </c>
      <c r="J424" s="152">
        <v>0</v>
      </c>
      <c r="K424" s="152">
        <v>0</v>
      </c>
      <c r="L424" s="261">
        <v>756205</v>
      </c>
    </row>
    <row r="425" spans="1:12" x14ac:dyDescent="0.25">
      <c r="A425" s="140" t="s">
        <v>239</v>
      </c>
      <c r="B425" s="142" t="s">
        <v>240</v>
      </c>
      <c r="C425" s="139">
        <v>155</v>
      </c>
      <c r="D425" s="139" t="s">
        <v>58</v>
      </c>
      <c r="E425" s="261">
        <v>987871</v>
      </c>
      <c r="F425" s="261">
        <v>268064</v>
      </c>
      <c r="G425" s="287" t="s">
        <v>570</v>
      </c>
      <c r="H425" s="261">
        <v>719807</v>
      </c>
      <c r="I425" s="152">
        <v>0</v>
      </c>
      <c r="J425" s="152">
        <v>0</v>
      </c>
      <c r="K425" s="152">
        <v>0</v>
      </c>
      <c r="L425" s="261">
        <v>719807</v>
      </c>
    </row>
    <row r="426" spans="1:12" x14ac:dyDescent="0.25">
      <c r="A426" s="140" t="s">
        <v>67</v>
      </c>
      <c r="B426" s="142" t="s">
        <v>68</v>
      </c>
      <c r="C426" s="139">
        <v>42</v>
      </c>
      <c r="D426" s="139" t="s">
        <v>58</v>
      </c>
      <c r="E426" s="261">
        <v>16152484</v>
      </c>
      <c r="F426" s="261">
        <v>13025656</v>
      </c>
      <c r="G426" s="287" t="s">
        <v>570</v>
      </c>
      <c r="H426" s="261">
        <v>3126828</v>
      </c>
      <c r="I426" s="152">
        <v>0</v>
      </c>
      <c r="J426" s="152">
        <v>0</v>
      </c>
      <c r="K426" s="152">
        <v>0</v>
      </c>
      <c r="L426" s="261">
        <v>3126828</v>
      </c>
    </row>
    <row r="427" spans="1:12" x14ac:dyDescent="0.25">
      <c r="A427" s="140" t="s">
        <v>221</v>
      </c>
      <c r="B427" s="142" t="s">
        <v>210</v>
      </c>
      <c r="C427" s="139">
        <v>48</v>
      </c>
      <c r="D427" s="139" t="s">
        <v>58</v>
      </c>
      <c r="E427" s="261">
        <v>23711552</v>
      </c>
      <c r="F427" s="261">
        <v>20724878</v>
      </c>
      <c r="G427" s="287" t="s">
        <v>570</v>
      </c>
      <c r="H427" s="261">
        <v>2986674</v>
      </c>
      <c r="I427" s="152">
        <v>0</v>
      </c>
      <c r="J427" s="152">
        <v>0</v>
      </c>
      <c r="K427" s="152">
        <v>0</v>
      </c>
      <c r="L427" s="261">
        <v>2986674</v>
      </c>
    </row>
    <row r="428" spans="1:12" ht="30.75" x14ac:dyDescent="0.25">
      <c r="A428" s="140" t="s">
        <v>56</v>
      </c>
      <c r="B428" s="142" t="s">
        <v>57</v>
      </c>
      <c r="C428" s="139">
        <v>218</v>
      </c>
      <c r="D428" s="139" t="s">
        <v>58</v>
      </c>
      <c r="E428" s="261">
        <v>3581330</v>
      </c>
      <c r="F428" s="261">
        <v>2599910</v>
      </c>
      <c r="G428" s="287" t="s">
        <v>570</v>
      </c>
      <c r="H428" s="261">
        <v>981420</v>
      </c>
      <c r="I428" s="152">
        <v>0</v>
      </c>
      <c r="J428" s="152">
        <v>0</v>
      </c>
      <c r="K428" s="152">
        <v>0</v>
      </c>
      <c r="L428" s="261">
        <v>981420</v>
      </c>
    </row>
    <row r="429" spans="1:12" x14ac:dyDescent="0.25">
      <c r="A429" s="140" t="s">
        <v>222</v>
      </c>
      <c r="B429" s="142" t="s">
        <v>223</v>
      </c>
      <c r="C429" s="139">
        <v>350</v>
      </c>
      <c r="D429" s="139" t="s">
        <v>58</v>
      </c>
      <c r="E429" s="261">
        <v>75583</v>
      </c>
      <c r="F429" s="261">
        <v>67957</v>
      </c>
      <c r="G429" s="287" t="s">
        <v>570</v>
      </c>
      <c r="H429" s="261">
        <v>7626</v>
      </c>
      <c r="I429" s="152">
        <v>0</v>
      </c>
      <c r="J429" s="152">
        <v>0</v>
      </c>
      <c r="K429" s="152">
        <v>0</v>
      </c>
      <c r="L429" s="261">
        <v>7626</v>
      </c>
    </row>
    <row r="430" spans="1:12" x14ac:dyDescent="0.25">
      <c r="A430" s="140" t="s">
        <v>287</v>
      </c>
      <c r="B430" s="142" t="s">
        <v>288</v>
      </c>
      <c r="C430" s="139">
        <v>195</v>
      </c>
      <c r="D430" s="139" t="s">
        <v>58</v>
      </c>
      <c r="E430" s="261">
        <v>9000</v>
      </c>
      <c r="F430" s="261">
        <v>4735</v>
      </c>
      <c r="G430" s="287" t="s">
        <v>570</v>
      </c>
      <c r="H430" s="261">
        <v>4265</v>
      </c>
      <c r="I430" s="152">
        <v>0</v>
      </c>
      <c r="J430" s="152">
        <v>0</v>
      </c>
      <c r="K430" s="152">
        <v>0</v>
      </c>
      <c r="L430" s="261">
        <v>4265</v>
      </c>
    </row>
    <row r="431" spans="1:12" x14ac:dyDescent="0.25">
      <c r="A431" s="140" t="s">
        <v>241</v>
      </c>
      <c r="B431" s="142" t="s">
        <v>242</v>
      </c>
      <c r="C431" s="139">
        <v>173</v>
      </c>
      <c r="D431" s="139" t="s">
        <v>58</v>
      </c>
      <c r="E431" s="261">
        <v>1547323</v>
      </c>
      <c r="F431" s="261">
        <v>1294523</v>
      </c>
      <c r="G431" s="287" t="s">
        <v>570</v>
      </c>
      <c r="H431" s="261">
        <v>252800</v>
      </c>
      <c r="I431" s="152">
        <v>0</v>
      </c>
      <c r="J431" s="152">
        <v>0</v>
      </c>
      <c r="K431" s="152">
        <v>0</v>
      </c>
      <c r="L431" s="261">
        <v>252800</v>
      </c>
    </row>
    <row r="432" spans="1:12" x14ac:dyDescent="0.25">
      <c r="A432" s="140" t="s">
        <v>278</v>
      </c>
      <c r="B432" s="142" t="s">
        <v>279</v>
      </c>
      <c r="C432" s="139">
        <v>304</v>
      </c>
      <c r="D432" s="139" t="s">
        <v>58</v>
      </c>
      <c r="E432" s="261">
        <v>201323</v>
      </c>
      <c r="F432" s="261">
        <v>12323</v>
      </c>
      <c r="G432" s="287" t="s">
        <v>570</v>
      </c>
      <c r="H432" s="261">
        <v>189000</v>
      </c>
      <c r="I432" s="152">
        <v>0</v>
      </c>
      <c r="J432" s="152">
        <v>0</v>
      </c>
      <c r="K432" s="152">
        <v>0</v>
      </c>
      <c r="L432" s="261">
        <v>189000</v>
      </c>
    </row>
    <row r="433" spans="1:12" ht="60.75" x14ac:dyDescent="0.25">
      <c r="A433" s="140" t="s">
        <v>280</v>
      </c>
      <c r="B433" s="142" t="s">
        <v>281</v>
      </c>
      <c r="C433" s="139">
        <v>329</v>
      </c>
      <c r="D433" s="139" t="s">
        <v>58</v>
      </c>
      <c r="E433" s="261">
        <v>1484136</v>
      </c>
      <c r="F433" s="261">
        <v>1185110</v>
      </c>
      <c r="G433" s="287" t="s">
        <v>570</v>
      </c>
      <c r="H433" s="261">
        <v>299026</v>
      </c>
      <c r="I433" s="152">
        <v>0</v>
      </c>
      <c r="J433" s="152">
        <v>0</v>
      </c>
      <c r="K433" s="152">
        <v>0</v>
      </c>
      <c r="L433" s="261">
        <v>299026</v>
      </c>
    </row>
    <row r="434" spans="1:12" ht="45.75" x14ac:dyDescent="0.25">
      <c r="A434" s="140" t="s">
        <v>248</v>
      </c>
      <c r="B434" s="142" t="s">
        <v>249</v>
      </c>
      <c r="C434" s="139">
        <v>261</v>
      </c>
      <c r="D434" s="139" t="s">
        <v>58</v>
      </c>
      <c r="E434" s="261">
        <v>790823</v>
      </c>
      <c r="F434" s="261">
        <v>738103</v>
      </c>
      <c r="G434" s="287" t="s">
        <v>570</v>
      </c>
      <c r="H434" s="261">
        <v>52720</v>
      </c>
      <c r="I434" s="152">
        <v>0</v>
      </c>
      <c r="J434" s="152">
        <v>0</v>
      </c>
      <c r="K434" s="152">
        <v>0</v>
      </c>
      <c r="L434" s="261">
        <v>52720</v>
      </c>
    </row>
    <row r="435" spans="1:12" x14ac:dyDescent="0.25">
      <c r="A435" s="140" t="s">
        <v>243</v>
      </c>
      <c r="B435" s="142" t="s">
        <v>229</v>
      </c>
      <c r="C435" s="139">
        <v>244</v>
      </c>
      <c r="D435" s="139" t="s">
        <v>58</v>
      </c>
      <c r="E435" s="261">
        <v>1888836</v>
      </c>
      <c r="F435" s="261">
        <v>1773230</v>
      </c>
      <c r="G435" s="287" t="s">
        <v>570</v>
      </c>
      <c r="H435" s="261">
        <v>115606</v>
      </c>
      <c r="I435" s="152">
        <v>0</v>
      </c>
      <c r="J435" s="152">
        <v>0</v>
      </c>
      <c r="K435" s="152">
        <v>0</v>
      </c>
      <c r="L435" s="261">
        <v>115606</v>
      </c>
    </row>
    <row r="436" spans="1:12" x14ac:dyDescent="0.25">
      <c r="A436" s="140" t="s">
        <v>259</v>
      </c>
      <c r="B436" s="142" t="s">
        <v>210</v>
      </c>
      <c r="C436" s="139">
        <v>280</v>
      </c>
      <c r="D436" s="139" t="s">
        <v>58</v>
      </c>
      <c r="E436" s="261">
        <v>119811</v>
      </c>
      <c r="F436" s="261">
        <v>29250</v>
      </c>
      <c r="G436" s="287" t="s">
        <v>570</v>
      </c>
      <c r="H436" s="261">
        <v>90561</v>
      </c>
      <c r="I436" s="152">
        <v>0</v>
      </c>
      <c r="J436" s="152">
        <v>0</v>
      </c>
      <c r="K436" s="152">
        <v>0</v>
      </c>
      <c r="L436" s="261">
        <v>90561</v>
      </c>
    </row>
    <row r="437" spans="1:12" ht="30.75" x14ac:dyDescent="0.25">
      <c r="A437" s="140" t="s">
        <v>282</v>
      </c>
      <c r="B437" s="142" t="s">
        <v>196</v>
      </c>
      <c r="C437" s="139">
        <v>176</v>
      </c>
      <c r="D437" s="139" t="s">
        <v>58</v>
      </c>
      <c r="E437" s="261">
        <v>4838148</v>
      </c>
      <c r="F437" s="261">
        <v>3627093</v>
      </c>
      <c r="G437" s="287" t="s">
        <v>570</v>
      </c>
      <c r="H437" s="261">
        <v>1211055</v>
      </c>
      <c r="I437" s="152">
        <v>0</v>
      </c>
      <c r="J437" s="152">
        <v>0</v>
      </c>
      <c r="K437" s="152">
        <v>0</v>
      </c>
      <c r="L437" s="261">
        <v>1211055</v>
      </c>
    </row>
    <row r="438" spans="1:12" x14ac:dyDescent="0.25">
      <c r="A438" s="140" t="s">
        <v>289</v>
      </c>
      <c r="B438" s="142" t="s">
        <v>290</v>
      </c>
      <c r="C438" s="139">
        <v>57</v>
      </c>
      <c r="D438" s="139" t="s">
        <v>58</v>
      </c>
      <c r="E438" s="261">
        <v>108771</v>
      </c>
      <c r="F438" s="261">
        <v>62375</v>
      </c>
      <c r="G438" s="287" t="s">
        <v>570</v>
      </c>
      <c r="H438" s="261">
        <v>46396</v>
      </c>
      <c r="I438" s="152">
        <v>0</v>
      </c>
      <c r="J438" s="152">
        <v>0</v>
      </c>
      <c r="K438" s="152">
        <v>0</v>
      </c>
      <c r="L438" s="261">
        <v>46396</v>
      </c>
    </row>
    <row r="439" spans="1:12" x14ac:dyDescent="0.25">
      <c r="A439" s="140" t="s">
        <v>226</v>
      </c>
      <c r="B439" s="142" t="s">
        <v>227</v>
      </c>
      <c r="C439" s="139">
        <v>171</v>
      </c>
      <c r="D439" s="139" t="s">
        <v>58</v>
      </c>
      <c r="E439" s="261">
        <v>2690215</v>
      </c>
      <c r="F439" s="261">
        <v>2201763</v>
      </c>
      <c r="G439" s="287" t="s">
        <v>570</v>
      </c>
      <c r="H439" s="261">
        <v>488452</v>
      </c>
      <c r="I439" s="152">
        <v>0</v>
      </c>
      <c r="J439" s="152">
        <v>0</v>
      </c>
      <c r="K439" s="152">
        <v>0</v>
      </c>
      <c r="L439" s="261">
        <v>488452</v>
      </c>
    </row>
    <row r="440" spans="1:12" ht="45.75" x14ac:dyDescent="0.25">
      <c r="A440" s="140" t="s">
        <v>228</v>
      </c>
      <c r="B440" s="142" t="s">
        <v>229</v>
      </c>
      <c r="C440" s="139">
        <v>258</v>
      </c>
      <c r="D440" s="139" t="s">
        <v>58</v>
      </c>
      <c r="E440" s="261">
        <v>3264325</v>
      </c>
      <c r="F440" s="261">
        <v>2074791</v>
      </c>
      <c r="G440" s="287" t="s">
        <v>570</v>
      </c>
      <c r="H440" s="261">
        <v>1189534</v>
      </c>
      <c r="I440" s="152">
        <v>0</v>
      </c>
      <c r="J440" s="152">
        <v>0</v>
      </c>
      <c r="K440" s="152">
        <v>0</v>
      </c>
      <c r="L440" s="261">
        <v>1189534</v>
      </c>
    </row>
    <row r="441" spans="1:12" x14ac:dyDescent="0.25">
      <c r="A441" s="140" t="s">
        <v>260</v>
      </c>
      <c r="B441" s="142" t="s">
        <v>261</v>
      </c>
      <c r="C441" s="139">
        <v>228</v>
      </c>
      <c r="D441" s="139" t="s">
        <v>58</v>
      </c>
      <c r="E441" s="261">
        <v>7405</v>
      </c>
      <c r="F441" s="261">
        <v>3652</v>
      </c>
      <c r="G441" s="287" t="s">
        <v>570</v>
      </c>
      <c r="H441" s="261">
        <v>3753</v>
      </c>
      <c r="I441" s="152">
        <v>0</v>
      </c>
      <c r="J441" s="152">
        <v>0</v>
      </c>
      <c r="K441" s="152">
        <v>0</v>
      </c>
      <c r="L441" s="261">
        <v>3753</v>
      </c>
    </row>
    <row r="442" spans="1:12" x14ac:dyDescent="0.25">
      <c r="A442" s="140" t="s">
        <v>291</v>
      </c>
      <c r="B442" s="142" t="s">
        <v>292</v>
      </c>
      <c r="C442" s="139">
        <v>58</v>
      </c>
      <c r="D442" s="139" t="s">
        <v>58</v>
      </c>
      <c r="E442" s="261">
        <v>205106</v>
      </c>
      <c r="F442" s="261">
        <v>197875</v>
      </c>
      <c r="G442" s="287" t="s">
        <v>570</v>
      </c>
      <c r="H442" s="261">
        <v>7231</v>
      </c>
      <c r="I442" s="152">
        <v>0</v>
      </c>
      <c r="J442" s="152">
        <v>0</v>
      </c>
      <c r="K442" s="152">
        <v>0</v>
      </c>
      <c r="L442" s="261">
        <v>7231</v>
      </c>
    </row>
    <row r="443" spans="1:12" x14ac:dyDescent="0.25">
      <c r="A443" s="140" t="s">
        <v>262</v>
      </c>
      <c r="B443" s="142" t="s">
        <v>263</v>
      </c>
      <c r="C443" s="139">
        <v>308</v>
      </c>
      <c r="D443" s="139" t="s">
        <v>58</v>
      </c>
      <c r="E443" s="261">
        <v>242733</v>
      </c>
      <c r="F443" s="261">
        <v>87061</v>
      </c>
      <c r="G443" s="287" t="s">
        <v>570</v>
      </c>
      <c r="H443" s="261">
        <v>155672</v>
      </c>
      <c r="I443" s="152">
        <v>0</v>
      </c>
      <c r="J443" s="152">
        <v>0</v>
      </c>
      <c r="K443" s="152">
        <v>0</v>
      </c>
      <c r="L443" s="261">
        <v>155672</v>
      </c>
    </row>
    <row r="444" spans="1:12" x14ac:dyDescent="0.25">
      <c r="A444" s="140" t="s">
        <v>230</v>
      </c>
      <c r="B444" s="142" t="s">
        <v>210</v>
      </c>
      <c r="C444" s="139">
        <v>260</v>
      </c>
      <c r="D444" s="139" t="s">
        <v>58</v>
      </c>
      <c r="E444" s="261">
        <v>17524560</v>
      </c>
      <c r="F444" s="261">
        <v>14643538</v>
      </c>
      <c r="G444" s="287" t="s">
        <v>570</v>
      </c>
      <c r="H444" s="261">
        <v>2881022</v>
      </c>
      <c r="I444" s="152">
        <v>0</v>
      </c>
      <c r="J444" s="152">
        <v>0</v>
      </c>
      <c r="K444" s="152">
        <v>0</v>
      </c>
      <c r="L444" s="261">
        <v>2881022</v>
      </c>
    </row>
    <row r="445" spans="1:12" ht="30.75" x14ac:dyDescent="0.25">
      <c r="A445" s="140" t="s">
        <v>244</v>
      </c>
      <c r="B445" s="142" t="s">
        <v>245</v>
      </c>
      <c r="C445" s="139">
        <v>346</v>
      </c>
      <c r="D445" s="139" t="s">
        <v>58</v>
      </c>
      <c r="E445" s="261">
        <v>32108</v>
      </c>
      <c r="F445" s="261">
        <v>16987</v>
      </c>
      <c r="G445" s="287" t="s">
        <v>570</v>
      </c>
      <c r="H445" s="261">
        <v>15121</v>
      </c>
      <c r="I445" s="152">
        <v>0</v>
      </c>
      <c r="J445" s="152">
        <v>0</v>
      </c>
      <c r="K445" s="152">
        <v>0</v>
      </c>
      <c r="L445" s="261">
        <v>15121</v>
      </c>
    </row>
    <row r="446" spans="1:12" ht="30.75" x14ac:dyDescent="0.25">
      <c r="A446" s="140" t="s">
        <v>233</v>
      </c>
      <c r="B446" s="142" t="s">
        <v>234</v>
      </c>
      <c r="C446" s="139">
        <v>351</v>
      </c>
      <c r="D446" s="139" t="s">
        <v>58</v>
      </c>
      <c r="E446" s="261">
        <v>122036</v>
      </c>
      <c r="F446" s="261">
        <v>112462</v>
      </c>
      <c r="G446" s="287" t="s">
        <v>570</v>
      </c>
      <c r="H446" s="261">
        <v>9574</v>
      </c>
      <c r="I446" s="152">
        <v>0</v>
      </c>
      <c r="J446" s="152">
        <v>0</v>
      </c>
      <c r="K446" s="152">
        <v>0</v>
      </c>
      <c r="L446" s="261">
        <v>9574</v>
      </c>
    </row>
    <row r="447" spans="1:12" x14ac:dyDescent="0.25">
      <c r="A447" s="140" t="s">
        <v>250</v>
      </c>
      <c r="B447" s="142" t="s">
        <v>251</v>
      </c>
      <c r="C447" s="139">
        <v>305</v>
      </c>
      <c r="D447" s="139" t="s">
        <v>37</v>
      </c>
      <c r="E447" s="261">
        <v>163684</v>
      </c>
      <c r="F447" s="261">
        <v>121828</v>
      </c>
      <c r="G447" s="287" t="s">
        <v>570</v>
      </c>
      <c r="H447" s="261">
        <f t="shared" ref="H447:H478" si="0">E447-F447</f>
        <v>41856</v>
      </c>
      <c r="I447" s="152">
        <v>0</v>
      </c>
      <c r="J447" s="152">
        <v>0</v>
      </c>
      <c r="K447" s="152">
        <f t="shared" ref="K447:K510" si="1">I447-J447</f>
        <v>0</v>
      </c>
      <c r="L447" s="261">
        <f t="shared" ref="L447:L510" si="2">H447-K447</f>
        <v>41856</v>
      </c>
    </row>
    <row r="448" spans="1:12" x14ac:dyDescent="0.25">
      <c r="A448" s="140" t="s">
        <v>283</v>
      </c>
      <c r="B448" s="142" t="s">
        <v>284</v>
      </c>
      <c r="C448" s="139">
        <v>269</v>
      </c>
      <c r="D448" s="139" t="s">
        <v>37</v>
      </c>
      <c r="E448" s="261">
        <v>12470</v>
      </c>
      <c r="F448" s="261">
        <v>9355</v>
      </c>
      <c r="G448" s="287" t="s">
        <v>570</v>
      </c>
      <c r="H448" s="261">
        <f t="shared" si="0"/>
        <v>3115</v>
      </c>
      <c r="I448" s="152">
        <v>0</v>
      </c>
      <c r="J448" s="152">
        <v>0</v>
      </c>
      <c r="K448" s="152">
        <f t="shared" si="1"/>
        <v>0</v>
      </c>
      <c r="L448" s="261">
        <f t="shared" si="2"/>
        <v>3115</v>
      </c>
    </row>
    <row r="449" spans="1:12" ht="30.75" x14ac:dyDescent="0.25">
      <c r="A449" s="140" t="s">
        <v>185</v>
      </c>
      <c r="B449" s="142" t="s">
        <v>186</v>
      </c>
      <c r="C449" s="139">
        <v>250</v>
      </c>
      <c r="D449" s="139" t="s">
        <v>37</v>
      </c>
      <c r="E449" s="261">
        <v>1382752</v>
      </c>
      <c r="F449" s="261">
        <v>1354624</v>
      </c>
      <c r="G449" s="287" t="s">
        <v>570</v>
      </c>
      <c r="H449" s="261">
        <f t="shared" si="0"/>
        <v>28128</v>
      </c>
      <c r="I449" s="152">
        <v>0</v>
      </c>
      <c r="J449" s="152">
        <v>0</v>
      </c>
      <c r="K449" s="152">
        <f t="shared" si="1"/>
        <v>0</v>
      </c>
      <c r="L449" s="261">
        <f t="shared" si="2"/>
        <v>28128</v>
      </c>
    </row>
    <row r="450" spans="1:12" ht="30.75" x14ac:dyDescent="0.25">
      <c r="A450" s="140" t="s">
        <v>277</v>
      </c>
      <c r="B450" s="142" t="s">
        <v>272</v>
      </c>
      <c r="C450" s="139">
        <v>348</v>
      </c>
      <c r="D450" s="139" t="s">
        <v>37</v>
      </c>
      <c r="E450" s="261">
        <v>54274890</v>
      </c>
      <c r="F450" s="261">
        <v>43186728</v>
      </c>
      <c r="G450" s="287" t="s">
        <v>570</v>
      </c>
      <c r="H450" s="261">
        <f t="shared" si="0"/>
        <v>11088162</v>
      </c>
      <c r="I450" s="152">
        <v>0</v>
      </c>
      <c r="J450" s="152">
        <v>0</v>
      </c>
      <c r="K450" s="152">
        <f t="shared" si="1"/>
        <v>0</v>
      </c>
      <c r="L450" s="261">
        <f t="shared" si="2"/>
        <v>11088162</v>
      </c>
    </row>
    <row r="451" spans="1:12" ht="30.75" x14ac:dyDescent="0.25">
      <c r="A451" s="140" t="s">
        <v>264</v>
      </c>
      <c r="B451" s="142" t="s">
        <v>64</v>
      </c>
      <c r="C451" s="139">
        <v>354</v>
      </c>
      <c r="D451" s="139" t="s">
        <v>37</v>
      </c>
      <c r="E451" s="261">
        <v>49027</v>
      </c>
      <c r="F451" s="261">
        <v>43176</v>
      </c>
      <c r="G451" s="287" t="s">
        <v>570</v>
      </c>
      <c r="H451" s="261">
        <f t="shared" si="0"/>
        <v>5851</v>
      </c>
      <c r="I451" s="152">
        <v>0</v>
      </c>
      <c r="J451" s="152">
        <v>0</v>
      </c>
      <c r="K451" s="152">
        <f t="shared" si="1"/>
        <v>0</v>
      </c>
      <c r="L451" s="261">
        <f t="shared" si="2"/>
        <v>5851</v>
      </c>
    </row>
    <row r="452" spans="1:12" x14ac:dyDescent="0.25">
      <c r="A452" s="140" t="s">
        <v>246</v>
      </c>
      <c r="B452" s="142" t="s">
        <v>247</v>
      </c>
      <c r="C452" s="139">
        <v>278</v>
      </c>
      <c r="D452" s="139" t="s">
        <v>37</v>
      </c>
      <c r="E452" s="261">
        <v>1945612</v>
      </c>
      <c r="F452" s="261">
        <v>1771159</v>
      </c>
      <c r="G452" s="287" t="s">
        <v>570</v>
      </c>
      <c r="H452" s="261">
        <f t="shared" si="0"/>
        <v>174453</v>
      </c>
      <c r="I452" s="152">
        <v>0</v>
      </c>
      <c r="J452" s="152">
        <v>0</v>
      </c>
      <c r="K452" s="152">
        <f t="shared" si="1"/>
        <v>0</v>
      </c>
      <c r="L452" s="261">
        <f t="shared" si="2"/>
        <v>174453</v>
      </c>
    </row>
    <row r="453" spans="1:12" x14ac:dyDescent="0.25">
      <c r="A453" s="140" t="s">
        <v>252</v>
      </c>
      <c r="B453" s="142" t="s">
        <v>253</v>
      </c>
      <c r="C453" s="139">
        <v>309</v>
      </c>
      <c r="D453" s="139" t="s">
        <v>37</v>
      </c>
      <c r="E453" s="261">
        <v>10638</v>
      </c>
      <c r="F453" s="261">
        <v>1061</v>
      </c>
      <c r="G453" s="287" t="s">
        <v>570</v>
      </c>
      <c r="H453" s="261">
        <f t="shared" si="0"/>
        <v>9577</v>
      </c>
      <c r="I453" s="152">
        <v>0</v>
      </c>
      <c r="J453" s="152">
        <v>0</v>
      </c>
      <c r="K453" s="152">
        <f t="shared" si="1"/>
        <v>0</v>
      </c>
      <c r="L453" s="261">
        <f t="shared" si="2"/>
        <v>9577</v>
      </c>
    </row>
    <row r="454" spans="1:12" ht="30.75" x14ac:dyDescent="0.25">
      <c r="A454" s="140" t="s">
        <v>191</v>
      </c>
      <c r="B454" s="142" t="s">
        <v>192</v>
      </c>
      <c r="C454" s="139">
        <v>11</v>
      </c>
      <c r="D454" s="139" t="s">
        <v>37</v>
      </c>
      <c r="E454" s="261">
        <v>21146549</v>
      </c>
      <c r="F454" s="261">
        <v>17942274</v>
      </c>
      <c r="G454" s="287" t="s">
        <v>570</v>
      </c>
      <c r="H454" s="261">
        <f t="shared" si="0"/>
        <v>3204275</v>
      </c>
      <c r="I454" s="261">
        <v>6116</v>
      </c>
      <c r="J454" s="261">
        <v>2133</v>
      </c>
      <c r="K454" s="261">
        <f t="shared" si="1"/>
        <v>3983</v>
      </c>
      <c r="L454" s="261">
        <f t="shared" si="2"/>
        <v>3200292</v>
      </c>
    </row>
    <row r="455" spans="1:12" ht="30.75" x14ac:dyDescent="0.25">
      <c r="A455" s="140" t="s">
        <v>193</v>
      </c>
      <c r="B455" s="142" t="s">
        <v>194</v>
      </c>
      <c r="C455" s="139">
        <v>313</v>
      </c>
      <c r="D455" s="139" t="s">
        <v>37</v>
      </c>
      <c r="E455" s="261">
        <v>3339644</v>
      </c>
      <c r="F455" s="261">
        <v>3296121</v>
      </c>
      <c r="G455" s="287" t="s">
        <v>570</v>
      </c>
      <c r="H455" s="261">
        <f t="shared" si="0"/>
        <v>43523</v>
      </c>
      <c r="I455" s="152">
        <v>0</v>
      </c>
      <c r="J455" s="152">
        <v>0</v>
      </c>
      <c r="K455" s="152">
        <f t="shared" si="1"/>
        <v>0</v>
      </c>
      <c r="L455" s="261">
        <f t="shared" si="2"/>
        <v>43523</v>
      </c>
    </row>
    <row r="456" spans="1:12" ht="45.75" x14ac:dyDescent="0.25">
      <c r="A456" s="140" t="s">
        <v>197</v>
      </c>
      <c r="B456" s="142" t="s">
        <v>198</v>
      </c>
      <c r="C456" s="139">
        <v>272</v>
      </c>
      <c r="D456" s="139" t="s">
        <v>37</v>
      </c>
      <c r="E456" s="261">
        <v>9245785</v>
      </c>
      <c r="F456" s="261">
        <v>9214618</v>
      </c>
      <c r="G456" s="287" t="s">
        <v>570</v>
      </c>
      <c r="H456" s="261">
        <f t="shared" si="0"/>
        <v>31167</v>
      </c>
      <c r="I456" s="152">
        <v>0</v>
      </c>
      <c r="J456" s="152">
        <v>0</v>
      </c>
      <c r="K456" s="152">
        <f t="shared" si="1"/>
        <v>0</v>
      </c>
      <c r="L456" s="261">
        <f t="shared" si="2"/>
        <v>31167</v>
      </c>
    </row>
    <row r="457" spans="1:12" ht="45.75" x14ac:dyDescent="0.25">
      <c r="A457" s="140" t="s">
        <v>199</v>
      </c>
      <c r="B457" s="142" t="s">
        <v>200</v>
      </c>
      <c r="C457" s="139">
        <v>276</v>
      </c>
      <c r="D457" s="139" t="s">
        <v>37</v>
      </c>
      <c r="E457" s="261">
        <v>824608</v>
      </c>
      <c r="F457" s="261">
        <v>616600</v>
      </c>
      <c r="G457" s="287" t="s">
        <v>570</v>
      </c>
      <c r="H457" s="261">
        <f t="shared" si="0"/>
        <v>208008</v>
      </c>
      <c r="I457" s="152">
        <v>0</v>
      </c>
      <c r="J457" s="152">
        <v>0</v>
      </c>
      <c r="K457" s="152">
        <f t="shared" si="1"/>
        <v>0</v>
      </c>
      <c r="L457" s="261">
        <f t="shared" si="2"/>
        <v>208008</v>
      </c>
    </row>
    <row r="458" spans="1:12" ht="90.75" x14ac:dyDescent="0.25">
      <c r="A458" s="140" t="s">
        <v>201</v>
      </c>
      <c r="B458" s="142" t="s">
        <v>202</v>
      </c>
      <c r="C458" s="139">
        <v>292</v>
      </c>
      <c r="D458" s="139" t="s">
        <v>37</v>
      </c>
      <c r="E458" s="261">
        <v>8776032</v>
      </c>
      <c r="F458" s="261">
        <v>8520670</v>
      </c>
      <c r="G458" s="287" t="s">
        <v>570</v>
      </c>
      <c r="H458" s="261">
        <f t="shared" si="0"/>
        <v>255362</v>
      </c>
      <c r="I458" s="261">
        <v>33477</v>
      </c>
      <c r="J458" s="261">
        <v>11081</v>
      </c>
      <c r="K458" s="261">
        <f t="shared" si="1"/>
        <v>22396</v>
      </c>
      <c r="L458" s="261">
        <f t="shared" si="2"/>
        <v>232966</v>
      </c>
    </row>
    <row r="459" spans="1:12" ht="30.75" x14ac:dyDescent="0.25">
      <c r="A459" s="140" t="s">
        <v>203</v>
      </c>
      <c r="B459" s="142" t="s">
        <v>204</v>
      </c>
      <c r="C459" s="139">
        <v>209</v>
      </c>
      <c r="D459" s="139" t="s">
        <v>37</v>
      </c>
      <c r="E459" s="261">
        <v>337987</v>
      </c>
      <c r="F459" s="261">
        <v>316188</v>
      </c>
      <c r="G459" s="287" t="s">
        <v>570</v>
      </c>
      <c r="H459" s="261">
        <f t="shared" si="0"/>
        <v>21799</v>
      </c>
      <c r="I459" s="152">
        <v>0</v>
      </c>
      <c r="J459" s="152">
        <v>0</v>
      </c>
      <c r="K459" s="152">
        <f t="shared" si="1"/>
        <v>0</v>
      </c>
      <c r="L459" s="261">
        <f t="shared" si="2"/>
        <v>21799</v>
      </c>
    </row>
    <row r="460" spans="1:12" x14ac:dyDescent="0.25">
      <c r="A460" s="140" t="s">
        <v>205</v>
      </c>
      <c r="B460" s="142" t="s">
        <v>206</v>
      </c>
      <c r="C460" s="139">
        <v>183</v>
      </c>
      <c r="D460" s="139" t="s">
        <v>37</v>
      </c>
      <c r="E460" s="261">
        <v>444298</v>
      </c>
      <c r="F460" s="261">
        <v>442546</v>
      </c>
      <c r="G460" s="287" t="s">
        <v>570</v>
      </c>
      <c r="H460" s="261">
        <f t="shared" si="0"/>
        <v>1752</v>
      </c>
      <c r="I460" s="152">
        <v>0</v>
      </c>
      <c r="J460" s="152">
        <v>0</v>
      </c>
      <c r="K460" s="152">
        <f t="shared" si="1"/>
        <v>0</v>
      </c>
      <c r="L460" s="261">
        <f t="shared" si="2"/>
        <v>1752</v>
      </c>
    </row>
    <row r="461" spans="1:12" x14ac:dyDescent="0.25">
      <c r="A461" s="140" t="s">
        <v>237</v>
      </c>
      <c r="B461" s="142" t="s">
        <v>238</v>
      </c>
      <c r="C461" s="139">
        <v>251</v>
      </c>
      <c r="D461" s="139" t="s">
        <v>37</v>
      </c>
      <c r="E461" s="261">
        <v>382165</v>
      </c>
      <c r="F461" s="261">
        <v>323806</v>
      </c>
      <c r="G461" s="287" t="s">
        <v>570</v>
      </c>
      <c r="H461" s="261">
        <f t="shared" si="0"/>
        <v>58359</v>
      </c>
      <c r="I461" s="152">
        <v>0</v>
      </c>
      <c r="J461" s="152">
        <v>0</v>
      </c>
      <c r="K461" s="152">
        <f t="shared" si="1"/>
        <v>0</v>
      </c>
      <c r="L461" s="261">
        <f t="shared" si="2"/>
        <v>58359</v>
      </c>
    </row>
    <row r="462" spans="1:12" x14ac:dyDescent="0.25">
      <c r="A462" s="140" t="s">
        <v>285</v>
      </c>
      <c r="B462" s="142" t="s">
        <v>286</v>
      </c>
      <c r="C462" s="139">
        <v>333</v>
      </c>
      <c r="D462" s="139" t="s">
        <v>37</v>
      </c>
      <c r="E462" s="261">
        <v>65793</v>
      </c>
      <c r="F462" s="261">
        <v>47649</v>
      </c>
      <c r="G462" s="287" t="s">
        <v>570</v>
      </c>
      <c r="H462" s="261">
        <f t="shared" si="0"/>
        <v>18144</v>
      </c>
      <c r="I462" s="152">
        <v>0</v>
      </c>
      <c r="J462" s="152">
        <v>0</v>
      </c>
      <c r="K462" s="152">
        <f t="shared" si="1"/>
        <v>0</v>
      </c>
      <c r="L462" s="261">
        <f t="shared" si="2"/>
        <v>18144</v>
      </c>
    </row>
    <row r="463" spans="1:12" ht="30.75" x14ac:dyDescent="0.25">
      <c r="A463" s="140" t="s">
        <v>254</v>
      </c>
      <c r="B463" s="142" t="s">
        <v>196</v>
      </c>
      <c r="C463" s="139">
        <v>91</v>
      </c>
      <c r="D463" s="139" t="s">
        <v>37</v>
      </c>
      <c r="E463" s="261">
        <v>12754</v>
      </c>
      <c r="F463" s="261">
        <v>10819</v>
      </c>
      <c r="G463" s="287" t="s">
        <v>570</v>
      </c>
      <c r="H463" s="261">
        <f t="shared" si="0"/>
        <v>1935</v>
      </c>
      <c r="I463" s="152">
        <v>0</v>
      </c>
      <c r="J463" s="152">
        <v>0</v>
      </c>
      <c r="K463" s="152">
        <f t="shared" si="1"/>
        <v>0</v>
      </c>
      <c r="L463" s="261">
        <f t="shared" si="2"/>
        <v>1935</v>
      </c>
    </row>
    <row r="464" spans="1:12" ht="30.75" x14ac:dyDescent="0.25">
      <c r="A464" s="140" t="s">
        <v>209</v>
      </c>
      <c r="B464" s="142" t="s">
        <v>210</v>
      </c>
      <c r="C464" s="139">
        <v>297</v>
      </c>
      <c r="D464" s="139" t="s">
        <v>37</v>
      </c>
      <c r="E464" s="261">
        <v>256893924</v>
      </c>
      <c r="F464" s="261">
        <v>175216847</v>
      </c>
      <c r="G464" s="287" t="s">
        <v>570</v>
      </c>
      <c r="H464" s="261">
        <f t="shared" si="0"/>
        <v>81677077</v>
      </c>
      <c r="I464" s="152">
        <v>0</v>
      </c>
      <c r="J464" s="152">
        <v>0</v>
      </c>
      <c r="K464" s="152">
        <f t="shared" si="1"/>
        <v>0</v>
      </c>
      <c r="L464" s="261">
        <f t="shared" si="2"/>
        <v>81677077</v>
      </c>
    </row>
    <row r="465" spans="1:12" x14ac:dyDescent="0.25">
      <c r="A465" s="140" t="s">
        <v>211</v>
      </c>
      <c r="B465" s="142" t="s">
        <v>212</v>
      </c>
      <c r="C465" s="139">
        <v>166</v>
      </c>
      <c r="D465" s="139" t="s">
        <v>37</v>
      </c>
      <c r="E465" s="261">
        <v>8133459</v>
      </c>
      <c r="F465" s="261">
        <v>7007725</v>
      </c>
      <c r="G465" s="287" t="s">
        <v>570</v>
      </c>
      <c r="H465" s="261">
        <f t="shared" si="0"/>
        <v>1125734</v>
      </c>
      <c r="I465" s="152">
        <v>0</v>
      </c>
      <c r="J465" s="152">
        <v>0</v>
      </c>
      <c r="K465" s="152">
        <f t="shared" si="1"/>
        <v>0</v>
      </c>
      <c r="L465" s="261">
        <f t="shared" si="2"/>
        <v>1125734</v>
      </c>
    </row>
    <row r="466" spans="1:12" x14ac:dyDescent="0.25">
      <c r="A466" s="140" t="s">
        <v>255</v>
      </c>
      <c r="B466" s="142" t="s">
        <v>256</v>
      </c>
      <c r="C466" s="139">
        <v>268</v>
      </c>
      <c r="D466" s="139" t="s">
        <v>37</v>
      </c>
      <c r="E466" s="261">
        <v>7419164</v>
      </c>
      <c r="F466" s="261">
        <v>6754707</v>
      </c>
      <c r="G466" s="287" t="s">
        <v>570</v>
      </c>
      <c r="H466" s="261">
        <f t="shared" si="0"/>
        <v>664457</v>
      </c>
      <c r="I466" s="152">
        <v>0</v>
      </c>
      <c r="J466" s="152">
        <v>0</v>
      </c>
      <c r="K466" s="152">
        <f t="shared" si="1"/>
        <v>0</v>
      </c>
      <c r="L466" s="261">
        <f t="shared" si="2"/>
        <v>664457</v>
      </c>
    </row>
    <row r="467" spans="1:12" x14ac:dyDescent="0.25">
      <c r="A467" s="140" t="s">
        <v>213</v>
      </c>
      <c r="B467" s="142" t="s">
        <v>214</v>
      </c>
      <c r="C467" s="139">
        <v>32</v>
      </c>
      <c r="D467" s="139" t="s">
        <v>37</v>
      </c>
      <c r="E467" s="261">
        <v>4671453</v>
      </c>
      <c r="F467" s="261">
        <v>4619165</v>
      </c>
      <c r="G467" s="287" t="s">
        <v>570</v>
      </c>
      <c r="H467" s="261">
        <f t="shared" si="0"/>
        <v>52288</v>
      </c>
      <c r="I467" s="152">
        <v>0</v>
      </c>
      <c r="J467" s="152">
        <v>0</v>
      </c>
      <c r="K467" s="152">
        <f t="shared" si="1"/>
        <v>0</v>
      </c>
      <c r="L467" s="261">
        <f t="shared" si="2"/>
        <v>52288</v>
      </c>
    </row>
    <row r="468" spans="1:12" x14ac:dyDescent="0.25">
      <c r="A468" s="140" t="s">
        <v>273</v>
      </c>
      <c r="B468" s="142" t="s">
        <v>216</v>
      </c>
      <c r="C468" s="139">
        <v>230</v>
      </c>
      <c r="D468" s="139" t="s">
        <v>37</v>
      </c>
      <c r="E468" s="261">
        <v>5705616</v>
      </c>
      <c r="F468" s="261">
        <v>5667416</v>
      </c>
      <c r="G468" s="287" t="s">
        <v>570</v>
      </c>
      <c r="H468" s="261">
        <f t="shared" si="0"/>
        <v>38200</v>
      </c>
      <c r="I468" s="261">
        <v>173</v>
      </c>
      <c r="J468" s="261">
        <v>173</v>
      </c>
      <c r="K468" s="152">
        <f t="shared" si="1"/>
        <v>0</v>
      </c>
      <c r="L468" s="261">
        <f t="shared" si="2"/>
        <v>38200</v>
      </c>
    </row>
    <row r="469" spans="1:12" x14ac:dyDescent="0.25">
      <c r="A469" s="140" t="s">
        <v>257</v>
      </c>
      <c r="B469" s="142" t="s">
        <v>258</v>
      </c>
      <c r="C469" s="139">
        <v>148</v>
      </c>
      <c r="D469" s="139" t="s">
        <v>37</v>
      </c>
      <c r="E469" s="261">
        <v>199869</v>
      </c>
      <c r="F469" s="261">
        <v>7800</v>
      </c>
      <c r="G469" s="287" t="s">
        <v>570</v>
      </c>
      <c r="H469" s="261">
        <f t="shared" si="0"/>
        <v>192069</v>
      </c>
      <c r="I469" s="152">
        <v>0</v>
      </c>
      <c r="J469" s="152">
        <v>0</v>
      </c>
      <c r="K469" s="152">
        <f t="shared" si="1"/>
        <v>0</v>
      </c>
      <c r="L469" s="261">
        <f t="shared" si="2"/>
        <v>192069</v>
      </c>
    </row>
    <row r="470" spans="1:12" x14ac:dyDescent="0.25">
      <c r="A470" s="140" t="s">
        <v>219</v>
      </c>
      <c r="B470" s="142" t="s">
        <v>220</v>
      </c>
      <c r="C470" s="139">
        <v>153</v>
      </c>
      <c r="D470" s="139" t="s">
        <v>37</v>
      </c>
      <c r="E470" s="261">
        <v>4394453</v>
      </c>
      <c r="F470" s="261">
        <v>4276983</v>
      </c>
      <c r="G470" s="287" t="s">
        <v>570</v>
      </c>
      <c r="H470" s="261">
        <f t="shared" si="0"/>
        <v>117470</v>
      </c>
      <c r="I470" s="152">
        <v>0</v>
      </c>
      <c r="J470" s="152">
        <v>0</v>
      </c>
      <c r="K470" s="152">
        <f t="shared" si="1"/>
        <v>0</v>
      </c>
      <c r="L470" s="261">
        <f t="shared" si="2"/>
        <v>117470</v>
      </c>
    </row>
    <row r="471" spans="1:12" x14ac:dyDescent="0.25">
      <c r="A471" s="140" t="s">
        <v>239</v>
      </c>
      <c r="B471" s="142" t="s">
        <v>240</v>
      </c>
      <c r="C471" s="139">
        <v>155</v>
      </c>
      <c r="D471" s="139" t="s">
        <v>37</v>
      </c>
      <c r="E471" s="261">
        <v>1071881</v>
      </c>
      <c r="F471" s="261">
        <v>1019256</v>
      </c>
      <c r="G471" s="287" t="s">
        <v>570</v>
      </c>
      <c r="H471" s="261">
        <f t="shared" si="0"/>
        <v>52625</v>
      </c>
      <c r="I471" s="152">
        <v>0</v>
      </c>
      <c r="J471" s="152">
        <v>0</v>
      </c>
      <c r="K471" s="152">
        <f t="shared" si="1"/>
        <v>0</v>
      </c>
      <c r="L471" s="261">
        <f t="shared" si="2"/>
        <v>52625</v>
      </c>
    </row>
    <row r="472" spans="1:12" x14ac:dyDescent="0.25">
      <c r="A472" s="140" t="s">
        <v>67</v>
      </c>
      <c r="B472" s="142" t="s">
        <v>68</v>
      </c>
      <c r="C472" s="139">
        <v>42</v>
      </c>
      <c r="D472" s="139" t="s">
        <v>37</v>
      </c>
      <c r="E472" s="261">
        <v>16547869</v>
      </c>
      <c r="F472" s="261">
        <v>13812414</v>
      </c>
      <c r="G472" s="287" t="s">
        <v>570</v>
      </c>
      <c r="H472" s="261">
        <f t="shared" si="0"/>
        <v>2735455</v>
      </c>
      <c r="I472" s="261">
        <v>5</v>
      </c>
      <c r="J472" s="261">
        <v>1</v>
      </c>
      <c r="K472" s="261">
        <f t="shared" si="1"/>
        <v>4</v>
      </c>
      <c r="L472" s="261">
        <f t="shared" si="2"/>
        <v>2735451</v>
      </c>
    </row>
    <row r="473" spans="1:12" x14ac:dyDescent="0.25">
      <c r="A473" s="140" t="s">
        <v>221</v>
      </c>
      <c r="B473" s="142" t="s">
        <v>210</v>
      </c>
      <c r="C473" s="139">
        <v>48</v>
      </c>
      <c r="D473" s="139" t="s">
        <v>37</v>
      </c>
      <c r="E473" s="261">
        <v>18493781</v>
      </c>
      <c r="F473" s="261">
        <v>16223313</v>
      </c>
      <c r="G473" s="287" t="s">
        <v>570</v>
      </c>
      <c r="H473" s="261">
        <f t="shared" si="0"/>
        <v>2270468</v>
      </c>
      <c r="I473" s="152">
        <v>0</v>
      </c>
      <c r="J473" s="152">
        <v>0</v>
      </c>
      <c r="K473" s="152">
        <f t="shared" si="1"/>
        <v>0</v>
      </c>
      <c r="L473" s="261">
        <f t="shared" si="2"/>
        <v>2270468</v>
      </c>
    </row>
    <row r="474" spans="1:12" ht="30.75" x14ac:dyDescent="0.25">
      <c r="A474" s="140" t="s">
        <v>56</v>
      </c>
      <c r="B474" s="142" t="s">
        <v>57</v>
      </c>
      <c r="C474" s="139">
        <v>218</v>
      </c>
      <c r="D474" s="139" t="s">
        <v>37</v>
      </c>
      <c r="E474" s="261">
        <v>3729137</v>
      </c>
      <c r="F474" s="261">
        <v>2850496</v>
      </c>
      <c r="G474" s="287" t="s">
        <v>570</v>
      </c>
      <c r="H474" s="261">
        <f t="shared" si="0"/>
        <v>878641</v>
      </c>
      <c r="I474" s="152">
        <v>0</v>
      </c>
      <c r="J474" s="152">
        <v>0</v>
      </c>
      <c r="K474" s="152">
        <f t="shared" si="1"/>
        <v>0</v>
      </c>
      <c r="L474" s="261">
        <f t="shared" si="2"/>
        <v>878641</v>
      </c>
    </row>
    <row r="475" spans="1:12" x14ac:dyDescent="0.25">
      <c r="A475" s="140" t="s">
        <v>222</v>
      </c>
      <c r="B475" s="142" t="s">
        <v>223</v>
      </c>
      <c r="C475" s="139">
        <v>350</v>
      </c>
      <c r="D475" s="139" t="s">
        <v>37</v>
      </c>
      <c r="E475" s="261">
        <v>66447</v>
      </c>
      <c r="F475" s="261">
        <v>54751</v>
      </c>
      <c r="G475" s="287" t="s">
        <v>570</v>
      </c>
      <c r="H475" s="261">
        <f t="shared" si="0"/>
        <v>11696</v>
      </c>
      <c r="I475" s="152">
        <v>0</v>
      </c>
      <c r="J475" s="152">
        <v>0</v>
      </c>
      <c r="K475" s="152">
        <f t="shared" si="1"/>
        <v>0</v>
      </c>
      <c r="L475" s="261">
        <f t="shared" si="2"/>
        <v>11696</v>
      </c>
    </row>
    <row r="476" spans="1:12" x14ac:dyDescent="0.25">
      <c r="A476" s="140" t="s">
        <v>278</v>
      </c>
      <c r="B476" s="142" t="s">
        <v>279</v>
      </c>
      <c r="C476" s="139">
        <v>304</v>
      </c>
      <c r="D476" s="139" t="s">
        <v>37</v>
      </c>
      <c r="E476" s="261">
        <v>22223</v>
      </c>
      <c r="F476" s="261">
        <v>5219</v>
      </c>
      <c r="G476" s="287" t="s">
        <v>570</v>
      </c>
      <c r="H476" s="261">
        <f t="shared" si="0"/>
        <v>17004</v>
      </c>
      <c r="I476" s="152">
        <v>0</v>
      </c>
      <c r="J476" s="152">
        <v>0</v>
      </c>
      <c r="K476" s="152">
        <f t="shared" si="1"/>
        <v>0</v>
      </c>
      <c r="L476" s="261">
        <f t="shared" si="2"/>
        <v>17004</v>
      </c>
    </row>
    <row r="477" spans="1:12" ht="60.75" x14ac:dyDescent="0.25">
      <c r="A477" s="140" t="s">
        <v>280</v>
      </c>
      <c r="B477" s="142" t="s">
        <v>281</v>
      </c>
      <c r="C477" s="139">
        <v>329</v>
      </c>
      <c r="D477" s="139" t="s">
        <v>37</v>
      </c>
      <c r="E477" s="261">
        <v>1446214</v>
      </c>
      <c r="F477" s="261">
        <v>1118940</v>
      </c>
      <c r="G477" s="287" t="s">
        <v>570</v>
      </c>
      <c r="H477" s="261">
        <f t="shared" si="0"/>
        <v>327274</v>
      </c>
      <c r="I477" s="152">
        <v>0</v>
      </c>
      <c r="J477" s="152">
        <v>0</v>
      </c>
      <c r="K477" s="152">
        <f t="shared" si="1"/>
        <v>0</v>
      </c>
      <c r="L477" s="261">
        <f t="shared" si="2"/>
        <v>327274</v>
      </c>
    </row>
    <row r="478" spans="1:12" ht="45.75" x14ac:dyDescent="0.25">
      <c r="A478" s="140" t="s">
        <v>248</v>
      </c>
      <c r="B478" s="142" t="s">
        <v>249</v>
      </c>
      <c r="C478" s="139">
        <v>261</v>
      </c>
      <c r="D478" s="139" t="s">
        <v>37</v>
      </c>
      <c r="E478" s="261">
        <v>906604</v>
      </c>
      <c r="F478" s="261">
        <v>899722</v>
      </c>
      <c r="G478" s="287" t="s">
        <v>570</v>
      </c>
      <c r="H478" s="261">
        <f t="shared" si="0"/>
        <v>6882</v>
      </c>
      <c r="I478" s="152">
        <v>0</v>
      </c>
      <c r="J478" s="152">
        <v>0</v>
      </c>
      <c r="K478" s="152">
        <f t="shared" si="1"/>
        <v>0</v>
      </c>
      <c r="L478" s="261">
        <f t="shared" si="2"/>
        <v>6882</v>
      </c>
    </row>
    <row r="479" spans="1:12" x14ac:dyDescent="0.25">
      <c r="A479" s="140" t="s">
        <v>243</v>
      </c>
      <c r="B479" s="142" t="s">
        <v>229</v>
      </c>
      <c r="C479" s="139">
        <v>244</v>
      </c>
      <c r="D479" s="139" t="s">
        <v>37</v>
      </c>
      <c r="E479" s="261">
        <v>2764503</v>
      </c>
      <c r="F479" s="261">
        <v>2710687</v>
      </c>
      <c r="G479" s="287" t="s">
        <v>570</v>
      </c>
      <c r="H479" s="261">
        <f t="shared" ref="H479:H510" si="3">E479-F479</f>
        <v>53816</v>
      </c>
      <c r="I479" s="152">
        <v>0</v>
      </c>
      <c r="J479" s="152">
        <v>0</v>
      </c>
      <c r="K479" s="152">
        <f t="shared" si="1"/>
        <v>0</v>
      </c>
      <c r="L479" s="261">
        <f t="shared" si="2"/>
        <v>53816</v>
      </c>
    </row>
    <row r="480" spans="1:12" ht="30.75" x14ac:dyDescent="0.25">
      <c r="A480" s="140" t="s">
        <v>293</v>
      </c>
      <c r="B480" s="142" t="s">
        <v>294</v>
      </c>
      <c r="C480" s="139">
        <v>182</v>
      </c>
      <c r="D480" s="139" t="s">
        <v>37</v>
      </c>
      <c r="E480" s="261">
        <v>113910</v>
      </c>
      <c r="F480" s="261">
        <v>97651</v>
      </c>
      <c r="G480" s="287" t="s">
        <v>570</v>
      </c>
      <c r="H480" s="261">
        <f t="shared" si="3"/>
        <v>16259</v>
      </c>
      <c r="I480" s="261">
        <v>19</v>
      </c>
      <c r="J480" s="261">
        <v>19</v>
      </c>
      <c r="K480" s="152">
        <f t="shared" si="1"/>
        <v>0</v>
      </c>
      <c r="L480" s="261">
        <f t="shared" si="2"/>
        <v>16259</v>
      </c>
    </row>
    <row r="481" spans="1:12" x14ac:dyDescent="0.25">
      <c r="A481" s="140" t="s">
        <v>259</v>
      </c>
      <c r="B481" s="142" t="s">
        <v>210</v>
      </c>
      <c r="C481" s="139">
        <v>280</v>
      </c>
      <c r="D481" s="139" t="s">
        <v>37</v>
      </c>
      <c r="E481" s="261">
        <v>118719</v>
      </c>
      <c r="F481" s="261">
        <v>82734</v>
      </c>
      <c r="G481" s="287" t="s">
        <v>570</v>
      </c>
      <c r="H481" s="261">
        <f t="shared" si="3"/>
        <v>35985</v>
      </c>
      <c r="I481" s="152">
        <v>0</v>
      </c>
      <c r="J481" s="152">
        <v>0</v>
      </c>
      <c r="K481" s="152">
        <f t="shared" si="1"/>
        <v>0</v>
      </c>
      <c r="L481" s="261">
        <f t="shared" si="2"/>
        <v>35985</v>
      </c>
    </row>
    <row r="482" spans="1:12" ht="30.75" x14ac:dyDescent="0.25">
      <c r="A482" s="140" t="s">
        <v>282</v>
      </c>
      <c r="B482" s="142" t="s">
        <v>196</v>
      </c>
      <c r="C482" s="139">
        <v>176</v>
      </c>
      <c r="D482" s="139" t="s">
        <v>37</v>
      </c>
      <c r="E482" s="261">
        <v>5591939</v>
      </c>
      <c r="F482" s="261">
        <v>5576654</v>
      </c>
      <c r="G482" s="287" t="s">
        <v>570</v>
      </c>
      <c r="H482" s="261">
        <f t="shared" si="3"/>
        <v>15285</v>
      </c>
      <c r="I482" s="261">
        <v>30395</v>
      </c>
      <c r="J482" s="152">
        <v>0</v>
      </c>
      <c r="K482" s="261">
        <f t="shared" si="1"/>
        <v>30395</v>
      </c>
      <c r="L482" s="261">
        <f t="shared" si="2"/>
        <v>-15110</v>
      </c>
    </row>
    <row r="483" spans="1:12" x14ac:dyDescent="0.25">
      <c r="A483" s="140" t="s">
        <v>289</v>
      </c>
      <c r="B483" s="142" t="s">
        <v>290</v>
      </c>
      <c r="C483" s="139">
        <v>57</v>
      </c>
      <c r="D483" s="139" t="s">
        <v>37</v>
      </c>
      <c r="E483" s="261">
        <v>973526</v>
      </c>
      <c r="F483" s="261">
        <v>729055</v>
      </c>
      <c r="G483" s="287" t="s">
        <v>570</v>
      </c>
      <c r="H483" s="261">
        <f t="shared" si="3"/>
        <v>244471</v>
      </c>
      <c r="I483" s="152">
        <v>0</v>
      </c>
      <c r="J483" s="152">
        <v>0</v>
      </c>
      <c r="K483" s="152">
        <f t="shared" si="1"/>
        <v>0</v>
      </c>
      <c r="L483" s="261">
        <f t="shared" si="2"/>
        <v>244471</v>
      </c>
    </row>
    <row r="484" spans="1:12" x14ac:dyDescent="0.25">
      <c r="A484" s="140" t="s">
        <v>226</v>
      </c>
      <c r="B484" s="142" t="s">
        <v>227</v>
      </c>
      <c r="C484" s="139">
        <v>171</v>
      </c>
      <c r="D484" s="139" t="s">
        <v>37</v>
      </c>
      <c r="E484" s="261">
        <v>2358194</v>
      </c>
      <c r="F484" s="261">
        <v>2024268</v>
      </c>
      <c r="G484" s="287" t="s">
        <v>570</v>
      </c>
      <c r="H484" s="261">
        <f t="shared" si="3"/>
        <v>333926</v>
      </c>
      <c r="I484" s="152">
        <v>0</v>
      </c>
      <c r="J484" s="152">
        <v>0</v>
      </c>
      <c r="K484" s="152">
        <f t="shared" si="1"/>
        <v>0</v>
      </c>
      <c r="L484" s="261">
        <f t="shared" si="2"/>
        <v>333926</v>
      </c>
    </row>
    <row r="485" spans="1:12" ht="45.75" x14ac:dyDescent="0.25">
      <c r="A485" s="140" t="s">
        <v>228</v>
      </c>
      <c r="B485" s="142" t="s">
        <v>229</v>
      </c>
      <c r="C485" s="139">
        <v>258</v>
      </c>
      <c r="D485" s="139" t="s">
        <v>37</v>
      </c>
      <c r="E485" s="261">
        <v>3461835</v>
      </c>
      <c r="F485" s="261">
        <v>3265219</v>
      </c>
      <c r="G485" s="287" t="s">
        <v>570</v>
      </c>
      <c r="H485" s="261">
        <f t="shared" si="3"/>
        <v>196616</v>
      </c>
      <c r="I485" s="152">
        <v>0</v>
      </c>
      <c r="J485" s="152">
        <v>0</v>
      </c>
      <c r="K485" s="152">
        <f t="shared" si="1"/>
        <v>0</v>
      </c>
      <c r="L485" s="261">
        <f t="shared" si="2"/>
        <v>196616</v>
      </c>
    </row>
    <row r="486" spans="1:12" x14ac:dyDescent="0.25">
      <c r="A486" s="140" t="s">
        <v>291</v>
      </c>
      <c r="B486" s="142" t="s">
        <v>292</v>
      </c>
      <c r="C486" s="139">
        <v>58</v>
      </c>
      <c r="D486" s="139" t="s">
        <v>37</v>
      </c>
      <c r="E486" s="261">
        <v>3292644</v>
      </c>
      <c r="F486" s="261">
        <v>3008770</v>
      </c>
      <c r="G486" s="287" t="s">
        <v>570</v>
      </c>
      <c r="H486" s="261">
        <f t="shared" si="3"/>
        <v>283874</v>
      </c>
      <c r="I486" s="152">
        <v>0</v>
      </c>
      <c r="J486" s="152">
        <v>0</v>
      </c>
      <c r="K486" s="152">
        <f t="shared" si="1"/>
        <v>0</v>
      </c>
      <c r="L486" s="261">
        <f t="shared" si="2"/>
        <v>283874</v>
      </c>
    </row>
    <row r="487" spans="1:12" x14ac:dyDescent="0.25">
      <c r="A487" s="140" t="s">
        <v>262</v>
      </c>
      <c r="B487" s="142" t="s">
        <v>263</v>
      </c>
      <c r="C487" s="139">
        <v>308</v>
      </c>
      <c r="D487" s="139" t="s">
        <v>37</v>
      </c>
      <c r="E487" s="261">
        <v>224162</v>
      </c>
      <c r="F487" s="261">
        <v>116098</v>
      </c>
      <c r="G487" s="287" t="s">
        <v>570</v>
      </c>
      <c r="H487" s="261">
        <f t="shared" si="3"/>
        <v>108064</v>
      </c>
      <c r="I487" s="152">
        <v>0</v>
      </c>
      <c r="J487" s="152">
        <v>0</v>
      </c>
      <c r="K487" s="152">
        <f t="shared" si="1"/>
        <v>0</v>
      </c>
      <c r="L487" s="261">
        <f t="shared" si="2"/>
        <v>108064</v>
      </c>
    </row>
    <row r="488" spans="1:12" x14ac:dyDescent="0.25">
      <c r="A488" s="140" t="s">
        <v>230</v>
      </c>
      <c r="B488" s="142" t="s">
        <v>210</v>
      </c>
      <c r="C488" s="139">
        <v>260</v>
      </c>
      <c r="D488" s="139" t="s">
        <v>37</v>
      </c>
      <c r="E488" s="261">
        <v>19111083</v>
      </c>
      <c r="F488" s="261">
        <v>18993790</v>
      </c>
      <c r="G488" s="287" t="s">
        <v>570</v>
      </c>
      <c r="H488" s="261">
        <f t="shared" si="3"/>
        <v>117293</v>
      </c>
      <c r="I488" s="261">
        <v>670053</v>
      </c>
      <c r="J488" s="261">
        <v>20116</v>
      </c>
      <c r="K488" s="261">
        <f t="shared" si="1"/>
        <v>649937</v>
      </c>
      <c r="L488" s="261">
        <f t="shared" si="2"/>
        <v>-532644</v>
      </c>
    </row>
    <row r="489" spans="1:12" ht="30.75" x14ac:dyDescent="0.25">
      <c r="A489" s="140" t="s">
        <v>244</v>
      </c>
      <c r="B489" s="142" t="s">
        <v>245</v>
      </c>
      <c r="C489" s="139">
        <v>346</v>
      </c>
      <c r="D489" s="139" t="s">
        <v>37</v>
      </c>
      <c r="E489" s="261">
        <v>49140</v>
      </c>
      <c r="F489" s="261">
        <v>42386</v>
      </c>
      <c r="G489" s="287" t="s">
        <v>570</v>
      </c>
      <c r="H489" s="261">
        <f t="shared" si="3"/>
        <v>6754</v>
      </c>
      <c r="I489" s="152">
        <v>0</v>
      </c>
      <c r="J489" s="152">
        <v>0</v>
      </c>
      <c r="K489" s="152">
        <f t="shared" si="1"/>
        <v>0</v>
      </c>
      <c r="L489" s="261">
        <f t="shared" si="2"/>
        <v>6754</v>
      </c>
    </row>
    <row r="490" spans="1:12" ht="30.75" x14ac:dyDescent="0.25">
      <c r="A490" s="140" t="s">
        <v>233</v>
      </c>
      <c r="B490" s="142" t="s">
        <v>234</v>
      </c>
      <c r="C490" s="139">
        <v>351</v>
      </c>
      <c r="D490" s="139" t="s">
        <v>37</v>
      </c>
      <c r="E490" s="261">
        <v>99653</v>
      </c>
      <c r="F490" s="261">
        <v>89104</v>
      </c>
      <c r="G490" s="287" t="s">
        <v>570</v>
      </c>
      <c r="H490" s="261">
        <f t="shared" si="3"/>
        <v>10549</v>
      </c>
      <c r="I490" s="152">
        <v>0</v>
      </c>
      <c r="J490" s="152">
        <v>0</v>
      </c>
      <c r="K490" s="152">
        <f t="shared" si="1"/>
        <v>0</v>
      </c>
      <c r="L490" s="261">
        <f t="shared" si="2"/>
        <v>10549</v>
      </c>
    </row>
    <row r="491" spans="1:12" x14ac:dyDescent="0.25">
      <c r="A491" s="140" t="s">
        <v>250</v>
      </c>
      <c r="B491" s="142" t="s">
        <v>251</v>
      </c>
      <c r="C491" s="139">
        <v>305</v>
      </c>
      <c r="D491" s="139" t="s">
        <v>105</v>
      </c>
      <c r="E491" s="261">
        <v>125080</v>
      </c>
      <c r="F491" s="261">
        <v>102415</v>
      </c>
      <c r="G491" s="287" t="s">
        <v>570</v>
      </c>
      <c r="H491" s="261">
        <f t="shared" si="3"/>
        <v>22665</v>
      </c>
      <c r="I491" s="152">
        <v>0</v>
      </c>
      <c r="J491" s="152">
        <v>0</v>
      </c>
      <c r="K491" s="152">
        <f t="shared" si="1"/>
        <v>0</v>
      </c>
      <c r="L491" s="261">
        <f t="shared" si="2"/>
        <v>22665</v>
      </c>
    </row>
    <row r="492" spans="1:12" ht="30.75" x14ac:dyDescent="0.25">
      <c r="A492" s="140" t="s">
        <v>185</v>
      </c>
      <c r="B492" s="142" t="s">
        <v>186</v>
      </c>
      <c r="C492" s="139">
        <v>250</v>
      </c>
      <c r="D492" s="139" t="s">
        <v>105</v>
      </c>
      <c r="E492" s="261">
        <v>1583086</v>
      </c>
      <c r="F492" s="261">
        <v>1583086</v>
      </c>
      <c r="G492" s="287" t="s">
        <v>570</v>
      </c>
      <c r="H492" s="152">
        <f t="shared" si="3"/>
        <v>0</v>
      </c>
      <c r="I492" s="261">
        <v>5161</v>
      </c>
      <c r="J492" s="261">
        <v>4112</v>
      </c>
      <c r="K492" s="261">
        <f t="shared" si="1"/>
        <v>1049</v>
      </c>
      <c r="L492" s="261">
        <f t="shared" si="2"/>
        <v>-1049</v>
      </c>
    </row>
    <row r="493" spans="1:12" ht="30.75" x14ac:dyDescent="0.25">
      <c r="A493" s="140" t="s">
        <v>277</v>
      </c>
      <c r="B493" s="142" t="s">
        <v>272</v>
      </c>
      <c r="C493" s="139">
        <v>348</v>
      </c>
      <c r="D493" s="139" t="s">
        <v>105</v>
      </c>
      <c r="E493" s="261">
        <v>54920146</v>
      </c>
      <c r="F493" s="261">
        <v>44829887</v>
      </c>
      <c r="G493" s="287" t="s">
        <v>570</v>
      </c>
      <c r="H493" s="261">
        <f t="shared" si="3"/>
        <v>10090259</v>
      </c>
      <c r="I493" s="152">
        <v>0</v>
      </c>
      <c r="J493" s="152">
        <v>0</v>
      </c>
      <c r="K493" s="152">
        <f t="shared" si="1"/>
        <v>0</v>
      </c>
      <c r="L493" s="261">
        <f t="shared" si="2"/>
        <v>10090259</v>
      </c>
    </row>
    <row r="494" spans="1:12" ht="30.75" x14ac:dyDescent="0.25">
      <c r="A494" s="140" t="s">
        <v>264</v>
      </c>
      <c r="B494" s="142" t="s">
        <v>64</v>
      </c>
      <c r="C494" s="139">
        <v>354</v>
      </c>
      <c r="D494" s="139" t="s">
        <v>105</v>
      </c>
      <c r="E494" s="261">
        <v>34650</v>
      </c>
      <c r="F494" s="261">
        <v>24641</v>
      </c>
      <c r="G494" s="287" t="s">
        <v>570</v>
      </c>
      <c r="H494" s="261">
        <f t="shared" si="3"/>
        <v>10009</v>
      </c>
      <c r="I494" s="152">
        <v>0</v>
      </c>
      <c r="J494" s="152">
        <v>0</v>
      </c>
      <c r="K494" s="152">
        <f t="shared" si="1"/>
        <v>0</v>
      </c>
      <c r="L494" s="261">
        <f t="shared" si="2"/>
        <v>10009</v>
      </c>
    </row>
    <row r="495" spans="1:12" ht="30.75" x14ac:dyDescent="0.25">
      <c r="A495" s="140" t="s">
        <v>265</v>
      </c>
      <c r="B495" s="142" t="s">
        <v>266</v>
      </c>
      <c r="C495" s="139">
        <v>286</v>
      </c>
      <c r="D495" s="139" t="s">
        <v>105</v>
      </c>
      <c r="E495" s="261">
        <v>103369</v>
      </c>
      <c r="F495" s="261">
        <v>99494</v>
      </c>
      <c r="G495" s="287" t="s">
        <v>570</v>
      </c>
      <c r="H495" s="261">
        <f t="shared" si="3"/>
        <v>3875</v>
      </c>
      <c r="I495" s="152">
        <v>0</v>
      </c>
      <c r="J495" s="152">
        <v>0</v>
      </c>
      <c r="K495" s="152">
        <f t="shared" si="1"/>
        <v>0</v>
      </c>
      <c r="L495" s="261">
        <f t="shared" si="2"/>
        <v>3875</v>
      </c>
    </row>
    <row r="496" spans="1:12" ht="30.75" x14ac:dyDescent="0.25">
      <c r="A496" s="140" t="s">
        <v>189</v>
      </c>
      <c r="B496" s="142" t="s">
        <v>190</v>
      </c>
      <c r="C496" s="139">
        <v>172</v>
      </c>
      <c r="D496" s="139" t="s">
        <v>105</v>
      </c>
      <c r="E496" s="261">
        <v>614283</v>
      </c>
      <c r="F496" s="261">
        <v>610927</v>
      </c>
      <c r="G496" s="287" t="s">
        <v>570</v>
      </c>
      <c r="H496" s="261">
        <f t="shared" si="3"/>
        <v>3356</v>
      </c>
      <c r="I496" s="261">
        <v>1120</v>
      </c>
      <c r="J496" s="261">
        <v>1120</v>
      </c>
      <c r="K496" s="152">
        <f t="shared" si="1"/>
        <v>0</v>
      </c>
      <c r="L496" s="261">
        <f t="shared" si="2"/>
        <v>3356</v>
      </c>
    </row>
    <row r="497" spans="1:12" x14ac:dyDescent="0.25">
      <c r="A497" s="140" t="s">
        <v>246</v>
      </c>
      <c r="B497" s="142" t="s">
        <v>247</v>
      </c>
      <c r="C497" s="139">
        <v>278</v>
      </c>
      <c r="D497" s="139" t="s">
        <v>105</v>
      </c>
      <c r="E497" s="261">
        <v>1771291</v>
      </c>
      <c r="F497" s="261">
        <v>1699854</v>
      </c>
      <c r="G497" s="287" t="s">
        <v>570</v>
      </c>
      <c r="H497" s="261">
        <f t="shared" si="3"/>
        <v>71437</v>
      </c>
      <c r="I497" s="152">
        <v>0</v>
      </c>
      <c r="J497" s="152">
        <v>0</v>
      </c>
      <c r="K497" s="152">
        <f t="shared" si="1"/>
        <v>0</v>
      </c>
      <c r="L497" s="261">
        <f t="shared" si="2"/>
        <v>71437</v>
      </c>
    </row>
    <row r="498" spans="1:12" ht="30.75" x14ac:dyDescent="0.25">
      <c r="A498" s="140" t="s">
        <v>191</v>
      </c>
      <c r="B498" s="142" t="s">
        <v>192</v>
      </c>
      <c r="C498" s="139">
        <v>11</v>
      </c>
      <c r="D498" s="139" t="s">
        <v>105</v>
      </c>
      <c r="E498" s="261">
        <v>20470340</v>
      </c>
      <c r="F498" s="261">
        <v>17977474</v>
      </c>
      <c r="G498" s="287" t="s">
        <v>570</v>
      </c>
      <c r="H498" s="261">
        <f t="shared" si="3"/>
        <v>2492866</v>
      </c>
      <c r="I498" s="261">
        <v>26683</v>
      </c>
      <c r="J498" s="261">
        <v>12350</v>
      </c>
      <c r="K498" s="261">
        <f t="shared" si="1"/>
        <v>14333</v>
      </c>
      <c r="L498" s="261">
        <f t="shared" si="2"/>
        <v>2478533</v>
      </c>
    </row>
    <row r="499" spans="1:12" x14ac:dyDescent="0.25">
      <c r="A499" s="140" t="s">
        <v>295</v>
      </c>
      <c r="B499" s="142" t="s">
        <v>194</v>
      </c>
      <c r="C499" s="139">
        <v>223</v>
      </c>
      <c r="D499" s="139" t="s">
        <v>105</v>
      </c>
      <c r="E499" s="261">
        <v>4144990</v>
      </c>
      <c r="F499" s="261">
        <v>4098250</v>
      </c>
      <c r="G499" s="287" t="s">
        <v>570</v>
      </c>
      <c r="H499" s="261">
        <f t="shared" si="3"/>
        <v>46740</v>
      </c>
      <c r="I499" s="261">
        <v>7808</v>
      </c>
      <c r="J499" s="261">
        <v>5918</v>
      </c>
      <c r="K499" s="261">
        <f t="shared" si="1"/>
        <v>1890</v>
      </c>
      <c r="L499" s="261">
        <f t="shared" si="2"/>
        <v>44850</v>
      </c>
    </row>
    <row r="500" spans="1:12" ht="45.75" x14ac:dyDescent="0.25">
      <c r="A500" s="140" t="s">
        <v>197</v>
      </c>
      <c r="B500" s="142" t="s">
        <v>198</v>
      </c>
      <c r="C500" s="139">
        <v>272</v>
      </c>
      <c r="D500" s="139" t="s">
        <v>105</v>
      </c>
      <c r="E500" s="261">
        <v>10105872</v>
      </c>
      <c r="F500" s="261">
        <v>10100035</v>
      </c>
      <c r="G500" s="287" t="s">
        <v>570</v>
      </c>
      <c r="H500" s="261">
        <f t="shared" si="3"/>
        <v>5837</v>
      </c>
      <c r="I500" s="261">
        <v>865406</v>
      </c>
      <c r="J500" s="261">
        <v>11587</v>
      </c>
      <c r="K500" s="261">
        <f t="shared" si="1"/>
        <v>853819</v>
      </c>
      <c r="L500" s="261">
        <f t="shared" si="2"/>
        <v>-847982</v>
      </c>
    </row>
    <row r="501" spans="1:12" ht="45.75" x14ac:dyDescent="0.25">
      <c r="A501" s="140" t="s">
        <v>199</v>
      </c>
      <c r="B501" s="142" t="s">
        <v>200</v>
      </c>
      <c r="C501" s="139">
        <v>276</v>
      </c>
      <c r="D501" s="139" t="s">
        <v>105</v>
      </c>
      <c r="E501" s="261">
        <v>891533</v>
      </c>
      <c r="F501" s="261">
        <v>649528</v>
      </c>
      <c r="G501" s="287" t="s">
        <v>570</v>
      </c>
      <c r="H501" s="261">
        <f t="shared" si="3"/>
        <v>242005</v>
      </c>
      <c r="I501" s="152">
        <v>0</v>
      </c>
      <c r="J501" s="152">
        <v>0</v>
      </c>
      <c r="K501" s="152">
        <f t="shared" si="1"/>
        <v>0</v>
      </c>
      <c r="L501" s="261">
        <f t="shared" si="2"/>
        <v>242005</v>
      </c>
    </row>
    <row r="502" spans="1:12" ht="90.75" x14ac:dyDescent="0.25">
      <c r="A502" s="140" t="s">
        <v>201</v>
      </c>
      <c r="B502" s="142" t="s">
        <v>202</v>
      </c>
      <c r="C502" s="139">
        <v>292</v>
      </c>
      <c r="D502" s="139" t="s">
        <v>105</v>
      </c>
      <c r="E502" s="261">
        <v>8511879</v>
      </c>
      <c r="F502" s="261">
        <v>8403076</v>
      </c>
      <c r="G502" s="287" t="s">
        <v>570</v>
      </c>
      <c r="H502" s="261">
        <f t="shared" si="3"/>
        <v>108803</v>
      </c>
      <c r="I502" s="261">
        <v>2076</v>
      </c>
      <c r="J502" s="152">
        <v>0</v>
      </c>
      <c r="K502" s="261">
        <f t="shared" si="1"/>
        <v>2076</v>
      </c>
      <c r="L502" s="261">
        <f t="shared" si="2"/>
        <v>106727</v>
      </c>
    </row>
    <row r="503" spans="1:12" ht="30.75" x14ac:dyDescent="0.25">
      <c r="A503" s="140" t="s">
        <v>203</v>
      </c>
      <c r="B503" s="142" t="s">
        <v>204</v>
      </c>
      <c r="C503" s="139">
        <v>209</v>
      </c>
      <c r="D503" s="139" t="s">
        <v>105</v>
      </c>
      <c r="E503" s="261">
        <v>346268</v>
      </c>
      <c r="F503" s="261">
        <v>326021</v>
      </c>
      <c r="G503" s="287" t="s">
        <v>570</v>
      </c>
      <c r="H503" s="261">
        <f t="shared" si="3"/>
        <v>20247</v>
      </c>
      <c r="I503" s="152">
        <v>0</v>
      </c>
      <c r="J503" s="152">
        <v>0</v>
      </c>
      <c r="K503" s="152">
        <f t="shared" si="1"/>
        <v>0</v>
      </c>
      <c r="L503" s="261">
        <f t="shared" si="2"/>
        <v>20247</v>
      </c>
    </row>
    <row r="504" spans="1:12" x14ac:dyDescent="0.25">
      <c r="A504" s="140" t="s">
        <v>205</v>
      </c>
      <c r="B504" s="142" t="s">
        <v>206</v>
      </c>
      <c r="C504" s="139">
        <v>183</v>
      </c>
      <c r="D504" s="139" t="s">
        <v>105</v>
      </c>
      <c r="E504" s="261">
        <v>697267</v>
      </c>
      <c r="F504" s="261">
        <v>693095</v>
      </c>
      <c r="G504" s="287" t="s">
        <v>570</v>
      </c>
      <c r="H504" s="261">
        <f t="shared" si="3"/>
        <v>4172</v>
      </c>
      <c r="I504" s="261">
        <v>825</v>
      </c>
      <c r="J504" s="261">
        <v>825</v>
      </c>
      <c r="K504" s="152">
        <f t="shared" si="1"/>
        <v>0</v>
      </c>
      <c r="L504" s="261">
        <f t="shared" si="2"/>
        <v>4172</v>
      </c>
    </row>
    <row r="505" spans="1:12" x14ac:dyDescent="0.25">
      <c r="A505" s="140" t="s">
        <v>237</v>
      </c>
      <c r="B505" s="142" t="s">
        <v>238</v>
      </c>
      <c r="C505" s="139">
        <v>251</v>
      </c>
      <c r="D505" s="139" t="s">
        <v>105</v>
      </c>
      <c r="E505" s="261">
        <v>371430</v>
      </c>
      <c r="F505" s="261">
        <v>365323</v>
      </c>
      <c r="G505" s="287" t="s">
        <v>570</v>
      </c>
      <c r="H505" s="261">
        <f t="shared" si="3"/>
        <v>6107</v>
      </c>
      <c r="I505" s="261">
        <v>1055</v>
      </c>
      <c r="J505" s="152">
        <v>0</v>
      </c>
      <c r="K505" s="261">
        <f t="shared" si="1"/>
        <v>1055</v>
      </c>
      <c r="L505" s="261">
        <f t="shared" si="2"/>
        <v>5052</v>
      </c>
    </row>
    <row r="506" spans="1:12" x14ac:dyDescent="0.25">
      <c r="A506" s="140" t="s">
        <v>285</v>
      </c>
      <c r="B506" s="142" t="s">
        <v>286</v>
      </c>
      <c r="C506" s="139">
        <v>333</v>
      </c>
      <c r="D506" s="139" t="s">
        <v>105</v>
      </c>
      <c r="E506" s="261">
        <v>34380</v>
      </c>
      <c r="F506" s="261">
        <v>31472</v>
      </c>
      <c r="G506" s="287" t="s">
        <v>570</v>
      </c>
      <c r="H506" s="261">
        <f t="shared" si="3"/>
        <v>2908</v>
      </c>
      <c r="I506" s="152">
        <v>0</v>
      </c>
      <c r="J506" s="152">
        <v>0</v>
      </c>
      <c r="K506" s="152">
        <f t="shared" si="1"/>
        <v>0</v>
      </c>
      <c r="L506" s="261">
        <f t="shared" si="2"/>
        <v>2908</v>
      </c>
    </row>
    <row r="507" spans="1:12" ht="30.75" x14ac:dyDescent="0.25">
      <c r="A507" s="140" t="s">
        <v>254</v>
      </c>
      <c r="B507" s="142" t="s">
        <v>196</v>
      </c>
      <c r="C507" s="139">
        <v>91</v>
      </c>
      <c r="D507" s="139" t="s">
        <v>105</v>
      </c>
      <c r="E507" s="261">
        <v>13929</v>
      </c>
      <c r="F507" s="261">
        <v>10640</v>
      </c>
      <c r="G507" s="287" t="s">
        <v>570</v>
      </c>
      <c r="H507" s="261">
        <f t="shared" si="3"/>
        <v>3289</v>
      </c>
      <c r="I507" s="152">
        <v>0</v>
      </c>
      <c r="J507" s="152">
        <v>0</v>
      </c>
      <c r="K507" s="152">
        <f t="shared" si="1"/>
        <v>0</v>
      </c>
      <c r="L507" s="261">
        <f t="shared" si="2"/>
        <v>3289</v>
      </c>
    </row>
    <row r="508" spans="1:12" x14ac:dyDescent="0.25">
      <c r="A508" s="140" t="s">
        <v>207</v>
      </c>
      <c r="B508" s="142" t="s">
        <v>208</v>
      </c>
      <c r="C508" s="139">
        <v>192</v>
      </c>
      <c r="D508" s="139" t="s">
        <v>105</v>
      </c>
      <c r="E508" s="261">
        <v>441304</v>
      </c>
      <c r="F508" s="261">
        <v>432014</v>
      </c>
      <c r="G508" s="287" t="s">
        <v>570</v>
      </c>
      <c r="H508" s="261">
        <f t="shared" si="3"/>
        <v>9290</v>
      </c>
      <c r="I508" s="261">
        <v>2175</v>
      </c>
      <c r="J508" s="152">
        <v>0</v>
      </c>
      <c r="K508" s="261">
        <f t="shared" si="1"/>
        <v>2175</v>
      </c>
      <c r="L508" s="261">
        <f t="shared" si="2"/>
        <v>7115</v>
      </c>
    </row>
    <row r="509" spans="1:12" ht="30.75" x14ac:dyDescent="0.25">
      <c r="A509" s="140" t="s">
        <v>209</v>
      </c>
      <c r="B509" s="142" t="s">
        <v>210</v>
      </c>
      <c r="C509" s="139">
        <v>297</v>
      </c>
      <c r="D509" s="139" t="s">
        <v>105</v>
      </c>
      <c r="E509" s="261">
        <v>257106709</v>
      </c>
      <c r="F509" s="261">
        <v>181188759</v>
      </c>
      <c r="G509" s="287" t="s">
        <v>570</v>
      </c>
      <c r="H509" s="261">
        <f t="shared" si="3"/>
        <v>75917950</v>
      </c>
      <c r="I509" s="152">
        <v>0</v>
      </c>
      <c r="J509" s="152">
        <v>0</v>
      </c>
      <c r="K509" s="152">
        <f t="shared" si="1"/>
        <v>0</v>
      </c>
      <c r="L509" s="261">
        <f t="shared" si="2"/>
        <v>75917950</v>
      </c>
    </row>
    <row r="510" spans="1:12" x14ac:dyDescent="0.25">
      <c r="A510" s="140" t="s">
        <v>211</v>
      </c>
      <c r="B510" s="142" t="s">
        <v>212</v>
      </c>
      <c r="C510" s="139">
        <v>166</v>
      </c>
      <c r="D510" s="139" t="s">
        <v>105</v>
      </c>
      <c r="E510" s="261">
        <v>8654726</v>
      </c>
      <c r="F510" s="261">
        <v>7222351</v>
      </c>
      <c r="G510" s="287" t="s">
        <v>570</v>
      </c>
      <c r="H510" s="261">
        <f t="shared" si="3"/>
        <v>1432375</v>
      </c>
      <c r="I510" s="261">
        <v>1233</v>
      </c>
      <c r="J510" s="152">
        <v>0</v>
      </c>
      <c r="K510" s="261">
        <f t="shared" si="1"/>
        <v>1233</v>
      </c>
      <c r="L510" s="261">
        <f t="shared" si="2"/>
        <v>1431142</v>
      </c>
    </row>
    <row r="511" spans="1:12" x14ac:dyDescent="0.25">
      <c r="A511" s="140" t="s">
        <v>255</v>
      </c>
      <c r="B511" s="142" t="s">
        <v>256</v>
      </c>
      <c r="C511" s="139">
        <v>268</v>
      </c>
      <c r="D511" s="139" t="s">
        <v>105</v>
      </c>
      <c r="E511" s="261">
        <v>7741343</v>
      </c>
      <c r="F511" s="261">
        <v>6923752</v>
      </c>
      <c r="G511" s="287" t="s">
        <v>570</v>
      </c>
      <c r="H511" s="261">
        <f t="shared" ref="H511:H542" si="4">E511-F511</f>
        <v>817591</v>
      </c>
      <c r="I511" s="152">
        <v>0</v>
      </c>
      <c r="J511" s="152">
        <v>0</v>
      </c>
      <c r="K511" s="152">
        <f t="shared" ref="K511:K574" si="5">I511-J511</f>
        <v>0</v>
      </c>
      <c r="L511" s="261">
        <f t="shared" ref="L511:L574" si="6">H511-K511</f>
        <v>817591</v>
      </c>
    </row>
    <row r="512" spans="1:12" x14ac:dyDescent="0.25">
      <c r="A512" s="140" t="s">
        <v>213</v>
      </c>
      <c r="B512" s="142" t="s">
        <v>214</v>
      </c>
      <c r="C512" s="139">
        <v>32</v>
      </c>
      <c r="D512" s="139" t="s">
        <v>105</v>
      </c>
      <c r="E512" s="261">
        <v>4666144</v>
      </c>
      <c r="F512" s="261">
        <v>4664857</v>
      </c>
      <c r="G512" s="287" t="s">
        <v>570</v>
      </c>
      <c r="H512" s="261">
        <f t="shared" si="4"/>
        <v>1287</v>
      </c>
      <c r="I512" s="261">
        <v>15736</v>
      </c>
      <c r="J512" s="261">
        <v>1126</v>
      </c>
      <c r="K512" s="261">
        <f t="shared" si="5"/>
        <v>14610</v>
      </c>
      <c r="L512" s="261">
        <f t="shared" si="6"/>
        <v>-13323</v>
      </c>
    </row>
    <row r="513" spans="1:12" x14ac:dyDescent="0.25">
      <c r="A513" s="140" t="s">
        <v>273</v>
      </c>
      <c r="B513" s="142" t="s">
        <v>216</v>
      </c>
      <c r="C513" s="139">
        <v>230</v>
      </c>
      <c r="D513" s="139" t="s">
        <v>105</v>
      </c>
      <c r="E513" s="261">
        <v>5705041</v>
      </c>
      <c r="F513" s="261">
        <v>5704156</v>
      </c>
      <c r="G513" s="287" t="s">
        <v>570</v>
      </c>
      <c r="H513" s="261">
        <f t="shared" si="4"/>
        <v>885</v>
      </c>
      <c r="I513" s="261">
        <v>18091</v>
      </c>
      <c r="J513" s="261">
        <v>3366</v>
      </c>
      <c r="K513" s="261">
        <f t="shared" si="5"/>
        <v>14725</v>
      </c>
      <c r="L513" s="261">
        <f t="shared" si="6"/>
        <v>-13840</v>
      </c>
    </row>
    <row r="514" spans="1:12" x14ac:dyDescent="0.25">
      <c r="A514" s="140" t="s">
        <v>257</v>
      </c>
      <c r="B514" s="142" t="s">
        <v>258</v>
      </c>
      <c r="C514" s="139">
        <v>148</v>
      </c>
      <c r="D514" s="139" t="s">
        <v>105</v>
      </c>
      <c r="E514" s="261">
        <v>121053</v>
      </c>
      <c r="F514" s="261">
        <v>5779</v>
      </c>
      <c r="G514" s="287" t="s">
        <v>570</v>
      </c>
      <c r="H514" s="261">
        <f t="shared" si="4"/>
        <v>115274</v>
      </c>
      <c r="I514" s="152">
        <v>0</v>
      </c>
      <c r="J514" s="152">
        <v>0</v>
      </c>
      <c r="K514" s="152">
        <f t="shared" si="5"/>
        <v>0</v>
      </c>
      <c r="L514" s="261">
        <f t="shared" si="6"/>
        <v>115274</v>
      </c>
    </row>
    <row r="515" spans="1:12" x14ac:dyDescent="0.25">
      <c r="A515" s="140" t="s">
        <v>219</v>
      </c>
      <c r="B515" s="142" t="s">
        <v>220</v>
      </c>
      <c r="C515" s="139">
        <v>153</v>
      </c>
      <c r="D515" s="139" t="s">
        <v>105</v>
      </c>
      <c r="E515" s="261">
        <v>4435775</v>
      </c>
      <c r="F515" s="261">
        <v>4210760</v>
      </c>
      <c r="G515" s="287" t="s">
        <v>570</v>
      </c>
      <c r="H515" s="261">
        <f t="shared" si="4"/>
        <v>225015</v>
      </c>
      <c r="I515" s="261">
        <v>12323</v>
      </c>
      <c r="J515" s="261">
        <v>8157</v>
      </c>
      <c r="K515" s="261">
        <f t="shared" si="5"/>
        <v>4166</v>
      </c>
      <c r="L515" s="261">
        <f t="shared" si="6"/>
        <v>220849</v>
      </c>
    </row>
    <row r="516" spans="1:12" x14ac:dyDescent="0.25">
      <c r="A516" s="140" t="s">
        <v>239</v>
      </c>
      <c r="B516" s="142" t="s">
        <v>240</v>
      </c>
      <c r="C516" s="139">
        <v>155</v>
      </c>
      <c r="D516" s="139" t="s">
        <v>105</v>
      </c>
      <c r="E516" s="261">
        <v>1256537</v>
      </c>
      <c r="F516" s="261">
        <v>1159096</v>
      </c>
      <c r="G516" s="287" t="s">
        <v>570</v>
      </c>
      <c r="H516" s="261">
        <f t="shared" si="4"/>
        <v>97441</v>
      </c>
      <c r="I516" s="152">
        <v>0</v>
      </c>
      <c r="J516" s="152">
        <v>0</v>
      </c>
      <c r="K516" s="152">
        <f t="shared" si="5"/>
        <v>0</v>
      </c>
      <c r="L516" s="261">
        <f t="shared" si="6"/>
        <v>97441</v>
      </c>
    </row>
    <row r="517" spans="1:12" x14ac:dyDescent="0.25">
      <c r="A517" s="140" t="s">
        <v>67</v>
      </c>
      <c r="B517" s="142" t="s">
        <v>68</v>
      </c>
      <c r="C517" s="139">
        <v>42</v>
      </c>
      <c r="D517" s="139" t="s">
        <v>105</v>
      </c>
      <c r="E517" s="261">
        <v>16990141</v>
      </c>
      <c r="F517" s="261">
        <v>14707605</v>
      </c>
      <c r="G517" s="287" t="s">
        <v>570</v>
      </c>
      <c r="H517" s="261">
        <f t="shared" si="4"/>
        <v>2282536</v>
      </c>
      <c r="I517" s="152">
        <v>0</v>
      </c>
      <c r="J517" s="152">
        <v>0</v>
      </c>
      <c r="K517" s="152">
        <f t="shared" si="5"/>
        <v>0</v>
      </c>
      <c r="L517" s="261">
        <f t="shared" si="6"/>
        <v>2282536</v>
      </c>
    </row>
    <row r="518" spans="1:12" ht="60.75" x14ac:dyDescent="0.25">
      <c r="A518" s="140" t="s">
        <v>296</v>
      </c>
      <c r="B518" s="142" t="s">
        <v>297</v>
      </c>
      <c r="C518" s="139">
        <v>265</v>
      </c>
      <c r="D518" s="139" t="s">
        <v>105</v>
      </c>
      <c r="E518" s="261">
        <v>65051</v>
      </c>
      <c r="F518" s="261">
        <v>63255</v>
      </c>
      <c r="G518" s="287" t="s">
        <v>570</v>
      </c>
      <c r="H518" s="261">
        <f t="shared" si="4"/>
        <v>1796</v>
      </c>
      <c r="I518" s="152">
        <v>0</v>
      </c>
      <c r="J518" s="152">
        <v>0</v>
      </c>
      <c r="K518" s="152">
        <f t="shared" si="5"/>
        <v>0</v>
      </c>
      <c r="L518" s="261">
        <f t="shared" si="6"/>
        <v>1796</v>
      </c>
    </row>
    <row r="519" spans="1:12" x14ac:dyDescent="0.25">
      <c r="A519" s="140" t="s">
        <v>221</v>
      </c>
      <c r="B519" s="142" t="s">
        <v>210</v>
      </c>
      <c r="C519" s="139">
        <v>48</v>
      </c>
      <c r="D519" s="139" t="s">
        <v>105</v>
      </c>
      <c r="E519" s="261">
        <v>17377719</v>
      </c>
      <c r="F519" s="261">
        <v>15811250</v>
      </c>
      <c r="G519" s="287" t="s">
        <v>570</v>
      </c>
      <c r="H519" s="261">
        <f t="shared" si="4"/>
        <v>1566469</v>
      </c>
      <c r="I519" s="261">
        <v>1150</v>
      </c>
      <c r="J519" s="152">
        <v>0</v>
      </c>
      <c r="K519" s="261">
        <f t="shared" si="5"/>
        <v>1150</v>
      </c>
      <c r="L519" s="261">
        <f t="shared" si="6"/>
        <v>1565319</v>
      </c>
    </row>
    <row r="520" spans="1:12" ht="30.75" x14ac:dyDescent="0.25">
      <c r="A520" s="140" t="s">
        <v>56</v>
      </c>
      <c r="B520" s="142" t="s">
        <v>57</v>
      </c>
      <c r="C520" s="139">
        <v>218</v>
      </c>
      <c r="D520" s="139" t="s">
        <v>105</v>
      </c>
      <c r="E520" s="261">
        <v>3808780</v>
      </c>
      <c r="F520" s="261">
        <v>3065621</v>
      </c>
      <c r="G520" s="287" t="s">
        <v>570</v>
      </c>
      <c r="H520" s="261">
        <f t="shared" si="4"/>
        <v>743159</v>
      </c>
      <c r="I520" s="152">
        <v>0</v>
      </c>
      <c r="J520" s="152">
        <v>0</v>
      </c>
      <c r="K520" s="152">
        <f t="shared" si="5"/>
        <v>0</v>
      </c>
      <c r="L520" s="261">
        <f t="shared" si="6"/>
        <v>743159</v>
      </c>
    </row>
    <row r="521" spans="1:12" x14ac:dyDescent="0.25">
      <c r="A521" s="140" t="s">
        <v>222</v>
      </c>
      <c r="B521" s="142" t="s">
        <v>223</v>
      </c>
      <c r="C521" s="139">
        <v>350</v>
      </c>
      <c r="D521" s="139" t="s">
        <v>105</v>
      </c>
      <c r="E521" s="261">
        <v>59562</v>
      </c>
      <c r="F521" s="261">
        <v>51005</v>
      </c>
      <c r="G521" s="287" t="s">
        <v>570</v>
      </c>
      <c r="H521" s="261">
        <f t="shared" si="4"/>
        <v>8557</v>
      </c>
      <c r="I521" s="152">
        <v>0</v>
      </c>
      <c r="J521" s="152">
        <v>0</v>
      </c>
      <c r="K521" s="152">
        <f t="shared" si="5"/>
        <v>0</v>
      </c>
      <c r="L521" s="261">
        <f t="shared" si="6"/>
        <v>8557</v>
      </c>
    </row>
    <row r="522" spans="1:12" x14ac:dyDescent="0.25">
      <c r="A522" s="140" t="s">
        <v>241</v>
      </c>
      <c r="B522" s="142" t="s">
        <v>242</v>
      </c>
      <c r="C522" s="139">
        <v>173</v>
      </c>
      <c r="D522" s="139" t="s">
        <v>105</v>
      </c>
      <c r="E522" s="261">
        <v>1816992</v>
      </c>
      <c r="F522" s="261">
        <v>1816992</v>
      </c>
      <c r="G522" s="287" t="s">
        <v>570</v>
      </c>
      <c r="H522" s="152">
        <f t="shared" si="4"/>
        <v>0</v>
      </c>
      <c r="I522" s="261">
        <v>4260</v>
      </c>
      <c r="J522" s="261">
        <v>1109</v>
      </c>
      <c r="K522" s="261">
        <f t="shared" si="5"/>
        <v>3151</v>
      </c>
      <c r="L522" s="261">
        <f t="shared" si="6"/>
        <v>-3151</v>
      </c>
    </row>
    <row r="523" spans="1:12" x14ac:dyDescent="0.25">
      <c r="A523" s="140" t="s">
        <v>275</v>
      </c>
      <c r="B523" s="142" t="s">
        <v>276</v>
      </c>
      <c r="C523" s="139">
        <v>335</v>
      </c>
      <c r="D523" s="139" t="s">
        <v>105</v>
      </c>
      <c r="E523" s="261">
        <v>33394</v>
      </c>
      <c r="F523" s="261">
        <v>32132</v>
      </c>
      <c r="G523" s="287" t="s">
        <v>570</v>
      </c>
      <c r="H523" s="261">
        <f t="shared" si="4"/>
        <v>1262</v>
      </c>
      <c r="I523" s="152">
        <v>0</v>
      </c>
      <c r="J523" s="152">
        <v>0</v>
      </c>
      <c r="K523" s="152">
        <f t="shared" si="5"/>
        <v>0</v>
      </c>
      <c r="L523" s="261">
        <f t="shared" si="6"/>
        <v>1262</v>
      </c>
    </row>
    <row r="524" spans="1:12" ht="60.75" x14ac:dyDescent="0.25">
      <c r="A524" s="140" t="s">
        <v>280</v>
      </c>
      <c r="B524" s="142" t="s">
        <v>281</v>
      </c>
      <c r="C524" s="139">
        <v>329</v>
      </c>
      <c r="D524" s="139" t="s">
        <v>105</v>
      </c>
      <c r="E524" s="261">
        <v>1430358</v>
      </c>
      <c r="F524" s="261">
        <v>1149030</v>
      </c>
      <c r="G524" s="287" t="s">
        <v>570</v>
      </c>
      <c r="H524" s="261">
        <f t="shared" si="4"/>
        <v>281328</v>
      </c>
      <c r="I524" s="152">
        <v>0</v>
      </c>
      <c r="J524" s="152">
        <v>0</v>
      </c>
      <c r="K524" s="152">
        <f t="shared" si="5"/>
        <v>0</v>
      </c>
      <c r="L524" s="261">
        <f t="shared" si="6"/>
        <v>281328</v>
      </c>
    </row>
    <row r="525" spans="1:12" ht="45.75" x14ac:dyDescent="0.25">
      <c r="A525" s="140" t="s">
        <v>248</v>
      </c>
      <c r="B525" s="142" t="s">
        <v>249</v>
      </c>
      <c r="C525" s="139">
        <v>261</v>
      </c>
      <c r="D525" s="139" t="s">
        <v>105</v>
      </c>
      <c r="E525" s="261">
        <v>927647</v>
      </c>
      <c r="F525" s="261">
        <v>917209</v>
      </c>
      <c r="G525" s="287" t="s">
        <v>570</v>
      </c>
      <c r="H525" s="261">
        <f t="shared" si="4"/>
        <v>10438</v>
      </c>
      <c r="I525" s="261">
        <v>12411</v>
      </c>
      <c r="J525" s="261">
        <v>10089</v>
      </c>
      <c r="K525" s="261">
        <f t="shared" si="5"/>
        <v>2322</v>
      </c>
      <c r="L525" s="261">
        <f t="shared" si="6"/>
        <v>8116</v>
      </c>
    </row>
    <row r="526" spans="1:12" x14ac:dyDescent="0.25">
      <c r="A526" s="140" t="s">
        <v>243</v>
      </c>
      <c r="B526" s="142" t="s">
        <v>229</v>
      </c>
      <c r="C526" s="139">
        <v>244</v>
      </c>
      <c r="D526" s="139" t="s">
        <v>105</v>
      </c>
      <c r="E526" s="261">
        <v>3164646</v>
      </c>
      <c r="F526" s="261">
        <v>3131852</v>
      </c>
      <c r="G526" s="287" t="s">
        <v>570</v>
      </c>
      <c r="H526" s="261">
        <f t="shared" si="4"/>
        <v>32794</v>
      </c>
      <c r="I526" s="261">
        <v>471</v>
      </c>
      <c r="J526" s="261">
        <v>471</v>
      </c>
      <c r="K526" s="152">
        <f t="shared" si="5"/>
        <v>0</v>
      </c>
      <c r="L526" s="261">
        <f t="shared" si="6"/>
        <v>32794</v>
      </c>
    </row>
    <row r="527" spans="1:12" ht="30.75" x14ac:dyDescent="0.25">
      <c r="A527" s="140" t="s">
        <v>293</v>
      </c>
      <c r="B527" s="142" t="s">
        <v>294</v>
      </c>
      <c r="C527" s="139">
        <v>182</v>
      </c>
      <c r="D527" s="139" t="s">
        <v>105</v>
      </c>
      <c r="E527" s="261">
        <v>109517</v>
      </c>
      <c r="F527" s="261">
        <v>107006</v>
      </c>
      <c r="G527" s="287" t="s">
        <v>570</v>
      </c>
      <c r="H527" s="261">
        <f t="shared" si="4"/>
        <v>2511</v>
      </c>
      <c r="I527" s="152">
        <v>0</v>
      </c>
      <c r="J527" s="152">
        <v>0</v>
      </c>
      <c r="K527" s="152">
        <f t="shared" si="5"/>
        <v>0</v>
      </c>
      <c r="L527" s="261">
        <f t="shared" si="6"/>
        <v>2511</v>
      </c>
    </row>
    <row r="528" spans="1:12" x14ac:dyDescent="0.25">
      <c r="A528" s="140" t="s">
        <v>259</v>
      </c>
      <c r="B528" s="142" t="s">
        <v>210</v>
      </c>
      <c r="C528" s="139">
        <v>280</v>
      </c>
      <c r="D528" s="139" t="s">
        <v>105</v>
      </c>
      <c r="E528" s="261">
        <v>87954</v>
      </c>
      <c r="F528" s="261">
        <v>82480</v>
      </c>
      <c r="G528" s="287" t="s">
        <v>570</v>
      </c>
      <c r="H528" s="261">
        <f t="shared" si="4"/>
        <v>5474</v>
      </c>
      <c r="I528" s="152">
        <v>0</v>
      </c>
      <c r="J528" s="152">
        <v>0</v>
      </c>
      <c r="K528" s="152">
        <f t="shared" si="5"/>
        <v>0</v>
      </c>
      <c r="L528" s="261">
        <f t="shared" si="6"/>
        <v>5474</v>
      </c>
    </row>
    <row r="529" spans="1:12" ht="30.75" x14ac:dyDescent="0.25">
      <c r="A529" s="140" t="s">
        <v>282</v>
      </c>
      <c r="B529" s="142" t="s">
        <v>196</v>
      </c>
      <c r="C529" s="139">
        <v>176</v>
      </c>
      <c r="D529" s="139" t="s">
        <v>105</v>
      </c>
      <c r="E529" s="261">
        <v>6362242</v>
      </c>
      <c r="F529" s="261">
        <v>6209882</v>
      </c>
      <c r="G529" s="287" t="s">
        <v>570</v>
      </c>
      <c r="H529" s="261">
        <f t="shared" si="4"/>
        <v>152360</v>
      </c>
      <c r="I529" s="261">
        <v>203356</v>
      </c>
      <c r="J529" s="261">
        <v>203356</v>
      </c>
      <c r="K529" s="152">
        <f t="shared" si="5"/>
        <v>0</v>
      </c>
      <c r="L529" s="261">
        <f t="shared" si="6"/>
        <v>152360</v>
      </c>
    </row>
    <row r="530" spans="1:12" x14ac:dyDescent="0.25">
      <c r="A530" s="140" t="s">
        <v>289</v>
      </c>
      <c r="B530" s="142" t="s">
        <v>290</v>
      </c>
      <c r="C530" s="139">
        <v>57</v>
      </c>
      <c r="D530" s="139" t="s">
        <v>105</v>
      </c>
      <c r="E530" s="261">
        <v>1148847</v>
      </c>
      <c r="F530" s="261">
        <v>892434</v>
      </c>
      <c r="G530" s="287" t="s">
        <v>570</v>
      </c>
      <c r="H530" s="261">
        <f t="shared" si="4"/>
        <v>256413</v>
      </c>
      <c r="I530" s="152">
        <v>0</v>
      </c>
      <c r="J530" s="152">
        <v>0</v>
      </c>
      <c r="K530" s="152">
        <f t="shared" si="5"/>
        <v>0</v>
      </c>
      <c r="L530" s="261">
        <f t="shared" si="6"/>
        <v>256413</v>
      </c>
    </row>
    <row r="531" spans="1:12" x14ac:dyDescent="0.25">
      <c r="A531" s="140" t="s">
        <v>226</v>
      </c>
      <c r="B531" s="142" t="s">
        <v>227</v>
      </c>
      <c r="C531" s="139">
        <v>171</v>
      </c>
      <c r="D531" s="139" t="s">
        <v>105</v>
      </c>
      <c r="E531" s="261">
        <v>2152382</v>
      </c>
      <c r="F531" s="261">
        <v>1909924</v>
      </c>
      <c r="G531" s="287" t="s">
        <v>570</v>
      </c>
      <c r="H531" s="261">
        <f t="shared" si="4"/>
        <v>242458</v>
      </c>
      <c r="I531" s="152">
        <v>0</v>
      </c>
      <c r="J531" s="152">
        <v>0</v>
      </c>
      <c r="K531" s="152">
        <f t="shared" si="5"/>
        <v>0</v>
      </c>
      <c r="L531" s="261">
        <f t="shared" si="6"/>
        <v>242458</v>
      </c>
    </row>
    <row r="532" spans="1:12" ht="45.75" x14ac:dyDescent="0.25">
      <c r="A532" s="140" t="s">
        <v>228</v>
      </c>
      <c r="B532" s="142" t="s">
        <v>229</v>
      </c>
      <c r="C532" s="139">
        <v>258</v>
      </c>
      <c r="D532" s="139" t="s">
        <v>105</v>
      </c>
      <c r="E532" s="261">
        <v>3369668</v>
      </c>
      <c r="F532" s="261">
        <v>2647678</v>
      </c>
      <c r="G532" s="287" t="s">
        <v>570</v>
      </c>
      <c r="H532" s="261">
        <f t="shared" si="4"/>
        <v>721990</v>
      </c>
      <c r="I532" s="152">
        <v>0</v>
      </c>
      <c r="J532" s="152">
        <v>0</v>
      </c>
      <c r="K532" s="152">
        <f t="shared" si="5"/>
        <v>0</v>
      </c>
      <c r="L532" s="261">
        <f t="shared" si="6"/>
        <v>721990</v>
      </c>
    </row>
    <row r="533" spans="1:12" x14ac:dyDescent="0.25">
      <c r="A533" s="140" t="s">
        <v>291</v>
      </c>
      <c r="B533" s="142" t="s">
        <v>292</v>
      </c>
      <c r="C533" s="139">
        <v>58</v>
      </c>
      <c r="D533" s="139" t="s">
        <v>105</v>
      </c>
      <c r="E533" s="261">
        <v>3305227</v>
      </c>
      <c r="F533" s="261">
        <v>3224482</v>
      </c>
      <c r="G533" s="287" t="s">
        <v>570</v>
      </c>
      <c r="H533" s="261">
        <f t="shared" si="4"/>
        <v>80745</v>
      </c>
      <c r="I533" s="152">
        <v>0</v>
      </c>
      <c r="J533" s="152">
        <v>0</v>
      </c>
      <c r="K533" s="152">
        <f t="shared" si="5"/>
        <v>0</v>
      </c>
      <c r="L533" s="261">
        <f t="shared" si="6"/>
        <v>80745</v>
      </c>
    </row>
    <row r="534" spans="1:12" x14ac:dyDescent="0.25">
      <c r="A534" s="140" t="s">
        <v>262</v>
      </c>
      <c r="B534" s="142" t="s">
        <v>263</v>
      </c>
      <c r="C534" s="139">
        <v>308</v>
      </c>
      <c r="D534" s="139" t="s">
        <v>105</v>
      </c>
      <c r="E534" s="261">
        <v>135845</v>
      </c>
      <c r="F534" s="261">
        <v>43821</v>
      </c>
      <c r="G534" s="287" t="s">
        <v>570</v>
      </c>
      <c r="H534" s="261">
        <f t="shared" si="4"/>
        <v>92024</v>
      </c>
      <c r="I534" s="152">
        <v>0</v>
      </c>
      <c r="J534" s="152">
        <v>0</v>
      </c>
      <c r="K534" s="152">
        <f t="shared" si="5"/>
        <v>0</v>
      </c>
      <c r="L534" s="261">
        <f t="shared" si="6"/>
        <v>92024</v>
      </c>
    </row>
    <row r="535" spans="1:12" x14ac:dyDescent="0.25">
      <c r="A535" s="140" t="s">
        <v>230</v>
      </c>
      <c r="B535" s="142" t="s">
        <v>210</v>
      </c>
      <c r="C535" s="139">
        <v>260</v>
      </c>
      <c r="D535" s="139" t="s">
        <v>105</v>
      </c>
      <c r="E535" s="261">
        <v>21787691</v>
      </c>
      <c r="F535" s="261">
        <v>21509807</v>
      </c>
      <c r="G535" s="287" t="s">
        <v>570</v>
      </c>
      <c r="H535" s="261">
        <f t="shared" si="4"/>
        <v>277884</v>
      </c>
      <c r="I535" s="261">
        <v>1090955</v>
      </c>
      <c r="J535" s="261">
        <v>31533</v>
      </c>
      <c r="K535" s="261">
        <f t="shared" si="5"/>
        <v>1059422</v>
      </c>
      <c r="L535" s="261">
        <f t="shared" si="6"/>
        <v>-781538</v>
      </c>
    </row>
    <row r="536" spans="1:12" ht="30.75" x14ac:dyDescent="0.25">
      <c r="A536" s="140" t="s">
        <v>244</v>
      </c>
      <c r="B536" s="142" t="s">
        <v>245</v>
      </c>
      <c r="C536" s="139">
        <v>346</v>
      </c>
      <c r="D536" s="139" t="s">
        <v>105</v>
      </c>
      <c r="E536" s="261">
        <v>51841</v>
      </c>
      <c r="F536" s="261">
        <v>50296</v>
      </c>
      <c r="G536" s="287" t="s">
        <v>570</v>
      </c>
      <c r="H536" s="261">
        <f t="shared" si="4"/>
        <v>1545</v>
      </c>
      <c r="I536" s="152">
        <v>0</v>
      </c>
      <c r="J536" s="152">
        <v>0</v>
      </c>
      <c r="K536" s="152">
        <f t="shared" si="5"/>
        <v>0</v>
      </c>
      <c r="L536" s="261">
        <f t="shared" si="6"/>
        <v>1545</v>
      </c>
    </row>
    <row r="537" spans="1:12" ht="30.75" x14ac:dyDescent="0.25">
      <c r="A537" s="140" t="s">
        <v>233</v>
      </c>
      <c r="B537" s="142" t="s">
        <v>234</v>
      </c>
      <c r="C537" s="139">
        <v>351</v>
      </c>
      <c r="D537" s="139" t="s">
        <v>105</v>
      </c>
      <c r="E537" s="261">
        <v>63789</v>
      </c>
      <c r="F537" s="261">
        <v>58955</v>
      </c>
      <c r="G537" s="287" t="s">
        <v>570</v>
      </c>
      <c r="H537" s="261">
        <f t="shared" si="4"/>
        <v>4834</v>
      </c>
      <c r="I537" s="152">
        <v>0</v>
      </c>
      <c r="J537" s="152">
        <v>0</v>
      </c>
      <c r="K537" s="152">
        <f t="shared" si="5"/>
        <v>0</v>
      </c>
      <c r="L537" s="261">
        <f t="shared" si="6"/>
        <v>4834</v>
      </c>
    </row>
    <row r="538" spans="1:12" x14ac:dyDescent="0.25">
      <c r="A538" s="140" t="s">
        <v>59</v>
      </c>
      <c r="B538" s="142" t="s">
        <v>60</v>
      </c>
      <c r="C538" s="139">
        <v>170</v>
      </c>
      <c r="D538" s="139" t="s">
        <v>116</v>
      </c>
      <c r="E538" s="152">
        <v>0</v>
      </c>
      <c r="F538" s="152">
        <v>0</v>
      </c>
      <c r="G538" s="287" t="s">
        <v>570</v>
      </c>
      <c r="H538" s="152">
        <f t="shared" si="4"/>
        <v>0</v>
      </c>
      <c r="I538" s="261">
        <v>1000</v>
      </c>
      <c r="J538" s="152">
        <v>0</v>
      </c>
      <c r="K538" s="261">
        <f t="shared" si="5"/>
        <v>1000</v>
      </c>
      <c r="L538" s="261">
        <f t="shared" si="6"/>
        <v>-1000</v>
      </c>
    </row>
    <row r="539" spans="1:12" x14ac:dyDescent="0.25">
      <c r="A539" s="140" t="s">
        <v>250</v>
      </c>
      <c r="B539" s="142" t="s">
        <v>251</v>
      </c>
      <c r="C539" s="139">
        <v>305</v>
      </c>
      <c r="D539" s="139" t="s">
        <v>116</v>
      </c>
      <c r="E539" s="261">
        <v>117677</v>
      </c>
      <c r="F539" s="261">
        <v>104958</v>
      </c>
      <c r="G539" s="287" t="s">
        <v>570</v>
      </c>
      <c r="H539" s="261">
        <f t="shared" si="4"/>
        <v>12719</v>
      </c>
      <c r="I539" s="152">
        <v>0</v>
      </c>
      <c r="J539" s="152">
        <v>0</v>
      </c>
      <c r="K539" s="152">
        <f t="shared" si="5"/>
        <v>0</v>
      </c>
      <c r="L539" s="261">
        <f t="shared" si="6"/>
        <v>12719</v>
      </c>
    </row>
    <row r="540" spans="1:12" ht="30.75" x14ac:dyDescent="0.25">
      <c r="A540" s="140" t="s">
        <v>185</v>
      </c>
      <c r="B540" s="142" t="s">
        <v>186</v>
      </c>
      <c r="C540" s="139">
        <v>250</v>
      </c>
      <c r="D540" s="139" t="s">
        <v>116</v>
      </c>
      <c r="E540" s="261">
        <v>1709781</v>
      </c>
      <c r="F540" s="261">
        <v>1015426</v>
      </c>
      <c r="G540" s="287" t="s">
        <v>570</v>
      </c>
      <c r="H540" s="261">
        <f t="shared" si="4"/>
        <v>694355</v>
      </c>
      <c r="I540" s="261">
        <v>7</v>
      </c>
      <c r="J540" s="261">
        <v>4</v>
      </c>
      <c r="K540" s="261">
        <f t="shared" si="5"/>
        <v>3</v>
      </c>
      <c r="L540" s="261">
        <f t="shared" si="6"/>
        <v>694352</v>
      </c>
    </row>
    <row r="541" spans="1:12" ht="30.75" x14ac:dyDescent="0.25">
      <c r="A541" s="140" t="s">
        <v>277</v>
      </c>
      <c r="B541" s="142" t="s">
        <v>272</v>
      </c>
      <c r="C541" s="139">
        <v>348</v>
      </c>
      <c r="D541" s="139" t="s">
        <v>116</v>
      </c>
      <c r="E541" s="261">
        <v>53867214</v>
      </c>
      <c r="F541" s="261">
        <v>45736429</v>
      </c>
      <c r="G541" s="287" t="s">
        <v>570</v>
      </c>
      <c r="H541" s="261">
        <f t="shared" si="4"/>
        <v>8130785</v>
      </c>
      <c r="I541" s="152">
        <v>0</v>
      </c>
      <c r="J541" s="152">
        <v>0</v>
      </c>
      <c r="K541" s="152">
        <f t="shared" si="5"/>
        <v>0</v>
      </c>
      <c r="L541" s="261">
        <f t="shared" si="6"/>
        <v>8130785</v>
      </c>
    </row>
    <row r="542" spans="1:12" ht="30.75" x14ac:dyDescent="0.25">
      <c r="A542" s="140" t="s">
        <v>265</v>
      </c>
      <c r="B542" s="142" t="s">
        <v>266</v>
      </c>
      <c r="C542" s="139">
        <v>286</v>
      </c>
      <c r="D542" s="139" t="s">
        <v>116</v>
      </c>
      <c r="E542" s="261">
        <v>72259</v>
      </c>
      <c r="F542" s="261">
        <v>49294</v>
      </c>
      <c r="G542" s="287" t="s">
        <v>570</v>
      </c>
      <c r="H542" s="261">
        <f t="shared" si="4"/>
        <v>22965</v>
      </c>
      <c r="I542" s="152">
        <v>0</v>
      </c>
      <c r="J542" s="152">
        <v>0</v>
      </c>
      <c r="K542" s="152">
        <f t="shared" si="5"/>
        <v>0</v>
      </c>
      <c r="L542" s="261">
        <f t="shared" si="6"/>
        <v>22965</v>
      </c>
    </row>
    <row r="543" spans="1:12" ht="30.75" x14ac:dyDescent="0.25">
      <c r="A543" s="140" t="s">
        <v>189</v>
      </c>
      <c r="B543" s="142" t="s">
        <v>190</v>
      </c>
      <c r="C543" s="139">
        <v>172</v>
      </c>
      <c r="D543" s="139" t="s">
        <v>116</v>
      </c>
      <c r="E543" s="261">
        <v>624944</v>
      </c>
      <c r="F543" s="261">
        <v>536418</v>
      </c>
      <c r="G543" s="287" t="s">
        <v>570</v>
      </c>
      <c r="H543" s="261">
        <f t="shared" ref="H543:H574" si="7">E543-F543</f>
        <v>88526</v>
      </c>
      <c r="I543" s="152">
        <v>0</v>
      </c>
      <c r="J543" s="152">
        <v>0</v>
      </c>
      <c r="K543" s="152">
        <f t="shared" si="5"/>
        <v>0</v>
      </c>
      <c r="L543" s="261">
        <f t="shared" si="6"/>
        <v>88526</v>
      </c>
    </row>
    <row r="544" spans="1:12" x14ac:dyDescent="0.25">
      <c r="A544" s="140" t="s">
        <v>246</v>
      </c>
      <c r="B544" s="142" t="s">
        <v>247</v>
      </c>
      <c r="C544" s="139">
        <v>278</v>
      </c>
      <c r="D544" s="139" t="s">
        <v>116</v>
      </c>
      <c r="E544" s="261">
        <v>1740107</v>
      </c>
      <c r="F544" s="261">
        <v>1552010</v>
      </c>
      <c r="G544" s="287" t="s">
        <v>570</v>
      </c>
      <c r="H544" s="261">
        <f t="shared" si="7"/>
        <v>188097</v>
      </c>
      <c r="I544" s="152">
        <v>0</v>
      </c>
      <c r="J544" s="152">
        <v>0</v>
      </c>
      <c r="K544" s="152">
        <f t="shared" si="5"/>
        <v>0</v>
      </c>
      <c r="L544" s="261">
        <f t="shared" si="6"/>
        <v>188097</v>
      </c>
    </row>
    <row r="545" spans="1:12" ht="30.75" x14ac:dyDescent="0.25">
      <c r="A545" s="140" t="s">
        <v>191</v>
      </c>
      <c r="B545" s="142" t="s">
        <v>192</v>
      </c>
      <c r="C545" s="139">
        <v>11</v>
      </c>
      <c r="D545" s="139" t="s">
        <v>116</v>
      </c>
      <c r="E545" s="261">
        <v>23972104</v>
      </c>
      <c r="F545" s="261">
        <v>21133564</v>
      </c>
      <c r="G545" s="287" t="s">
        <v>570</v>
      </c>
      <c r="H545" s="261">
        <f t="shared" si="7"/>
        <v>2838540</v>
      </c>
      <c r="I545" s="261">
        <v>2</v>
      </c>
      <c r="J545" s="152">
        <v>0</v>
      </c>
      <c r="K545" s="261">
        <f t="shared" si="5"/>
        <v>2</v>
      </c>
      <c r="L545" s="261">
        <f t="shared" si="6"/>
        <v>2838538</v>
      </c>
    </row>
    <row r="546" spans="1:12" x14ac:dyDescent="0.25">
      <c r="A546" s="140" t="s">
        <v>295</v>
      </c>
      <c r="B546" s="142" t="s">
        <v>194</v>
      </c>
      <c r="C546" s="139">
        <v>223</v>
      </c>
      <c r="D546" s="139" t="s">
        <v>116</v>
      </c>
      <c r="E546" s="261">
        <v>4039486</v>
      </c>
      <c r="F546" s="261">
        <v>3691207</v>
      </c>
      <c r="G546" s="287" t="s">
        <v>570</v>
      </c>
      <c r="H546" s="261">
        <f t="shared" si="7"/>
        <v>348279</v>
      </c>
      <c r="I546" s="261">
        <v>3</v>
      </c>
      <c r="J546" s="152">
        <v>0</v>
      </c>
      <c r="K546" s="261">
        <f t="shared" si="5"/>
        <v>3</v>
      </c>
      <c r="L546" s="261">
        <f t="shared" si="6"/>
        <v>348276</v>
      </c>
    </row>
    <row r="547" spans="1:12" ht="45.75" x14ac:dyDescent="0.25">
      <c r="A547" s="140" t="s">
        <v>197</v>
      </c>
      <c r="B547" s="142" t="s">
        <v>198</v>
      </c>
      <c r="C547" s="139">
        <v>272</v>
      </c>
      <c r="D547" s="139" t="s">
        <v>116</v>
      </c>
      <c r="E547" s="261">
        <v>9224219</v>
      </c>
      <c r="F547" s="261">
        <v>8491932</v>
      </c>
      <c r="G547" s="287" t="s">
        <v>570</v>
      </c>
      <c r="H547" s="261">
        <f t="shared" si="7"/>
        <v>732287</v>
      </c>
      <c r="I547" s="261">
        <v>2</v>
      </c>
      <c r="J547" s="152">
        <v>0</v>
      </c>
      <c r="K547" s="261">
        <f t="shared" si="5"/>
        <v>2</v>
      </c>
      <c r="L547" s="261">
        <f t="shared" si="6"/>
        <v>732285</v>
      </c>
    </row>
    <row r="548" spans="1:12" ht="45.75" x14ac:dyDescent="0.25">
      <c r="A548" s="140" t="s">
        <v>199</v>
      </c>
      <c r="B548" s="142" t="s">
        <v>200</v>
      </c>
      <c r="C548" s="139">
        <v>276</v>
      </c>
      <c r="D548" s="139" t="s">
        <v>116</v>
      </c>
      <c r="E548" s="261">
        <v>891073</v>
      </c>
      <c r="F548" s="261">
        <v>717431</v>
      </c>
      <c r="G548" s="287" t="s">
        <v>570</v>
      </c>
      <c r="H548" s="261">
        <f t="shared" si="7"/>
        <v>173642</v>
      </c>
      <c r="I548" s="152">
        <v>0</v>
      </c>
      <c r="J548" s="152">
        <v>0</v>
      </c>
      <c r="K548" s="152">
        <f t="shared" si="5"/>
        <v>0</v>
      </c>
      <c r="L548" s="261">
        <f t="shared" si="6"/>
        <v>173642</v>
      </c>
    </row>
    <row r="549" spans="1:12" ht="60.75" x14ac:dyDescent="0.25">
      <c r="A549" s="140" t="s">
        <v>298</v>
      </c>
      <c r="B549" s="142" t="s">
        <v>299</v>
      </c>
      <c r="C549" s="139">
        <v>291</v>
      </c>
      <c r="D549" s="139" t="s">
        <v>116</v>
      </c>
      <c r="E549" s="261">
        <v>346400</v>
      </c>
      <c r="F549" s="261">
        <v>287064</v>
      </c>
      <c r="G549" s="287" t="s">
        <v>570</v>
      </c>
      <c r="H549" s="261">
        <f t="shared" si="7"/>
        <v>59336</v>
      </c>
      <c r="I549" s="152">
        <v>0</v>
      </c>
      <c r="J549" s="152">
        <v>0</v>
      </c>
      <c r="K549" s="152">
        <f t="shared" si="5"/>
        <v>0</v>
      </c>
      <c r="L549" s="261">
        <f t="shared" si="6"/>
        <v>59336</v>
      </c>
    </row>
    <row r="550" spans="1:12" ht="30.75" x14ac:dyDescent="0.25">
      <c r="A550" s="140" t="s">
        <v>203</v>
      </c>
      <c r="B550" s="142" t="s">
        <v>204</v>
      </c>
      <c r="C550" s="139">
        <v>209</v>
      </c>
      <c r="D550" s="139" t="s">
        <v>116</v>
      </c>
      <c r="E550" s="261">
        <v>309546</v>
      </c>
      <c r="F550" s="261">
        <v>224475</v>
      </c>
      <c r="G550" s="287" t="s">
        <v>570</v>
      </c>
      <c r="H550" s="261">
        <f t="shared" si="7"/>
        <v>85071</v>
      </c>
      <c r="I550" s="152">
        <v>0</v>
      </c>
      <c r="J550" s="152">
        <v>0</v>
      </c>
      <c r="K550" s="152">
        <f t="shared" si="5"/>
        <v>0</v>
      </c>
      <c r="L550" s="261">
        <f t="shared" si="6"/>
        <v>85071</v>
      </c>
    </row>
    <row r="551" spans="1:12" x14ac:dyDescent="0.25">
      <c r="A551" s="140" t="s">
        <v>205</v>
      </c>
      <c r="B551" s="142" t="s">
        <v>206</v>
      </c>
      <c r="C551" s="139">
        <v>183</v>
      </c>
      <c r="D551" s="139" t="s">
        <v>116</v>
      </c>
      <c r="E551" s="261">
        <v>868045</v>
      </c>
      <c r="F551" s="261">
        <v>731745</v>
      </c>
      <c r="G551" s="287" t="s">
        <v>570</v>
      </c>
      <c r="H551" s="261">
        <f t="shared" si="7"/>
        <v>136300</v>
      </c>
      <c r="I551" s="261">
        <v>1</v>
      </c>
      <c r="J551" s="261">
        <v>1</v>
      </c>
      <c r="K551" s="152">
        <f t="shared" si="5"/>
        <v>0</v>
      </c>
      <c r="L551" s="261">
        <f t="shared" si="6"/>
        <v>136300</v>
      </c>
    </row>
    <row r="552" spans="1:12" x14ac:dyDescent="0.25">
      <c r="A552" s="140" t="s">
        <v>237</v>
      </c>
      <c r="B552" s="142" t="s">
        <v>238</v>
      </c>
      <c r="C552" s="139">
        <v>251</v>
      </c>
      <c r="D552" s="139" t="s">
        <v>116</v>
      </c>
      <c r="E552" s="261">
        <v>459132</v>
      </c>
      <c r="F552" s="261">
        <v>388107</v>
      </c>
      <c r="G552" s="287" t="s">
        <v>570</v>
      </c>
      <c r="H552" s="261">
        <f t="shared" si="7"/>
        <v>71025</v>
      </c>
      <c r="I552" s="152">
        <v>0</v>
      </c>
      <c r="J552" s="152">
        <v>0</v>
      </c>
      <c r="K552" s="152">
        <f t="shared" si="5"/>
        <v>0</v>
      </c>
      <c r="L552" s="261">
        <f t="shared" si="6"/>
        <v>71025</v>
      </c>
    </row>
    <row r="553" spans="1:12" ht="30.75" x14ac:dyDescent="0.25">
      <c r="A553" s="140" t="s">
        <v>254</v>
      </c>
      <c r="B553" s="142" t="s">
        <v>196</v>
      </c>
      <c r="C553" s="139">
        <v>91</v>
      </c>
      <c r="D553" s="139" t="s">
        <v>116</v>
      </c>
      <c r="E553" s="261">
        <v>13054</v>
      </c>
      <c r="F553" s="261">
        <v>11243</v>
      </c>
      <c r="G553" s="287" t="s">
        <v>570</v>
      </c>
      <c r="H553" s="261">
        <f t="shared" si="7"/>
        <v>1811</v>
      </c>
      <c r="I553" s="152">
        <v>0</v>
      </c>
      <c r="J553" s="152">
        <v>0</v>
      </c>
      <c r="K553" s="152">
        <f t="shared" si="5"/>
        <v>0</v>
      </c>
      <c r="L553" s="261">
        <f t="shared" si="6"/>
        <v>1811</v>
      </c>
    </row>
    <row r="554" spans="1:12" x14ac:dyDescent="0.25">
      <c r="A554" s="140" t="s">
        <v>207</v>
      </c>
      <c r="B554" s="142" t="s">
        <v>208</v>
      </c>
      <c r="C554" s="139">
        <v>192</v>
      </c>
      <c r="D554" s="139" t="s">
        <v>116</v>
      </c>
      <c r="E554" s="261">
        <v>415489</v>
      </c>
      <c r="F554" s="261">
        <v>357800</v>
      </c>
      <c r="G554" s="287" t="s">
        <v>570</v>
      </c>
      <c r="H554" s="261">
        <f t="shared" si="7"/>
        <v>57689</v>
      </c>
      <c r="I554" s="152">
        <v>0</v>
      </c>
      <c r="J554" s="152">
        <v>0</v>
      </c>
      <c r="K554" s="152">
        <f t="shared" si="5"/>
        <v>0</v>
      </c>
      <c r="L554" s="261">
        <f t="shared" si="6"/>
        <v>57689</v>
      </c>
    </row>
    <row r="555" spans="1:12" x14ac:dyDescent="0.25">
      <c r="A555" s="140" t="s">
        <v>300</v>
      </c>
      <c r="B555" s="142" t="s">
        <v>210</v>
      </c>
      <c r="C555" s="139">
        <v>26</v>
      </c>
      <c r="D555" s="139" t="s">
        <v>116</v>
      </c>
      <c r="E555" s="261">
        <v>27025365</v>
      </c>
      <c r="F555" s="261">
        <v>19200448</v>
      </c>
      <c r="G555" s="287" t="s">
        <v>570</v>
      </c>
      <c r="H555" s="261">
        <f t="shared" si="7"/>
        <v>7824917</v>
      </c>
      <c r="I555" s="152">
        <v>0</v>
      </c>
      <c r="J555" s="152">
        <v>0</v>
      </c>
      <c r="K555" s="152">
        <f t="shared" si="5"/>
        <v>0</v>
      </c>
      <c r="L555" s="261">
        <f t="shared" si="6"/>
        <v>7824917</v>
      </c>
    </row>
    <row r="556" spans="1:12" ht="30.75" x14ac:dyDescent="0.25">
      <c r="A556" s="140" t="s">
        <v>209</v>
      </c>
      <c r="B556" s="142" t="s">
        <v>210</v>
      </c>
      <c r="C556" s="139">
        <v>297</v>
      </c>
      <c r="D556" s="139" t="s">
        <v>116</v>
      </c>
      <c r="E556" s="261">
        <v>231343214</v>
      </c>
      <c r="F556" s="261">
        <v>180663161</v>
      </c>
      <c r="G556" s="287" t="s">
        <v>570</v>
      </c>
      <c r="H556" s="261">
        <f t="shared" si="7"/>
        <v>50680053</v>
      </c>
      <c r="I556" s="152">
        <v>0</v>
      </c>
      <c r="J556" s="152">
        <v>0</v>
      </c>
      <c r="K556" s="152">
        <f t="shared" si="5"/>
        <v>0</v>
      </c>
      <c r="L556" s="261">
        <f t="shared" si="6"/>
        <v>50680053</v>
      </c>
    </row>
    <row r="557" spans="1:12" x14ac:dyDescent="0.25">
      <c r="A557" s="140" t="s">
        <v>211</v>
      </c>
      <c r="B557" s="142" t="s">
        <v>212</v>
      </c>
      <c r="C557" s="139">
        <v>166</v>
      </c>
      <c r="D557" s="139" t="s">
        <v>116</v>
      </c>
      <c r="E557" s="261">
        <v>9142743</v>
      </c>
      <c r="F557" s="261">
        <v>7632371</v>
      </c>
      <c r="G557" s="287" t="s">
        <v>570</v>
      </c>
      <c r="H557" s="261">
        <f t="shared" si="7"/>
        <v>1510372</v>
      </c>
      <c r="I557" s="261">
        <v>1</v>
      </c>
      <c r="J557" s="152">
        <v>0</v>
      </c>
      <c r="K557" s="261">
        <f t="shared" si="5"/>
        <v>1</v>
      </c>
      <c r="L557" s="261">
        <f t="shared" si="6"/>
        <v>1510371</v>
      </c>
    </row>
    <row r="558" spans="1:12" x14ac:dyDescent="0.25">
      <c r="A558" s="140" t="s">
        <v>255</v>
      </c>
      <c r="B558" s="142" t="s">
        <v>256</v>
      </c>
      <c r="C558" s="139">
        <v>268</v>
      </c>
      <c r="D558" s="139" t="s">
        <v>116</v>
      </c>
      <c r="E558" s="261">
        <v>6821348</v>
      </c>
      <c r="F558" s="261">
        <v>4845414</v>
      </c>
      <c r="G558" s="287" t="s">
        <v>570</v>
      </c>
      <c r="H558" s="261">
        <f t="shared" si="7"/>
        <v>1975934</v>
      </c>
      <c r="I558" s="152">
        <v>0</v>
      </c>
      <c r="J558" s="152">
        <v>0</v>
      </c>
      <c r="K558" s="152">
        <f t="shared" si="5"/>
        <v>0</v>
      </c>
      <c r="L558" s="261">
        <f t="shared" si="6"/>
        <v>1975934</v>
      </c>
    </row>
    <row r="559" spans="1:12" x14ac:dyDescent="0.25">
      <c r="A559" s="140" t="s">
        <v>213</v>
      </c>
      <c r="B559" s="142" t="s">
        <v>214</v>
      </c>
      <c r="C559" s="139">
        <v>32</v>
      </c>
      <c r="D559" s="139" t="s">
        <v>116</v>
      </c>
      <c r="E559" s="261">
        <v>4365949</v>
      </c>
      <c r="F559" s="261">
        <v>4220239</v>
      </c>
      <c r="G559" s="287" t="s">
        <v>570</v>
      </c>
      <c r="H559" s="261">
        <f t="shared" si="7"/>
        <v>145710</v>
      </c>
      <c r="I559" s="261">
        <v>2</v>
      </c>
      <c r="J559" s="152">
        <v>0</v>
      </c>
      <c r="K559" s="261">
        <f t="shared" si="5"/>
        <v>2</v>
      </c>
      <c r="L559" s="261">
        <f t="shared" si="6"/>
        <v>145708</v>
      </c>
    </row>
    <row r="560" spans="1:12" x14ac:dyDescent="0.25">
      <c r="A560" s="140" t="s">
        <v>273</v>
      </c>
      <c r="B560" s="142" t="s">
        <v>216</v>
      </c>
      <c r="C560" s="139">
        <v>230</v>
      </c>
      <c r="D560" s="139" t="s">
        <v>116</v>
      </c>
      <c r="E560" s="261">
        <v>5527460</v>
      </c>
      <c r="F560" s="261">
        <v>5438722</v>
      </c>
      <c r="G560" s="287" t="s">
        <v>570</v>
      </c>
      <c r="H560" s="261">
        <f t="shared" si="7"/>
        <v>88738</v>
      </c>
      <c r="I560" s="261">
        <v>3</v>
      </c>
      <c r="J560" s="152">
        <v>0</v>
      </c>
      <c r="K560" s="261">
        <f t="shared" si="5"/>
        <v>3</v>
      </c>
      <c r="L560" s="261">
        <f t="shared" si="6"/>
        <v>88735</v>
      </c>
    </row>
    <row r="561" spans="1:12" x14ac:dyDescent="0.25">
      <c r="A561" s="140" t="s">
        <v>257</v>
      </c>
      <c r="B561" s="142" t="s">
        <v>258</v>
      </c>
      <c r="C561" s="139">
        <v>148</v>
      </c>
      <c r="D561" s="139" t="s">
        <v>116</v>
      </c>
      <c r="E561" s="261">
        <v>35051</v>
      </c>
      <c r="F561" s="261">
        <v>9658</v>
      </c>
      <c r="G561" s="287" t="s">
        <v>570</v>
      </c>
      <c r="H561" s="261">
        <f t="shared" si="7"/>
        <v>25393</v>
      </c>
      <c r="I561" s="152">
        <v>0</v>
      </c>
      <c r="J561" s="152">
        <v>0</v>
      </c>
      <c r="K561" s="152">
        <f t="shared" si="5"/>
        <v>0</v>
      </c>
      <c r="L561" s="261">
        <f t="shared" si="6"/>
        <v>25393</v>
      </c>
    </row>
    <row r="562" spans="1:12" x14ac:dyDescent="0.25">
      <c r="A562" s="140" t="s">
        <v>219</v>
      </c>
      <c r="B562" s="142" t="s">
        <v>220</v>
      </c>
      <c r="C562" s="139">
        <v>153</v>
      </c>
      <c r="D562" s="139" t="s">
        <v>116</v>
      </c>
      <c r="E562" s="261">
        <v>4238386</v>
      </c>
      <c r="F562" s="261">
        <v>3825740</v>
      </c>
      <c r="G562" s="287" t="s">
        <v>570</v>
      </c>
      <c r="H562" s="261">
        <f t="shared" si="7"/>
        <v>412646</v>
      </c>
      <c r="I562" s="152">
        <v>0</v>
      </c>
      <c r="J562" s="152">
        <v>0</v>
      </c>
      <c r="K562" s="152">
        <f t="shared" si="5"/>
        <v>0</v>
      </c>
      <c r="L562" s="261">
        <f t="shared" si="6"/>
        <v>412646</v>
      </c>
    </row>
    <row r="563" spans="1:12" x14ac:dyDescent="0.25">
      <c r="A563" s="140" t="s">
        <v>239</v>
      </c>
      <c r="B563" s="142" t="s">
        <v>240</v>
      </c>
      <c r="C563" s="139">
        <v>155</v>
      </c>
      <c r="D563" s="139" t="s">
        <v>116</v>
      </c>
      <c r="E563" s="261">
        <v>1159907</v>
      </c>
      <c r="F563" s="261">
        <v>470577</v>
      </c>
      <c r="G563" s="287" t="s">
        <v>570</v>
      </c>
      <c r="H563" s="261">
        <f t="shared" si="7"/>
        <v>689330</v>
      </c>
      <c r="I563" s="152">
        <v>0</v>
      </c>
      <c r="J563" s="152">
        <v>0</v>
      </c>
      <c r="K563" s="152">
        <f t="shared" si="5"/>
        <v>0</v>
      </c>
      <c r="L563" s="261">
        <f t="shared" si="6"/>
        <v>689330</v>
      </c>
    </row>
    <row r="564" spans="1:12" x14ac:dyDescent="0.25">
      <c r="A564" s="140" t="s">
        <v>67</v>
      </c>
      <c r="B564" s="142" t="s">
        <v>68</v>
      </c>
      <c r="C564" s="139">
        <v>42</v>
      </c>
      <c r="D564" s="139" t="s">
        <v>116</v>
      </c>
      <c r="E564" s="261">
        <v>16405291</v>
      </c>
      <c r="F564" s="261">
        <v>14589752</v>
      </c>
      <c r="G564" s="287" t="s">
        <v>570</v>
      </c>
      <c r="H564" s="261">
        <f t="shared" si="7"/>
        <v>1815539</v>
      </c>
      <c r="I564" s="152">
        <v>0</v>
      </c>
      <c r="J564" s="152">
        <v>0</v>
      </c>
      <c r="K564" s="152">
        <f t="shared" si="5"/>
        <v>0</v>
      </c>
      <c r="L564" s="261">
        <f t="shared" si="6"/>
        <v>1815539</v>
      </c>
    </row>
    <row r="565" spans="1:12" ht="60.75" x14ac:dyDescent="0.25">
      <c r="A565" s="140" t="s">
        <v>296</v>
      </c>
      <c r="B565" s="142" t="s">
        <v>297</v>
      </c>
      <c r="C565" s="139">
        <v>265</v>
      </c>
      <c r="D565" s="139" t="s">
        <v>116</v>
      </c>
      <c r="E565" s="261">
        <v>3431203</v>
      </c>
      <c r="F565" s="261">
        <v>3273018</v>
      </c>
      <c r="G565" s="287" t="s">
        <v>570</v>
      </c>
      <c r="H565" s="261">
        <f t="shared" si="7"/>
        <v>158185</v>
      </c>
      <c r="I565" s="152">
        <v>0</v>
      </c>
      <c r="J565" s="152">
        <v>0</v>
      </c>
      <c r="K565" s="152">
        <f t="shared" si="5"/>
        <v>0</v>
      </c>
      <c r="L565" s="261">
        <f t="shared" si="6"/>
        <v>158185</v>
      </c>
    </row>
    <row r="566" spans="1:12" x14ac:dyDescent="0.25">
      <c r="A566" s="140" t="s">
        <v>221</v>
      </c>
      <c r="B566" s="142" t="s">
        <v>210</v>
      </c>
      <c r="C566" s="139">
        <v>48</v>
      </c>
      <c r="D566" s="139" t="s">
        <v>116</v>
      </c>
      <c r="E566" s="261">
        <v>16695259</v>
      </c>
      <c r="F566" s="261">
        <v>14809884</v>
      </c>
      <c r="G566" s="287" t="s">
        <v>570</v>
      </c>
      <c r="H566" s="261">
        <f t="shared" si="7"/>
        <v>1885375</v>
      </c>
      <c r="I566" s="261">
        <v>10</v>
      </c>
      <c r="J566" s="261">
        <v>9</v>
      </c>
      <c r="K566" s="261">
        <f t="shared" si="5"/>
        <v>1</v>
      </c>
      <c r="L566" s="261">
        <f t="shared" si="6"/>
        <v>1885374</v>
      </c>
    </row>
    <row r="567" spans="1:12" ht="30.75" x14ac:dyDescent="0.25">
      <c r="A567" s="140" t="s">
        <v>301</v>
      </c>
      <c r="B567" s="142" t="s">
        <v>202</v>
      </c>
      <c r="C567" s="139">
        <v>150</v>
      </c>
      <c r="D567" s="139" t="s">
        <v>116</v>
      </c>
      <c r="E567" s="261">
        <v>7031995</v>
      </c>
      <c r="F567" s="261">
        <v>6148659</v>
      </c>
      <c r="G567" s="287" t="s">
        <v>570</v>
      </c>
      <c r="H567" s="261">
        <f t="shared" si="7"/>
        <v>883336</v>
      </c>
      <c r="I567" s="261">
        <v>9</v>
      </c>
      <c r="J567" s="261">
        <v>7</v>
      </c>
      <c r="K567" s="261">
        <f t="shared" si="5"/>
        <v>2</v>
      </c>
      <c r="L567" s="261">
        <f t="shared" si="6"/>
        <v>883334</v>
      </c>
    </row>
    <row r="568" spans="1:12" ht="30.75" x14ac:dyDescent="0.25">
      <c r="A568" s="140" t="s">
        <v>56</v>
      </c>
      <c r="B568" s="142" t="s">
        <v>57</v>
      </c>
      <c r="C568" s="139">
        <v>218</v>
      </c>
      <c r="D568" s="139" t="s">
        <v>116</v>
      </c>
      <c r="E568" s="261">
        <v>3819044</v>
      </c>
      <c r="F568" s="261">
        <v>3199438</v>
      </c>
      <c r="G568" s="287" t="s">
        <v>570</v>
      </c>
      <c r="H568" s="261">
        <f t="shared" si="7"/>
        <v>619606</v>
      </c>
      <c r="I568" s="152">
        <v>0</v>
      </c>
      <c r="J568" s="152">
        <v>0</v>
      </c>
      <c r="K568" s="152">
        <f t="shared" si="5"/>
        <v>0</v>
      </c>
      <c r="L568" s="261">
        <f t="shared" si="6"/>
        <v>619606</v>
      </c>
    </row>
    <row r="569" spans="1:12" x14ac:dyDescent="0.25">
      <c r="A569" s="140" t="s">
        <v>222</v>
      </c>
      <c r="B569" s="142" t="s">
        <v>223</v>
      </c>
      <c r="C569" s="139">
        <v>350</v>
      </c>
      <c r="D569" s="139" t="s">
        <v>116</v>
      </c>
      <c r="E569" s="261">
        <v>51370</v>
      </c>
      <c r="F569" s="261">
        <v>39338</v>
      </c>
      <c r="G569" s="287" t="s">
        <v>570</v>
      </c>
      <c r="H569" s="261">
        <f t="shared" si="7"/>
        <v>12032</v>
      </c>
      <c r="I569" s="152">
        <v>0</v>
      </c>
      <c r="J569" s="152">
        <v>0</v>
      </c>
      <c r="K569" s="152">
        <f t="shared" si="5"/>
        <v>0</v>
      </c>
      <c r="L569" s="261">
        <f t="shared" si="6"/>
        <v>12032</v>
      </c>
    </row>
    <row r="570" spans="1:12" x14ac:dyDescent="0.25">
      <c r="A570" s="140" t="s">
        <v>241</v>
      </c>
      <c r="B570" s="142" t="s">
        <v>242</v>
      </c>
      <c r="C570" s="139">
        <v>173</v>
      </c>
      <c r="D570" s="139" t="s">
        <v>116</v>
      </c>
      <c r="E570" s="261">
        <v>1914565</v>
      </c>
      <c r="F570" s="261">
        <v>1846192</v>
      </c>
      <c r="G570" s="287" t="s">
        <v>570</v>
      </c>
      <c r="H570" s="261">
        <f t="shared" si="7"/>
        <v>68373</v>
      </c>
      <c r="I570" s="261">
        <v>2</v>
      </c>
      <c r="J570" s="152">
        <v>0</v>
      </c>
      <c r="K570" s="261">
        <f t="shared" si="5"/>
        <v>2</v>
      </c>
      <c r="L570" s="261">
        <f t="shared" si="6"/>
        <v>68371</v>
      </c>
    </row>
    <row r="571" spans="1:12" x14ac:dyDescent="0.25">
      <c r="A571" s="140" t="s">
        <v>275</v>
      </c>
      <c r="B571" s="142" t="s">
        <v>276</v>
      </c>
      <c r="C571" s="139">
        <v>335</v>
      </c>
      <c r="D571" s="139" t="s">
        <v>116</v>
      </c>
      <c r="E571" s="261">
        <v>52155</v>
      </c>
      <c r="F571" s="261">
        <v>50686</v>
      </c>
      <c r="G571" s="287" t="s">
        <v>570</v>
      </c>
      <c r="H571" s="261">
        <f t="shared" si="7"/>
        <v>1469</v>
      </c>
      <c r="I571" s="152">
        <v>0</v>
      </c>
      <c r="J571" s="152">
        <v>0</v>
      </c>
      <c r="K571" s="152">
        <f t="shared" si="5"/>
        <v>0</v>
      </c>
      <c r="L571" s="261">
        <f t="shared" si="6"/>
        <v>1469</v>
      </c>
    </row>
    <row r="572" spans="1:12" ht="60.75" x14ac:dyDescent="0.25">
      <c r="A572" s="140" t="s">
        <v>280</v>
      </c>
      <c r="B572" s="142" t="s">
        <v>281</v>
      </c>
      <c r="C572" s="139">
        <v>329</v>
      </c>
      <c r="D572" s="139" t="s">
        <v>116</v>
      </c>
      <c r="E572" s="261">
        <v>1130326</v>
      </c>
      <c r="F572" s="261">
        <v>964197</v>
      </c>
      <c r="G572" s="287" t="s">
        <v>570</v>
      </c>
      <c r="H572" s="261">
        <f t="shared" si="7"/>
        <v>166129</v>
      </c>
      <c r="I572" s="152">
        <v>0</v>
      </c>
      <c r="J572" s="152">
        <v>0</v>
      </c>
      <c r="K572" s="152">
        <f t="shared" si="5"/>
        <v>0</v>
      </c>
      <c r="L572" s="261">
        <f t="shared" si="6"/>
        <v>166129</v>
      </c>
    </row>
    <row r="573" spans="1:12" ht="45.75" x14ac:dyDescent="0.25">
      <c r="A573" s="140" t="s">
        <v>248</v>
      </c>
      <c r="B573" s="142" t="s">
        <v>249</v>
      </c>
      <c r="C573" s="139">
        <v>261</v>
      </c>
      <c r="D573" s="139" t="s">
        <v>116</v>
      </c>
      <c r="E573" s="261">
        <v>840768</v>
      </c>
      <c r="F573" s="261">
        <v>814684</v>
      </c>
      <c r="G573" s="287" t="s">
        <v>570</v>
      </c>
      <c r="H573" s="261">
        <f t="shared" si="7"/>
        <v>26084</v>
      </c>
      <c r="I573" s="261">
        <v>2</v>
      </c>
      <c r="J573" s="152">
        <v>0</v>
      </c>
      <c r="K573" s="261">
        <f t="shared" si="5"/>
        <v>2</v>
      </c>
      <c r="L573" s="261">
        <f t="shared" si="6"/>
        <v>26082</v>
      </c>
    </row>
    <row r="574" spans="1:12" x14ac:dyDescent="0.25">
      <c r="A574" s="140" t="s">
        <v>243</v>
      </c>
      <c r="B574" s="142" t="s">
        <v>229</v>
      </c>
      <c r="C574" s="139">
        <v>244</v>
      </c>
      <c r="D574" s="139" t="s">
        <v>116</v>
      </c>
      <c r="E574" s="261">
        <v>2791621</v>
      </c>
      <c r="F574" s="261">
        <v>2744445</v>
      </c>
      <c r="G574" s="287" t="s">
        <v>570</v>
      </c>
      <c r="H574" s="261">
        <f t="shared" si="7"/>
        <v>47176</v>
      </c>
      <c r="I574" s="152">
        <v>0</v>
      </c>
      <c r="J574" s="152">
        <v>0</v>
      </c>
      <c r="K574" s="152">
        <f t="shared" si="5"/>
        <v>0</v>
      </c>
      <c r="L574" s="261">
        <f t="shared" si="6"/>
        <v>47176</v>
      </c>
    </row>
    <row r="575" spans="1:12" ht="30.75" x14ac:dyDescent="0.25">
      <c r="A575" s="140" t="s">
        <v>293</v>
      </c>
      <c r="B575" s="142" t="s">
        <v>294</v>
      </c>
      <c r="C575" s="139">
        <v>182</v>
      </c>
      <c r="D575" s="139" t="s">
        <v>116</v>
      </c>
      <c r="E575" s="261">
        <v>90993</v>
      </c>
      <c r="F575" s="261">
        <v>85092</v>
      </c>
      <c r="G575" s="287" t="s">
        <v>570</v>
      </c>
      <c r="H575" s="261">
        <f t="shared" ref="H575:H606" si="8">E575-F575</f>
        <v>5901</v>
      </c>
      <c r="I575" s="152">
        <v>0</v>
      </c>
      <c r="J575" s="152">
        <v>0</v>
      </c>
      <c r="K575" s="152">
        <f t="shared" ref="K575:K636" si="9">I575-J575</f>
        <v>0</v>
      </c>
      <c r="L575" s="261">
        <f t="shared" ref="L575:L636" si="10">H575-K575</f>
        <v>5901</v>
      </c>
    </row>
    <row r="576" spans="1:12" x14ac:dyDescent="0.25">
      <c r="A576" s="140" t="s">
        <v>259</v>
      </c>
      <c r="B576" s="142" t="s">
        <v>210</v>
      </c>
      <c r="C576" s="139">
        <v>280</v>
      </c>
      <c r="D576" s="139" t="s">
        <v>116</v>
      </c>
      <c r="E576" s="261">
        <v>23080</v>
      </c>
      <c r="F576" s="261">
        <v>9194</v>
      </c>
      <c r="G576" s="287" t="s">
        <v>570</v>
      </c>
      <c r="H576" s="261">
        <f t="shared" si="8"/>
        <v>13886</v>
      </c>
      <c r="I576" s="152">
        <v>0</v>
      </c>
      <c r="J576" s="152">
        <v>0</v>
      </c>
      <c r="K576" s="152">
        <f t="shared" si="9"/>
        <v>0</v>
      </c>
      <c r="L576" s="261">
        <f t="shared" si="10"/>
        <v>13886</v>
      </c>
    </row>
    <row r="577" spans="1:12" ht="30.75" x14ac:dyDescent="0.25">
      <c r="A577" s="140" t="s">
        <v>282</v>
      </c>
      <c r="B577" s="142" t="s">
        <v>196</v>
      </c>
      <c r="C577" s="139">
        <v>176</v>
      </c>
      <c r="D577" s="139" t="s">
        <v>116</v>
      </c>
      <c r="E577" s="261">
        <v>7082086</v>
      </c>
      <c r="F577" s="261">
        <v>6048055</v>
      </c>
      <c r="G577" s="287" t="s">
        <v>570</v>
      </c>
      <c r="H577" s="261">
        <f t="shared" si="8"/>
        <v>1034031</v>
      </c>
      <c r="I577" s="261">
        <v>22</v>
      </c>
      <c r="J577" s="261">
        <v>21</v>
      </c>
      <c r="K577" s="261">
        <f t="shared" si="9"/>
        <v>1</v>
      </c>
      <c r="L577" s="261">
        <f t="shared" si="10"/>
        <v>1034030</v>
      </c>
    </row>
    <row r="578" spans="1:12" x14ac:dyDescent="0.25">
      <c r="A578" s="140" t="s">
        <v>289</v>
      </c>
      <c r="B578" s="142" t="s">
        <v>290</v>
      </c>
      <c r="C578" s="139">
        <v>57</v>
      </c>
      <c r="D578" s="139" t="s">
        <v>116</v>
      </c>
      <c r="E578" s="261">
        <v>1377233</v>
      </c>
      <c r="F578" s="261">
        <v>1090334</v>
      </c>
      <c r="G578" s="287" t="s">
        <v>570</v>
      </c>
      <c r="H578" s="261">
        <f t="shared" si="8"/>
        <v>286899</v>
      </c>
      <c r="I578" s="152">
        <v>0</v>
      </c>
      <c r="J578" s="152">
        <v>0</v>
      </c>
      <c r="K578" s="152">
        <f t="shared" si="9"/>
        <v>0</v>
      </c>
      <c r="L578" s="261">
        <f t="shared" si="10"/>
        <v>286899</v>
      </c>
    </row>
    <row r="579" spans="1:12" x14ac:dyDescent="0.25">
      <c r="A579" s="140" t="s">
        <v>226</v>
      </c>
      <c r="B579" s="142" t="s">
        <v>227</v>
      </c>
      <c r="C579" s="139">
        <v>171</v>
      </c>
      <c r="D579" s="139" t="s">
        <v>116</v>
      </c>
      <c r="E579" s="261">
        <v>2194019</v>
      </c>
      <c r="F579" s="261">
        <v>1998085</v>
      </c>
      <c r="G579" s="287" t="s">
        <v>570</v>
      </c>
      <c r="H579" s="261">
        <f t="shared" si="8"/>
        <v>195934</v>
      </c>
      <c r="I579" s="152">
        <v>0</v>
      </c>
      <c r="J579" s="152">
        <v>0</v>
      </c>
      <c r="K579" s="152">
        <f t="shared" si="9"/>
        <v>0</v>
      </c>
      <c r="L579" s="261">
        <f t="shared" si="10"/>
        <v>195934</v>
      </c>
    </row>
    <row r="580" spans="1:12" ht="45.75" x14ac:dyDescent="0.25">
      <c r="A580" s="140" t="s">
        <v>228</v>
      </c>
      <c r="B580" s="142" t="s">
        <v>229</v>
      </c>
      <c r="C580" s="139">
        <v>258</v>
      </c>
      <c r="D580" s="139" t="s">
        <v>116</v>
      </c>
      <c r="E580" s="261">
        <v>3252118</v>
      </c>
      <c r="F580" s="261">
        <v>2699148</v>
      </c>
      <c r="G580" s="287" t="s">
        <v>570</v>
      </c>
      <c r="H580" s="261">
        <f t="shared" si="8"/>
        <v>552970</v>
      </c>
      <c r="I580" s="261">
        <v>1</v>
      </c>
      <c r="J580" s="152">
        <v>0</v>
      </c>
      <c r="K580" s="261">
        <f t="shared" si="9"/>
        <v>1</v>
      </c>
      <c r="L580" s="261">
        <f t="shared" si="10"/>
        <v>552969</v>
      </c>
    </row>
    <row r="581" spans="1:12" x14ac:dyDescent="0.25">
      <c r="A581" s="140" t="s">
        <v>260</v>
      </c>
      <c r="B581" s="142" t="s">
        <v>261</v>
      </c>
      <c r="C581" s="139">
        <v>228</v>
      </c>
      <c r="D581" s="139" t="s">
        <v>116</v>
      </c>
      <c r="E581" s="261">
        <v>47447</v>
      </c>
      <c r="F581" s="261">
        <v>12735</v>
      </c>
      <c r="G581" s="287" t="s">
        <v>570</v>
      </c>
      <c r="H581" s="261">
        <f t="shared" si="8"/>
        <v>34712</v>
      </c>
      <c r="I581" s="152">
        <v>0</v>
      </c>
      <c r="J581" s="152">
        <v>0</v>
      </c>
      <c r="K581" s="152">
        <f t="shared" si="9"/>
        <v>0</v>
      </c>
      <c r="L581" s="261">
        <f t="shared" si="10"/>
        <v>34712</v>
      </c>
    </row>
    <row r="582" spans="1:12" x14ac:dyDescent="0.25">
      <c r="A582" s="140" t="s">
        <v>291</v>
      </c>
      <c r="B582" s="142" t="s">
        <v>292</v>
      </c>
      <c r="C582" s="139">
        <v>58</v>
      </c>
      <c r="D582" s="139" t="s">
        <v>116</v>
      </c>
      <c r="E582" s="261">
        <v>3358948</v>
      </c>
      <c r="F582" s="261">
        <v>3271536</v>
      </c>
      <c r="G582" s="287" t="s">
        <v>570</v>
      </c>
      <c r="H582" s="261">
        <f t="shared" si="8"/>
        <v>87412</v>
      </c>
      <c r="I582" s="261">
        <v>2</v>
      </c>
      <c r="J582" s="152">
        <v>0</v>
      </c>
      <c r="K582" s="261">
        <f t="shared" si="9"/>
        <v>2</v>
      </c>
      <c r="L582" s="261">
        <f t="shared" si="10"/>
        <v>87410</v>
      </c>
    </row>
    <row r="583" spans="1:12" x14ac:dyDescent="0.25">
      <c r="A583" s="140" t="s">
        <v>262</v>
      </c>
      <c r="B583" s="142" t="s">
        <v>263</v>
      </c>
      <c r="C583" s="139">
        <v>308</v>
      </c>
      <c r="D583" s="139" t="s">
        <v>116</v>
      </c>
      <c r="E583" s="261">
        <v>124119</v>
      </c>
      <c r="F583" s="261">
        <v>55815</v>
      </c>
      <c r="G583" s="287" t="s">
        <v>570</v>
      </c>
      <c r="H583" s="261">
        <f t="shared" si="8"/>
        <v>68304</v>
      </c>
      <c r="I583" s="152">
        <v>0</v>
      </c>
      <c r="J583" s="152">
        <v>0</v>
      </c>
      <c r="K583" s="152">
        <f t="shared" si="9"/>
        <v>0</v>
      </c>
      <c r="L583" s="261">
        <f t="shared" si="10"/>
        <v>68304</v>
      </c>
    </row>
    <row r="584" spans="1:12" x14ac:dyDescent="0.25">
      <c r="A584" s="140" t="s">
        <v>230</v>
      </c>
      <c r="B584" s="142" t="s">
        <v>210</v>
      </c>
      <c r="C584" s="139">
        <v>260</v>
      </c>
      <c r="D584" s="139" t="s">
        <v>116</v>
      </c>
      <c r="E584" s="261">
        <v>19376634</v>
      </c>
      <c r="F584" s="261">
        <v>17627080</v>
      </c>
      <c r="G584" s="287" t="s">
        <v>570</v>
      </c>
      <c r="H584" s="261">
        <f t="shared" si="8"/>
        <v>1749554</v>
      </c>
      <c r="I584" s="261">
        <v>1086531</v>
      </c>
      <c r="J584" s="261">
        <v>1086531</v>
      </c>
      <c r="K584" s="152">
        <f t="shared" si="9"/>
        <v>0</v>
      </c>
      <c r="L584" s="261">
        <f t="shared" si="10"/>
        <v>1749554</v>
      </c>
    </row>
    <row r="585" spans="1:12" ht="30.75" x14ac:dyDescent="0.25">
      <c r="A585" s="140" t="s">
        <v>244</v>
      </c>
      <c r="B585" s="142" t="s">
        <v>245</v>
      </c>
      <c r="C585" s="139">
        <v>346</v>
      </c>
      <c r="D585" s="139" t="s">
        <v>116</v>
      </c>
      <c r="E585" s="261">
        <v>9782</v>
      </c>
      <c r="F585" s="261">
        <v>8596</v>
      </c>
      <c r="G585" s="287" t="s">
        <v>570</v>
      </c>
      <c r="H585" s="261">
        <f t="shared" si="8"/>
        <v>1186</v>
      </c>
      <c r="I585" s="152">
        <v>0</v>
      </c>
      <c r="J585" s="152">
        <v>0</v>
      </c>
      <c r="K585" s="152">
        <f t="shared" si="9"/>
        <v>0</v>
      </c>
      <c r="L585" s="261">
        <f t="shared" si="10"/>
        <v>1186</v>
      </c>
    </row>
    <row r="586" spans="1:12" ht="30.75" x14ac:dyDescent="0.25">
      <c r="A586" s="140" t="s">
        <v>233</v>
      </c>
      <c r="B586" s="142" t="s">
        <v>234</v>
      </c>
      <c r="C586" s="139">
        <v>351</v>
      </c>
      <c r="D586" s="139" t="s">
        <v>116</v>
      </c>
      <c r="E586" s="261">
        <v>91173</v>
      </c>
      <c r="F586" s="261">
        <v>85157</v>
      </c>
      <c r="G586" s="287" t="s">
        <v>570</v>
      </c>
      <c r="H586" s="261">
        <f t="shared" si="8"/>
        <v>6016</v>
      </c>
      <c r="I586" s="152">
        <v>0</v>
      </c>
      <c r="J586" s="152">
        <v>0</v>
      </c>
      <c r="K586" s="152">
        <f t="shared" si="9"/>
        <v>0</v>
      </c>
      <c r="L586" s="261">
        <f t="shared" si="10"/>
        <v>6016</v>
      </c>
    </row>
    <row r="587" spans="1:12" x14ac:dyDescent="0.25">
      <c r="A587" s="140" t="s">
        <v>250</v>
      </c>
      <c r="B587" s="142" t="s">
        <v>251</v>
      </c>
      <c r="C587" s="139">
        <v>305</v>
      </c>
      <c r="D587" s="139" t="s">
        <v>121</v>
      </c>
      <c r="E587" s="261">
        <v>110375</v>
      </c>
      <c r="F587" s="261">
        <v>106797</v>
      </c>
      <c r="G587" s="287" t="s">
        <v>570</v>
      </c>
      <c r="H587" s="261">
        <f t="shared" si="8"/>
        <v>3578</v>
      </c>
      <c r="I587" s="152">
        <v>0</v>
      </c>
      <c r="J587" s="152">
        <v>0</v>
      </c>
      <c r="K587" s="152">
        <f t="shared" si="9"/>
        <v>0</v>
      </c>
      <c r="L587" s="261">
        <f t="shared" si="10"/>
        <v>3578</v>
      </c>
    </row>
    <row r="588" spans="1:12" x14ac:dyDescent="0.25">
      <c r="A588" s="140" t="s">
        <v>283</v>
      </c>
      <c r="B588" s="142" t="s">
        <v>284</v>
      </c>
      <c r="C588" s="139">
        <v>269</v>
      </c>
      <c r="D588" s="139" t="s">
        <v>121</v>
      </c>
      <c r="E588" s="261">
        <v>6011</v>
      </c>
      <c r="F588" s="261">
        <v>4843</v>
      </c>
      <c r="G588" s="287" t="s">
        <v>570</v>
      </c>
      <c r="H588" s="261">
        <f t="shared" si="8"/>
        <v>1168</v>
      </c>
      <c r="I588" s="152">
        <v>0</v>
      </c>
      <c r="J588" s="152">
        <v>0</v>
      </c>
      <c r="K588" s="152">
        <f t="shared" si="9"/>
        <v>0</v>
      </c>
      <c r="L588" s="261">
        <f t="shared" si="10"/>
        <v>1168</v>
      </c>
    </row>
    <row r="589" spans="1:12" ht="30.75" x14ac:dyDescent="0.25">
      <c r="A589" s="140" t="s">
        <v>185</v>
      </c>
      <c r="B589" s="142" t="s">
        <v>186</v>
      </c>
      <c r="C589" s="139">
        <v>250</v>
      </c>
      <c r="D589" s="139" t="s">
        <v>121</v>
      </c>
      <c r="E589" s="261">
        <v>1560401</v>
      </c>
      <c r="F589" s="261">
        <v>1454516</v>
      </c>
      <c r="G589" s="287" t="s">
        <v>570</v>
      </c>
      <c r="H589" s="261">
        <f t="shared" si="8"/>
        <v>105885</v>
      </c>
      <c r="I589" s="261">
        <v>54327</v>
      </c>
      <c r="J589" s="261">
        <v>52385</v>
      </c>
      <c r="K589" s="261">
        <f t="shared" si="9"/>
        <v>1942</v>
      </c>
      <c r="L589" s="261">
        <f t="shared" si="10"/>
        <v>103943</v>
      </c>
    </row>
    <row r="590" spans="1:12" ht="30.75" x14ac:dyDescent="0.25">
      <c r="A590" s="140" t="s">
        <v>277</v>
      </c>
      <c r="B590" s="142" t="s">
        <v>272</v>
      </c>
      <c r="C590" s="139">
        <v>348</v>
      </c>
      <c r="D590" s="139" t="s">
        <v>121</v>
      </c>
      <c r="E590" s="261">
        <v>50727286</v>
      </c>
      <c r="F590" s="261">
        <v>43697065</v>
      </c>
      <c r="G590" s="287" t="s">
        <v>570</v>
      </c>
      <c r="H590" s="261">
        <f t="shared" si="8"/>
        <v>7030221</v>
      </c>
      <c r="I590" s="152">
        <v>0</v>
      </c>
      <c r="J590" s="152">
        <v>0</v>
      </c>
      <c r="K590" s="152">
        <f t="shared" si="9"/>
        <v>0</v>
      </c>
      <c r="L590" s="261">
        <f t="shared" si="10"/>
        <v>7030221</v>
      </c>
    </row>
    <row r="591" spans="1:12" ht="30.75" x14ac:dyDescent="0.25">
      <c r="A591" s="140" t="s">
        <v>265</v>
      </c>
      <c r="B591" s="142" t="s">
        <v>266</v>
      </c>
      <c r="C591" s="139">
        <v>286</v>
      </c>
      <c r="D591" s="139" t="s">
        <v>121</v>
      </c>
      <c r="E591" s="261">
        <v>87725</v>
      </c>
      <c r="F591" s="261">
        <v>61922</v>
      </c>
      <c r="G591" s="287" t="s">
        <v>570</v>
      </c>
      <c r="H591" s="261">
        <f t="shared" si="8"/>
        <v>25803</v>
      </c>
      <c r="I591" s="152">
        <v>0</v>
      </c>
      <c r="J591" s="152">
        <v>0</v>
      </c>
      <c r="K591" s="152">
        <f t="shared" si="9"/>
        <v>0</v>
      </c>
      <c r="L591" s="261">
        <f t="shared" si="10"/>
        <v>25803</v>
      </c>
    </row>
    <row r="592" spans="1:12" ht="30.75" x14ac:dyDescent="0.25">
      <c r="A592" s="140" t="s">
        <v>189</v>
      </c>
      <c r="B592" s="142" t="s">
        <v>190</v>
      </c>
      <c r="C592" s="139">
        <v>172</v>
      </c>
      <c r="D592" s="139" t="s">
        <v>121</v>
      </c>
      <c r="E592" s="261">
        <v>713312</v>
      </c>
      <c r="F592" s="261">
        <v>650007</v>
      </c>
      <c r="G592" s="287" t="s">
        <v>570</v>
      </c>
      <c r="H592" s="261">
        <f t="shared" si="8"/>
        <v>63305</v>
      </c>
      <c r="I592" s="261">
        <v>28693</v>
      </c>
      <c r="J592" s="261">
        <v>15027</v>
      </c>
      <c r="K592" s="261">
        <f t="shared" si="9"/>
        <v>13666</v>
      </c>
      <c r="L592" s="261">
        <f t="shared" si="10"/>
        <v>49639</v>
      </c>
    </row>
    <row r="593" spans="1:12" x14ac:dyDescent="0.25">
      <c r="A593" s="140" t="s">
        <v>302</v>
      </c>
      <c r="B593" s="142" t="s">
        <v>303</v>
      </c>
      <c r="C593" s="139">
        <v>249</v>
      </c>
      <c r="D593" s="139" t="s">
        <v>121</v>
      </c>
      <c r="E593" s="261">
        <v>2310086</v>
      </c>
      <c r="F593" s="261">
        <v>2072028</v>
      </c>
      <c r="G593" s="287" t="s">
        <v>570</v>
      </c>
      <c r="H593" s="261">
        <f t="shared" si="8"/>
        <v>238058</v>
      </c>
      <c r="I593" s="261">
        <v>20038</v>
      </c>
      <c r="J593" s="261">
        <v>20038</v>
      </c>
      <c r="K593" s="152">
        <f t="shared" si="9"/>
        <v>0</v>
      </c>
      <c r="L593" s="261">
        <f t="shared" si="10"/>
        <v>238058</v>
      </c>
    </row>
    <row r="594" spans="1:12" x14ac:dyDescent="0.25">
      <c r="A594" s="140" t="s">
        <v>304</v>
      </c>
      <c r="B594" s="142" t="s">
        <v>303</v>
      </c>
      <c r="C594" s="139">
        <v>277</v>
      </c>
      <c r="D594" s="139" t="s">
        <v>121</v>
      </c>
      <c r="E594" s="261">
        <v>84983</v>
      </c>
      <c r="F594" s="261">
        <v>83679</v>
      </c>
      <c r="G594" s="287" t="s">
        <v>570</v>
      </c>
      <c r="H594" s="261">
        <f t="shared" si="8"/>
        <v>1304</v>
      </c>
      <c r="I594" s="152">
        <v>0</v>
      </c>
      <c r="J594" s="152">
        <v>0</v>
      </c>
      <c r="K594" s="152">
        <f t="shared" si="9"/>
        <v>0</v>
      </c>
      <c r="L594" s="261">
        <f t="shared" si="10"/>
        <v>1304</v>
      </c>
    </row>
    <row r="595" spans="1:12" ht="30.75" x14ac:dyDescent="0.25">
      <c r="A595" s="140" t="s">
        <v>191</v>
      </c>
      <c r="B595" s="142" t="s">
        <v>192</v>
      </c>
      <c r="C595" s="139">
        <v>11</v>
      </c>
      <c r="D595" s="139" t="s">
        <v>121</v>
      </c>
      <c r="E595" s="261">
        <v>27712461</v>
      </c>
      <c r="F595" s="261">
        <v>25951794</v>
      </c>
      <c r="G595" s="287" t="s">
        <v>570</v>
      </c>
      <c r="H595" s="261">
        <f t="shared" si="8"/>
        <v>1760667</v>
      </c>
      <c r="I595" s="261">
        <v>147591</v>
      </c>
      <c r="J595" s="261">
        <v>118837</v>
      </c>
      <c r="K595" s="261">
        <f t="shared" si="9"/>
        <v>28754</v>
      </c>
      <c r="L595" s="261">
        <f t="shared" si="10"/>
        <v>1731913</v>
      </c>
    </row>
    <row r="596" spans="1:12" x14ac:dyDescent="0.25">
      <c r="A596" s="140" t="s">
        <v>295</v>
      </c>
      <c r="B596" s="142" t="s">
        <v>194</v>
      </c>
      <c r="C596" s="139">
        <v>223</v>
      </c>
      <c r="D596" s="139" t="s">
        <v>121</v>
      </c>
      <c r="E596" s="261">
        <v>3840616</v>
      </c>
      <c r="F596" s="261">
        <v>3651128</v>
      </c>
      <c r="G596" s="287" t="s">
        <v>570</v>
      </c>
      <c r="H596" s="261">
        <f t="shared" si="8"/>
        <v>189488</v>
      </c>
      <c r="I596" s="261">
        <v>93330</v>
      </c>
      <c r="J596" s="261">
        <v>46371</v>
      </c>
      <c r="K596" s="261">
        <f t="shared" si="9"/>
        <v>46959</v>
      </c>
      <c r="L596" s="261">
        <f t="shared" si="10"/>
        <v>142529</v>
      </c>
    </row>
    <row r="597" spans="1:12" ht="45.75" x14ac:dyDescent="0.25">
      <c r="A597" s="140" t="s">
        <v>197</v>
      </c>
      <c r="B597" s="142" t="s">
        <v>198</v>
      </c>
      <c r="C597" s="139">
        <v>272</v>
      </c>
      <c r="D597" s="139" t="s">
        <v>121</v>
      </c>
      <c r="E597" s="261">
        <v>9087987</v>
      </c>
      <c r="F597" s="261">
        <v>8656133</v>
      </c>
      <c r="G597" s="287" t="s">
        <v>570</v>
      </c>
      <c r="H597" s="261">
        <f t="shared" si="8"/>
        <v>431854</v>
      </c>
      <c r="I597" s="261">
        <v>55256</v>
      </c>
      <c r="J597" s="261">
        <v>49366</v>
      </c>
      <c r="K597" s="261">
        <f t="shared" si="9"/>
        <v>5890</v>
      </c>
      <c r="L597" s="261">
        <f t="shared" si="10"/>
        <v>425964</v>
      </c>
    </row>
    <row r="598" spans="1:12" ht="60.75" x14ac:dyDescent="0.25">
      <c r="A598" s="140" t="s">
        <v>298</v>
      </c>
      <c r="B598" s="142" t="s">
        <v>299</v>
      </c>
      <c r="C598" s="139">
        <v>291</v>
      </c>
      <c r="D598" s="139" t="s">
        <v>121</v>
      </c>
      <c r="E598" s="261">
        <v>215949</v>
      </c>
      <c r="F598" s="261">
        <v>138573</v>
      </c>
      <c r="G598" s="287" t="s">
        <v>570</v>
      </c>
      <c r="H598" s="261">
        <f t="shared" si="8"/>
        <v>77376</v>
      </c>
      <c r="I598" s="152">
        <v>0</v>
      </c>
      <c r="J598" s="152">
        <v>0</v>
      </c>
      <c r="K598" s="152">
        <f t="shared" si="9"/>
        <v>0</v>
      </c>
      <c r="L598" s="261">
        <f t="shared" si="10"/>
        <v>77376</v>
      </c>
    </row>
    <row r="599" spans="1:12" ht="30.75" x14ac:dyDescent="0.25">
      <c r="A599" s="140" t="s">
        <v>203</v>
      </c>
      <c r="B599" s="142" t="s">
        <v>204</v>
      </c>
      <c r="C599" s="139">
        <v>209</v>
      </c>
      <c r="D599" s="139" t="s">
        <v>121</v>
      </c>
      <c r="E599" s="261">
        <v>271074</v>
      </c>
      <c r="F599" s="261">
        <v>209349</v>
      </c>
      <c r="G599" s="287" t="s">
        <v>570</v>
      </c>
      <c r="H599" s="261">
        <f t="shared" si="8"/>
        <v>61725</v>
      </c>
      <c r="I599" s="261">
        <v>15158</v>
      </c>
      <c r="J599" s="261">
        <v>15158</v>
      </c>
      <c r="K599" s="152">
        <f t="shared" si="9"/>
        <v>0</v>
      </c>
      <c r="L599" s="261">
        <f t="shared" si="10"/>
        <v>61725</v>
      </c>
    </row>
    <row r="600" spans="1:12" x14ac:dyDescent="0.25">
      <c r="A600" s="140" t="s">
        <v>205</v>
      </c>
      <c r="B600" s="142" t="s">
        <v>206</v>
      </c>
      <c r="C600" s="139">
        <v>183</v>
      </c>
      <c r="D600" s="139" t="s">
        <v>121</v>
      </c>
      <c r="E600" s="261">
        <v>814197</v>
      </c>
      <c r="F600" s="261">
        <v>747791</v>
      </c>
      <c r="G600" s="287" t="s">
        <v>570</v>
      </c>
      <c r="H600" s="261">
        <f t="shared" si="8"/>
        <v>66406</v>
      </c>
      <c r="I600" s="261">
        <v>40116</v>
      </c>
      <c r="J600" s="261">
        <v>39635</v>
      </c>
      <c r="K600" s="261">
        <f t="shared" si="9"/>
        <v>481</v>
      </c>
      <c r="L600" s="261">
        <f t="shared" si="10"/>
        <v>65925</v>
      </c>
    </row>
    <row r="601" spans="1:12" x14ac:dyDescent="0.25">
      <c r="A601" s="140" t="s">
        <v>237</v>
      </c>
      <c r="B601" s="142" t="s">
        <v>238</v>
      </c>
      <c r="C601" s="139">
        <v>251</v>
      </c>
      <c r="D601" s="139" t="s">
        <v>121</v>
      </c>
      <c r="E601" s="261">
        <v>550864</v>
      </c>
      <c r="F601" s="261">
        <v>508168</v>
      </c>
      <c r="G601" s="287" t="s">
        <v>570</v>
      </c>
      <c r="H601" s="261">
        <f t="shared" si="8"/>
        <v>42696</v>
      </c>
      <c r="I601" s="261">
        <v>6681</v>
      </c>
      <c r="J601" s="261">
        <v>4892</v>
      </c>
      <c r="K601" s="261">
        <f t="shared" si="9"/>
        <v>1789</v>
      </c>
      <c r="L601" s="261">
        <f t="shared" si="10"/>
        <v>40907</v>
      </c>
    </row>
    <row r="602" spans="1:12" x14ac:dyDescent="0.25">
      <c r="A602" s="140" t="s">
        <v>305</v>
      </c>
      <c r="B602" s="142" t="s">
        <v>306</v>
      </c>
      <c r="C602" s="139">
        <v>253</v>
      </c>
      <c r="D602" s="139" t="s">
        <v>121</v>
      </c>
      <c r="E602" s="261">
        <v>2919</v>
      </c>
      <c r="F602" s="261">
        <v>2919</v>
      </c>
      <c r="G602" s="287" t="s">
        <v>570</v>
      </c>
      <c r="H602" s="152">
        <f t="shared" si="8"/>
        <v>0</v>
      </c>
      <c r="I602" s="261">
        <v>1262</v>
      </c>
      <c r="J602" s="152">
        <v>0</v>
      </c>
      <c r="K602" s="261">
        <f t="shared" si="9"/>
        <v>1262</v>
      </c>
      <c r="L602" s="261">
        <f t="shared" si="10"/>
        <v>-1262</v>
      </c>
    </row>
    <row r="603" spans="1:12" ht="30.75" x14ac:dyDescent="0.25">
      <c r="A603" s="140" t="s">
        <v>254</v>
      </c>
      <c r="B603" s="142" t="s">
        <v>196</v>
      </c>
      <c r="C603" s="139">
        <v>91</v>
      </c>
      <c r="D603" s="139" t="s">
        <v>121</v>
      </c>
      <c r="E603" s="261">
        <v>14079</v>
      </c>
      <c r="F603" s="261">
        <v>12534</v>
      </c>
      <c r="G603" s="287" t="s">
        <v>570</v>
      </c>
      <c r="H603" s="261">
        <f t="shared" si="8"/>
        <v>1545</v>
      </c>
      <c r="I603" s="152">
        <v>0</v>
      </c>
      <c r="J603" s="152">
        <v>0</v>
      </c>
      <c r="K603" s="152">
        <f t="shared" si="9"/>
        <v>0</v>
      </c>
      <c r="L603" s="261">
        <f t="shared" si="10"/>
        <v>1545</v>
      </c>
    </row>
    <row r="604" spans="1:12" x14ac:dyDescent="0.25">
      <c r="A604" s="140" t="s">
        <v>207</v>
      </c>
      <c r="B604" s="142" t="s">
        <v>208</v>
      </c>
      <c r="C604" s="139">
        <v>192</v>
      </c>
      <c r="D604" s="139" t="s">
        <v>121</v>
      </c>
      <c r="E604" s="261">
        <v>386700</v>
      </c>
      <c r="F604" s="261">
        <v>337072</v>
      </c>
      <c r="G604" s="287" t="s">
        <v>570</v>
      </c>
      <c r="H604" s="261">
        <f t="shared" si="8"/>
        <v>49628</v>
      </c>
      <c r="I604" s="261">
        <v>16641</v>
      </c>
      <c r="J604" s="261">
        <v>15516</v>
      </c>
      <c r="K604" s="261">
        <f t="shared" si="9"/>
        <v>1125</v>
      </c>
      <c r="L604" s="261">
        <f t="shared" si="10"/>
        <v>48503</v>
      </c>
    </row>
    <row r="605" spans="1:12" x14ac:dyDescent="0.25">
      <c r="A605" s="140" t="s">
        <v>300</v>
      </c>
      <c r="B605" s="142" t="s">
        <v>210</v>
      </c>
      <c r="C605" s="139">
        <v>26</v>
      </c>
      <c r="D605" s="139" t="s">
        <v>121</v>
      </c>
      <c r="E605" s="261">
        <v>65296715</v>
      </c>
      <c r="F605" s="261">
        <v>59462481</v>
      </c>
      <c r="G605" s="287" t="s">
        <v>570</v>
      </c>
      <c r="H605" s="261">
        <f t="shared" si="8"/>
        <v>5834234</v>
      </c>
      <c r="I605" s="261">
        <v>484254</v>
      </c>
      <c r="J605" s="261">
        <v>19323</v>
      </c>
      <c r="K605" s="261">
        <f t="shared" si="9"/>
        <v>464931</v>
      </c>
      <c r="L605" s="261">
        <f t="shared" si="10"/>
        <v>5369303</v>
      </c>
    </row>
    <row r="606" spans="1:12" ht="30.75" x14ac:dyDescent="0.25">
      <c r="A606" s="140" t="s">
        <v>209</v>
      </c>
      <c r="B606" s="142" t="s">
        <v>210</v>
      </c>
      <c r="C606" s="139">
        <v>297</v>
      </c>
      <c r="D606" s="139" t="s">
        <v>121</v>
      </c>
      <c r="E606" s="261">
        <v>173189364</v>
      </c>
      <c r="F606" s="261">
        <v>139389904</v>
      </c>
      <c r="G606" s="287" t="s">
        <v>570</v>
      </c>
      <c r="H606" s="261">
        <f t="shared" si="8"/>
        <v>33799460</v>
      </c>
      <c r="I606" s="152">
        <v>0</v>
      </c>
      <c r="J606" s="152">
        <v>0</v>
      </c>
      <c r="K606" s="152">
        <f t="shared" si="9"/>
        <v>0</v>
      </c>
      <c r="L606" s="261">
        <f t="shared" si="10"/>
        <v>33799460</v>
      </c>
    </row>
    <row r="607" spans="1:12" x14ac:dyDescent="0.25">
      <c r="A607" s="140" t="s">
        <v>211</v>
      </c>
      <c r="B607" s="142" t="s">
        <v>212</v>
      </c>
      <c r="C607" s="139">
        <v>166</v>
      </c>
      <c r="D607" s="139" t="s">
        <v>121</v>
      </c>
      <c r="E607" s="261">
        <v>8049732</v>
      </c>
      <c r="F607" s="261">
        <v>7094812</v>
      </c>
      <c r="G607" s="287" t="s">
        <v>570</v>
      </c>
      <c r="H607" s="261">
        <f t="shared" ref="H607:H636" si="11">E607-F607</f>
        <v>954920</v>
      </c>
      <c r="I607" s="261">
        <v>69622</v>
      </c>
      <c r="J607" s="261">
        <v>49468</v>
      </c>
      <c r="K607" s="261">
        <f t="shared" si="9"/>
        <v>20154</v>
      </c>
      <c r="L607" s="261">
        <f t="shared" si="10"/>
        <v>934766</v>
      </c>
    </row>
    <row r="608" spans="1:12" x14ac:dyDescent="0.25">
      <c r="A608" s="140" t="s">
        <v>255</v>
      </c>
      <c r="B608" s="142" t="s">
        <v>256</v>
      </c>
      <c r="C608" s="139">
        <v>268</v>
      </c>
      <c r="D608" s="139" t="s">
        <v>121</v>
      </c>
      <c r="E608" s="261">
        <v>6474647</v>
      </c>
      <c r="F608" s="261">
        <v>5139413</v>
      </c>
      <c r="G608" s="287" t="s">
        <v>570</v>
      </c>
      <c r="H608" s="261">
        <f t="shared" si="11"/>
        <v>1335234</v>
      </c>
      <c r="I608" s="152">
        <v>0</v>
      </c>
      <c r="J608" s="152">
        <v>0</v>
      </c>
      <c r="K608" s="152">
        <f t="shared" si="9"/>
        <v>0</v>
      </c>
      <c r="L608" s="261">
        <f t="shared" si="10"/>
        <v>1335234</v>
      </c>
    </row>
    <row r="609" spans="1:12" x14ac:dyDescent="0.25">
      <c r="A609" s="140" t="s">
        <v>213</v>
      </c>
      <c r="B609" s="142" t="s">
        <v>214</v>
      </c>
      <c r="C609" s="139">
        <v>32</v>
      </c>
      <c r="D609" s="139" t="s">
        <v>121</v>
      </c>
      <c r="E609" s="261">
        <v>4151507</v>
      </c>
      <c r="F609" s="261">
        <v>4077222</v>
      </c>
      <c r="G609" s="287" t="s">
        <v>570</v>
      </c>
      <c r="H609" s="261">
        <f t="shared" si="11"/>
        <v>74285</v>
      </c>
      <c r="I609" s="261">
        <v>1352</v>
      </c>
      <c r="J609" s="261">
        <v>912</v>
      </c>
      <c r="K609" s="261">
        <f t="shared" si="9"/>
        <v>440</v>
      </c>
      <c r="L609" s="261">
        <f t="shared" si="10"/>
        <v>73845</v>
      </c>
    </row>
    <row r="610" spans="1:12" x14ac:dyDescent="0.25">
      <c r="A610" s="140" t="s">
        <v>273</v>
      </c>
      <c r="B610" s="142" t="s">
        <v>216</v>
      </c>
      <c r="C610" s="139">
        <v>230</v>
      </c>
      <c r="D610" s="139" t="s">
        <v>121</v>
      </c>
      <c r="E610" s="261">
        <v>5373701</v>
      </c>
      <c r="F610" s="261">
        <v>5309206</v>
      </c>
      <c r="G610" s="287" t="s">
        <v>570</v>
      </c>
      <c r="H610" s="261">
        <f t="shared" si="11"/>
        <v>64495</v>
      </c>
      <c r="I610" s="261">
        <v>10680</v>
      </c>
      <c r="J610" s="261">
        <v>8110</v>
      </c>
      <c r="K610" s="261">
        <f t="shared" si="9"/>
        <v>2570</v>
      </c>
      <c r="L610" s="261">
        <f t="shared" si="10"/>
        <v>61925</v>
      </c>
    </row>
    <row r="611" spans="1:12" x14ac:dyDescent="0.25">
      <c r="A611" s="140" t="s">
        <v>257</v>
      </c>
      <c r="B611" s="142" t="s">
        <v>258</v>
      </c>
      <c r="C611" s="139">
        <v>148</v>
      </c>
      <c r="D611" s="139" t="s">
        <v>121</v>
      </c>
      <c r="E611" s="261">
        <v>17124</v>
      </c>
      <c r="F611" s="261">
        <v>6568</v>
      </c>
      <c r="G611" s="287" t="s">
        <v>570</v>
      </c>
      <c r="H611" s="261">
        <f t="shared" si="11"/>
        <v>10556</v>
      </c>
      <c r="I611" s="152">
        <v>0</v>
      </c>
      <c r="J611" s="152">
        <v>0</v>
      </c>
      <c r="K611" s="152">
        <f t="shared" si="9"/>
        <v>0</v>
      </c>
      <c r="L611" s="261">
        <f t="shared" si="10"/>
        <v>10556</v>
      </c>
    </row>
    <row r="612" spans="1:12" x14ac:dyDescent="0.25">
      <c r="A612" s="140" t="s">
        <v>219</v>
      </c>
      <c r="B612" s="142" t="s">
        <v>220</v>
      </c>
      <c r="C612" s="139">
        <v>153</v>
      </c>
      <c r="D612" s="139" t="s">
        <v>121</v>
      </c>
      <c r="E612" s="261">
        <v>4509810</v>
      </c>
      <c r="F612" s="261">
        <v>4361183</v>
      </c>
      <c r="G612" s="287" t="s">
        <v>570</v>
      </c>
      <c r="H612" s="261">
        <f t="shared" si="11"/>
        <v>148627</v>
      </c>
      <c r="I612" s="261">
        <v>65813</v>
      </c>
      <c r="J612" s="261">
        <v>59790</v>
      </c>
      <c r="K612" s="261">
        <f t="shared" si="9"/>
        <v>6023</v>
      </c>
      <c r="L612" s="261">
        <f t="shared" si="10"/>
        <v>142604</v>
      </c>
    </row>
    <row r="613" spans="1:12" x14ac:dyDescent="0.25">
      <c r="A613" s="140" t="s">
        <v>239</v>
      </c>
      <c r="B613" s="142" t="s">
        <v>240</v>
      </c>
      <c r="C613" s="139">
        <v>155</v>
      </c>
      <c r="D613" s="139" t="s">
        <v>121</v>
      </c>
      <c r="E613" s="261">
        <v>1176856</v>
      </c>
      <c r="F613" s="261">
        <v>651415</v>
      </c>
      <c r="G613" s="287" t="s">
        <v>570</v>
      </c>
      <c r="H613" s="261">
        <f t="shared" si="11"/>
        <v>525441</v>
      </c>
      <c r="I613" s="261">
        <v>28652</v>
      </c>
      <c r="J613" s="261">
        <v>27448</v>
      </c>
      <c r="K613" s="261">
        <f t="shared" si="9"/>
        <v>1204</v>
      </c>
      <c r="L613" s="261">
        <f t="shared" si="10"/>
        <v>524237</v>
      </c>
    </row>
    <row r="614" spans="1:12" ht="30.75" x14ac:dyDescent="0.25">
      <c r="A614" s="140" t="s">
        <v>307</v>
      </c>
      <c r="B614" s="142" t="s">
        <v>308</v>
      </c>
      <c r="C614" s="139">
        <v>157</v>
      </c>
      <c r="D614" s="139" t="s">
        <v>121</v>
      </c>
      <c r="E614" s="261">
        <v>1656765</v>
      </c>
      <c r="F614" s="261">
        <v>1480782</v>
      </c>
      <c r="G614" s="287" t="s">
        <v>570</v>
      </c>
      <c r="H614" s="261">
        <f t="shared" si="11"/>
        <v>175983</v>
      </c>
      <c r="I614" s="261">
        <v>32178</v>
      </c>
      <c r="J614" s="261">
        <v>30021</v>
      </c>
      <c r="K614" s="261">
        <f t="shared" si="9"/>
        <v>2157</v>
      </c>
      <c r="L614" s="261">
        <f t="shared" si="10"/>
        <v>173826</v>
      </c>
    </row>
    <row r="615" spans="1:12" x14ac:dyDescent="0.25">
      <c r="A615" s="140" t="s">
        <v>67</v>
      </c>
      <c r="B615" s="142" t="s">
        <v>68</v>
      </c>
      <c r="C615" s="139">
        <v>42</v>
      </c>
      <c r="D615" s="139" t="s">
        <v>121</v>
      </c>
      <c r="E615" s="261">
        <v>15540692</v>
      </c>
      <c r="F615" s="261">
        <v>14149028</v>
      </c>
      <c r="G615" s="287" t="s">
        <v>570</v>
      </c>
      <c r="H615" s="261">
        <f t="shared" si="11"/>
        <v>1391664</v>
      </c>
      <c r="I615" s="152">
        <v>0</v>
      </c>
      <c r="J615" s="152">
        <v>0</v>
      </c>
      <c r="K615" s="152">
        <f t="shared" si="9"/>
        <v>0</v>
      </c>
      <c r="L615" s="261">
        <f t="shared" si="10"/>
        <v>1391664</v>
      </c>
    </row>
    <row r="616" spans="1:12" x14ac:dyDescent="0.25">
      <c r="A616" s="140" t="s">
        <v>309</v>
      </c>
      <c r="B616" s="142" t="s">
        <v>200</v>
      </c>
      <c r="C616" s="139">
        <v>275</v>
      </c>
      <c r="D616" s="139" t="s">
        <v>121</v>
      </c>
      <c r="E616" s="261">
        <v>23761</v>
      </c>
      <c r="F616" s="261">
        <v>22690</v>
      </c>
      <c r="G616" s="287" t="s">
        <v>570</v>
      </c>
      <c r="H616" s="261">
        <f t="shared" si="11"/>
        <v>1071</v>
      </c>
      <c r="I616" s="152">
        <v>0</v>
      </c>
      <c r="J616" s="152">
        <v>0</v>
      </c>
      <c r="K616" s="152">
        <f t="shared" si="9"/>
        <v>0</v>
      </c>
      <c r="L616" s="261">
        <f t="shared" si="10"/>
        <v>1071</v>
      </c>
    </row>
    <row r="617" spans="1:12" ht="60.75" x14ac:dyDescent="0.25">
      <c r="A617" s="140" t="s">
        <v>296</v>
      </c>
      <c r="B617" s="142" t="s">
        <v>297</v>
      </c>
      <c r="C617" s="139">
        <v>265</v>
      </c>
      <c r="D617" s="139" t="s">
        <v>121</v>
      </c>
      <c r="E617" s="261">
        <v>3247854</v>
      </c>
      <c r="F617" s="261">
        <v>3128316</v>
      </c>
      <c r="G617" s="287" t="s">
        <v>570</v>
      </c>
      <c r="H617" s="261">
        <f t="shared" si="11"/>
        <v>119538</v>
      </c>
      <c r="I617" s="152">
        <v>0</v>
      </c>
      <c r="J617" s="152">
        <v>0</v>
      </c>
      <c r="K617" s="152">
        <f t="shared" si="9"/>
        <v>0</v>
      </c>
      <c r="L617" s="261">
        <f t="shared" si="10"/>
        <v>119538</v>
      </c>
    </row>
    <row r="618" spans="1:12" x14ac:dyDescent="0.25">
      <c r="A618" s="140" t="s">
        <v>221</v>
      </c>
      <c r="B618" s="142" t="s">
        <v>210</v>
      </c>
      <c r="C618" s="139">
        <v>48</v>
      </c>
      <c r="D618" s="139" t="s">
        <v>121</v>
      </c>
      <c r="E618" s="261">
        <v>14658917</v>
      </c>
      <c r="F618" s="261">
        <v>13490929</v>
      </c>
      <c r="G618" s="287" t="s">
        <v>570</v>
      </c>
      <c r="H618" s="261">
        <f t="shared" si="11"/>
        <v>1167988</v>
      </c>
      <c r="I618" s="261">
        <v>203988</v>
      </c>
      <c r="J618" s="261">
        <v>199903</v>
      </c>
      <c r="K618" s="261">
        <f t="shared" si="9"/>
        <v>4085</v>
      </c>
      <c r="L618" s="261">
        <f t="shared" si="10"/>
        <v>1163903</v>
      </c>
    </row>
    <row r="619" spans="1:12" ht="30.75" x14ac:dyDescent="0.25">
      <c r="A619" s="140" t="s">
        <v>301</v>
      </c>
      <c r="B619" s="142" t="s">
        <v>202</v>
      </c>
      <c r="C619" s="139">
        <v>150</v>
      </c>
      <c r="D619" s="139" t="s">
        <v>121</v>
      </c>
      <c r="E619" s="261">
        <v>6617290</v>
      </c>
      <c r="F619" s="261">
        <v>6100481</v>
      </c>
      <c r="G619" s="287" t="s">
        <v>570</v>
      </c>
      <c r="H619" s="261">
        <f t="shared" si="11"/>
        <v>516809</v>
      </c>
      <c r="I619" s="261">
        <v>60300</v>
      </c>
      <c r="J619" s="261">
        <v>54923</v>
      </c>
      <c r="K619" s="261">
        <f t="shared" si="9"/>
        <v>5377</v>
      </c>
      <c r="L619" s="261">
        <f t="shared" si="10"/>
        <v>511432</v>
      </c>
    </row>
    <row r="620" spans="1:12" ht="30.75" x14ac:dyDescent="0.25">
      <c r="A620" s="140" t="s">
        <v>56</v>
      </c>
      <c r="B620" s="142" t="s">
        <v>57</v>
      </c>
      <c r="C620" s="139">
        <v>218</v>
      </c>
      <c r="D620" s="139" t="s">
        <v>121</v>
      </c>
      <c r="E620" s="261">
        <v>3715071</v>
      </c>
      <c r="F620" s="261">
        <v>3238954</v>
      </c>
      <c r="G620" s="287" t="s">
        <v>570</v>
      </c>
      <c r="H620" s="261">
        <f t="shared" si="11"/>
        <v>476117</v>
      </c>
      <c r="I620" s="152">
        <v>0</v>
      </c>
      <c r="J620" s="152">
        <v>0</v>
      </c>
      <c r="K620" s="152">
        <f t="shared" si="9"/>
        <v>0</v>
      </c>
      <c r="L620" s="261">
        <f t="shared" si="10"/>
        <v>476117</v>
      </c>
    </row>
    <row r="621" spans="1:12" x14ac:dyDescent="0.25">
      <c r="A621" s="140" t="s">
        <v>241</v>
      </c>
      <c r="B621" s="142" t="s">
        <v>242</v>
      </c>
      <c r="C621" s="139">
        <v>173</v>
      </c>
      <c r="D621" s="139" t="s">
        <v>121</v>
      </c>
      <c r="E621" s="261">
        <v>1759730</v>
      </c>
      <c r="F621" s="261">
        <v>1759730</v>
      </c>
      <c r="G621" s="287" t="s">
        <v>570</v>
      </c>
      <c r="H621" s="152">
        <f t="shared" si="11"/>
        <v>0</v>
      </c>
      <c r="I621" s="261">
        <v>43451</v>
      </c>
      <c r="J621" s="261">
        <v>38616</v>
      </c>
      <c r="K621" s="261">
        <f t="shared" si="9"/>
        <v>4835</v>
      </c>
      <c r="L621" s="261">
        <f t="shared" si="10"/>
        <v>-4835</v>
      </c>
    </row>
    <row r="622" spans="1:12" ht="60.75" x14ac:dyDescent="0.25">
      <c r="A622" s="140" t="s">
        <v>280</v>
      </c>
      <c r="B622" s="142" t="s">
        <v>281</v>
      </c>
      <c r="C622" s="139">
        <v>329</v>
      </c>
      <c r="D622" s="139" t="s">
        <v>121</v>
      </c>
      <c r="E622" s="261">
        <v>930860</v>
      </c>
      <c r="F622" s="261">
        <v>831450</v>
      </c>
      <c r="G622" s="287" t="s">
        <v>570</v>
      </c>
      <c r="H622" s="261">
        <f t="shared" si="11"/>
        <v>99410</v>
      </c>
      <c r="I622" s="152">
        <v>0</v>
      </c>
      <c r="J622" s="152">
        <v>0</v>
      </c>
      <c r="K622" s="152">
        <f t="shared" si="9"/>
        <v>0</v>
      </c>
      <c r="L622" s="261">
        <f t="shared" si="10"/>
        <v>99410</v>
      </c>
    </row>
    <row r="623" spans="1:12" ht="45.75" x14ac:dyDescent="0.25">
      <c r="A623" s="140" t="s">
        <v>248</v>
      </c>
      <c r="B623" s="142" t="s">
        <v>249</v>
      </c>
      <c r="C623" s="139">
        <v>261</v>
      </c>
      <c r="D623" s="139" t="s">
        <v>121</v>
      </c>
      <c r="E623" s="261">
        <v>814086</v>
      </c>
      <c r="F623" s="261">
        <v>797084</v>
      </c>
      <c r="G623" s="287" t="s">
        <v>570</v>
      </c>
      <c r="H623" s="261">
        <f t="shared" si="11"/>
        <v>17002</v>
      </c>
      <c r="I623" s="261">
        <v>72250</v>
      </c>
      <c r="J623" s="261">
        <v>29296</v>
      </c>
      <c r="K623" s="261">
        <f t="shared" si="9"/>
        <v>42954</v>
      </c>
      <c r="L623" s="261">
        <f t="shared" si="10"/>
        <v>-25952</v>
      </c>
    </row>
    <row r="624" spans="1:12" x14ac:dyDescent="0.25">
      <c r="A624" s="140" t="s">
        <v>243</v>
      </c>
      <c r="B624" s="142" t="s">
        <v>229</v>
      </c>
      <c r="C624" s="139">
        <v>244</v>
      </c>
      <c r="D624" s="139" t="s">
        <v>121</v>
      </c>
      <c r="E624" s="261">
        <v>3239841</v>
      </c>
      <c r="F624" s="261">
        <v>3209138</v>
      </c>
      <c r="G624" s="287" t="s">
        <v>570</v>
      </c>
      <c r="H624" s="261">
        <f t="shared" si="11"/>
        <v>30703</v>
      </c>
      <c r="I624" s="261">
        <v>73306</v>
      </c>
      <c r="J624" s="261">
        <v>50579</v>
      </c>
      <c r="K624" s="261">
        <f t="shared" si="9"/>
        <v>22727</v>
      </c>
      <c r="L624" s="261">
        <f t="shared" si="10"/>
        <v>7976</v>
      </c>
    </row>
    <row r="625" spans="1:12" ht="30.75" x14ac:dyDescent="0.25">
      <c r="A625" s="140" t="s">
        <v>293</v>
      </c>
      <c r="B625" s="142" t="s">
        <v>294</v>
      </c>
      <c r="C625" s="139">
        <v>182</v>
      </c>
      <c r="D625" s="139" t="s">
        <v>121</v>
      </c>
      <c r="E625" s="261">
        <v>68265</v>
      </c>
      <c r="F625" s="261">
        <v>55179</v>
      </c>
      <c r="G625" s="287" t="s">
        <v>570</v>
      </c>
      <c r="H625" s="261">
        <f t="shared" si="11"/>
        <v>13086</v>
      </c>
      <c r="I625" s="261">
        <v>1388</v>
      </c>
      <c r="J625" s="261">
        <v>1388</v>
      </c>
      <c r="K625" s="152">
        <f t="shared" si="9"/>
        <v>0</v>
      </c>
      <c r="L625" s="261">
        <f t="shared" si="10"/>
        <v>13086</v>
      </c>
    </row>
    <row r="626" spans="1:12" x14ac:dyDescent="0.25">
      <c r="A626" s="140" t="s">
        <v>259</v>
      </c>
      <c r="B626" s="142" t="s">
        <v>210</v>
      </c>
      <c r="C626" s="139">
        <v>280</v>
      </c>
      <c r="D626" s="139" t="s">
        <v>121</v>
      </c>
      <c r="E626" s="261">
        <v>14665</v>
      </c>
      <c r="F626" s="261">
        <v>11241</v>
      </c>
      <c r="G626" s="287" t="s">
        <v>570</v>
      </c>
      <c r="H626" s="261">
        <f t="shared" si="11"/>
        <v>3424</v>
      </c>
      <c r="I626" s="152">
        <v>0</v>
      </c>
      <c r="J626" s="152">
        <v>0</v>
      </c>
      <c r="K626" s="152">
        <f t="shared" si="9"/>
        <v>0</v>
      </c>
      <c r="L626" s="261">
        <f t="shared" si="10"/>
        <v>3424</v>
      </c>
    </row>
    <row r="627" spans="1:12" ht="30.75" x14ac:dyDescent="0.25">
      <c r="A627" s="140" t="s">
        <v>282</v>
      </c>
      <c r="B627" s="142" t="s">
        <v>196</v>
      </c>
      <c r="C627" s="139">
        <v>176</v>
      </c>
      <c r="D627" s="139" t="s">
        <v>121</v>
      </c>
      <c r="E627" s="261">
        <v>7230014</v>
      </c>
      <c r="F627" s="261">
        <v>6313475</v>
      </c>
      <c r="G627" s="287" t="s">
        <v>570</v>
      </c>
      <c r="H627" s="261">
        <f t="shared" si="11"/>
        <v>916539</v>
      </c>
      <c r="I627" s="261">
        <v>35024</v>
      </c>
      <c r="J627" s="261">
        <v>25955</v>
      </c>
      <c r="K627" s="261">
        <f t="shared" si="9"/>
        <v>9069</v>
      </c>
      <c r="L627" s="261">
        <f t="shared" si="10"/>
        <v>907470</v>
      </c>
    </row>
    <row r="628" spans="1:12" x14ac:dyDescent="0.25">
      <c r="A628" s="140" t="s">
        <v>289</v>
      </c>
      <c r="B628" s="142" t="s">
        <v>290</v>
      </c>
      <c r="C628" s="139">
        <v>57</v>
      </c>
      <c r="D628" s="139" t="s">
        <v>121</v>
      </c>
      <c r="E628" s="261">
        <v>964299</v>
      </c>
      <c r="F628" s="261">
        <v>880791</v>
      </c>
      <c r="G628" s="287" t="s">
        <v>570</v>
      </c>
      <c r="H628" s="261">
        <f t="shared" si="11"/>
        <v>83508</v>
      </c>
      <c r="I628" s="261">
        <v>14205</v>
      </c>
      <c r="J628" s="261">
        <v>14205</v>
      </c>
      <c r="K628" s="152">
        <f t="shared" si="9"/>
        <v>0</v>
      </c>
      <c r="L628" s="261">
        <f t="shared" si="10"/>
        <v>83508</v>
      </c>
    </row>
    <row r="629" spans="1:12" x14ac:dyDescent="0.25">
      <c r="A629" s="140" t="s">
        <v>226</v>
      </c>
      <c r="B629" s="142" t="s">
        <v>227</v>
      </c>
      <c r="C629" s="139">
        <v>171</v>
      </c>
      <c r="D629" s="139" t="s">
        <v>121</v>
      </c>
      <c r="E629" s="261">
        <v>2196908</v>
      </c>
      <c r="F629" s="261">
        <v>2046608</v>
      </c>
      <c r="G629" s="287" t="s">
        <v>570</v>
      </c>
      <c r="H629" s="261">
        <f t="shared" si="11"/>
        <v>150300</v>
      </c>
      <c r="I629" s="152">
        <v>0</v>
      </c>
      <c r="J629" s="152">
        <v>0</v>
      </c>
      <c r="K629" s="152">
        <f t="shared" si="9"/>
        <v>0</v>
      </c>
      <c r="L629" s="261">
        <f t="shared" si="10"/>
        <v>150300</v>
      </c>
    </row>
    <row r="630" spans="1:12" ht="45.75" x14ac:dyDescent="0.25">
      <c r="A630" s="140" t="s">
        <v>228</v>
      </c>
      <c r="B630" s="142" t="s">
        <v>229</v>
      </c>
      <c r="C630" s="139">
        <v>258</v>
      </c>
      <c r="D630" s="139" t="s">
        <v>121</v>
      </c>
      <c r="E630" s="261">
        <v>2759263</v>
      </c>
      <c r="F630" s="261">
        <v>2425375</v>
      </c>
      <c r="G630" s="287" t="s">
        <v>570</v>
      </c>
      <c r="H630" s="261">
        <f t="shared" si="11"/>
        <v>333888</v>
      </c>
      <c r="I630" s="261">
        <v>42825</v>
      </c>
      <c r="J630" s="261">
        <v>40423</v>
      </c>
      <c r="K630" s="261">
        <f t="shared" si="9"/>
        <v>2402</v>
      </c>
      <c r="L630" s="261">
        <f t="shared" si="10"/>
        <v>331486</v>
      </c>
    </row>
    <row r="631" spans="1:12" x14ac:dyDescent="0.25">
      <c r="A631" s="140" t="s">
        <v>260</v>
      </c>
      <c r="B631" s="142" t="s">
        <v>261</v>
      </c>
      <c r="C631" s="139">
        <v>228</v>
      </c>
      <c r="D631" s="139" t="s">
        <v>121</v>
      </c>
      <c r="E631" s="261">
        <v>14952</v>
      </c>
      <c r="F631" s="261">
        <v>6939</v>
      </c>
      <c r="G631" s="287" t="s">
        <v>570</v>
      </c>
      <c r="H631" s="261">
        <f t="shared" si="11"/>
        <v>8013</v>
      </c>
      <c r="I631" s="152">
        <v>0</v>
      </c>
      <c r="J631" s="152">
        <v>0</v>
      </c>
      <c r="K631" s="152">
        <f t="shared" si="9"/>
        <v>0</v>
      </c>
      <c r="L631" s="261">
        <f t="shared" si="10"/>
        <v>8013</v>
      </c>
    </row>
    <row r="632" spans="1:12" x14ac:dyDescent="0.25">
      <c r="A632" s="140" t="s">
        <v>291</v>
      </c>
      <c r="B632" s="142" t="s">
        <v>292</v>
      </c>
      <c r="C632" s="139">
        <v>58</v>
      </c>
      <c r="D632" s="139" t="s">
        <v>121</v>
      </c>
      <c r="E632" s="261">
        <v>3087850</v>
      </c>
      <c r="F632" s="261">
        <v>3059030</v>
      </c>
      <c r="G632" s="287" t="s">
        <v>570</v>
      </c>
      <c r="H632" s="261">
        <f t="shared" si="11"/>
        <v>28820</v>
      </c>
      <c r="I632" s="261">
        <v>15442</v>
      </c>
      <c r="J632" s="261">
        <v>13765</v>
      </c>
      <c r="K632" s="261">
        <f t="shared" si="9"/>
        <v>1677</v>
      </c>
      <c r="L632" s="261">
        <f t="shared" si="10"/>
        <v>27143</v>
      </c>
    </row>
    <row r="633" spans="1:12" x14ac:dyDescent="0.25">
      <c r="A633" s="140" t="s">
        <v>262</v>
      </c>
      <c r="B633" s="142" t="s">
        <v>263</v>
      </c>
      <c r="C633" s="139">
        <v>308</v>
      </c>
      <c r="D633" s="139" t="s">
        <v>121</v>
      </c>
      <c r="E633" s="261">
        <v>83236</v>
      </c>
      <c r="F633" s="261">
        <v>46217</v>
      </c>
      <c r="G633" s="287" t="s">
        <v>570</v>
      </c>
      <c r="H633" s="261">
        <f t="shared" si="11"/>
        <v>37019</v>
      </c>
      <c r="I633" s="152">
        <v>0</v>
      </c>
      <c r="J633" s="152">
        <v>0</v>
      </c>
      <c r="K633" s="152">
        <f t="shared" si="9"/>
        <v>0</v>
      </c>
      <c r="L633" s="261">
        <f t="shared" si="10"/>
        <v>37019</v>
      </c>
    </row>
    <row r="634" spans="1:12" x14ac:dyDescent="0.25">
      <c r="A634" s="140" t="s">
        <v>230</v>
      </c>
      <c r="B634" s="142" t="s">
        <v>210</v>
      </c>
      <c r="C634" s="139">
        <v>260</v>
      </c>
      <c r="D634" s="139" t="s">
        <v>121</v>
      </c>
      <c r="E634" s="261">
        <v>18231549</v>
      </c>
      <c r="F634" s="261">
        <v>17200676</v>
      </c>
      <c r="G634" s="287" t="s">
        <v>570</v>
      </c>
      <c r="H634" s="261">
        <f t="shared" si="11"/>
        <v>1030873</v>
      </c>
      <c r="I634" s="261">
        <v>608055</v>
      </c>
      <c r="J634" s="261">
        <v>608055</v>
      </c>
      <c r="K634" s="152">
        <f t="shared" si="9"/>
        <v>0</v>
      </c>
      <c r="L634" s="261">
        <f t="shared" si="10"/>
        <v>1030873</v>
      </c>
    </row>
    <row r="635" spans="1:12" ht="30.75" x14ac:dyDescent="0.25">
      <c r="A635" s="140" t="s">
        <v>244</v>
      </c>
      <c r="B635" s="142" t="s">
        <v>245</v>
      </c>
      <c r="C635" s="139">
        <v>346</v>
      </c>
      <c r="D635" s="139" t="s">
        <v>121</v>
      </c>
      <c r="E635" s="261">
        <v>7378</v>
      </c>
      <c r="F635" s="261">
        <v>1834</v>
      </c>
      <c r="G635" s="287" t="s">
        <v>570</v>
      </c>
      <c r="H635" s="261">
        <f t="shared" si="11"/>
        <v>5544</v>
      </c>
      <c r="I635" s="152">
        <v>0</v>
      </c>
      <c r="J635" s="152">
        <v>0</v>
      </c>
      <c r="K635" s="152">
        <f t="shared" si="9"/>
        <v>0</v>
      </c>
      <c r="L635" s="261">
        <f t="shared" si="10"/>
        <v>5544</v>
      </c>
    </row>
    <row r="636" spans="1:12" ht="30.75" x14ac:dyDescent="0.25">
      <c r="A636" s="140" t="s">
        <v>233</v>
      </c>
      <c r="B636" s="142" t="s">
        <v>234</v>
      </c>
      <c r="C636" s="139">
        <v>351</v>
      </c>
      <c r="D636" s="139" t="s">
        <v>121</v>
      </c>
      <c r="E636" s="261">
        <v>52143</v>
      </c>
      <c r="F636" s="261">
        <v>47396</v>
      </c>
      <c r="G636" s="287" t="s">
        <v>570</v>
      </c>
      <c r="H636" s="261">
        <f t="shared" si="11"/>
        <v>4747</v>
      </c>
      <c r="I636" s="152">
        <v>0</v>
      </c>
      <c r="J636" s="152">
        <v>0</v>
      </c>
      <c r="K636" s="152">
        <f t="shared" si="9"/>
        <v>0</v>
      </c>
      <c r="L636" s="261">
        <f t="shared" si="10"/>
        <v>4747</v>
      </c>
    </row>
    <row r="637" spans="1:12" x14ac:dyDescent="0.25">
      <c r="A637" s="140" t="s">
        <v>250</v>
      </c>
      <c r="B637" s="142" t="s">
        <v>251</v>
      </c>
      <c r="C637" s="139">
        <v>305</v>
      </c>
      <c r="D637" s="139" t="s">
        <v>122</v>
      </c>
      <c r="E637" s="261">
        <v>91574</v>
      </c>
      <c r="F637" s="261">
        <v>89307</v>
      </c>
      <c r="G637" s="287" t="s">
        <v>570</v>
      </c>
      <c r="H637" s="261">
        <v>2267</v>
      </c>
      <c r="I637" s="152">
        <v>0</v>
      </c>
      <c r="J637" s="152">
        <v>0</v>
      </c>
      <c r="K637" s="152">
        <v>0</v>
      </c>
      <c r="L637" s="261">
        <v>2267</v>
      </c>
    </row>
    <row r="638" spans="1:12" x14ac:dyDescent="0.25">
      <c r="A638" s="140" t="s">
        <v>283</v>
      </c>
      <c r="B638" s="142" t="s">
        <v>284</v>
      </c>
      <c r="C638" s="139">
        <v>269</v>
      </c>
      <c r="D638" s="139" t="s">
        <v>122</v>
      </c>
      <c r="E638" s="261">
        <v>13832</v>
      </c>
      <c r="F638" s="261">
        <v>12143</v>
      </c>
      <c r="G638" s="287" t="s">
        <v>570</v>
      </c>
      <c r="H638" s="261">
        <v>1689</v>
      </c>
      <c r="I638" s="152">
        <v>0</v>
      </c>
      <c r="J638" s="152">
        <v>0</v>
      </c>
      <c r="K638" s="152">
        <v>0</v>
      </c>
      <c r="L638" s="261">
        <v>1689</v>
      </c>
    </row>
    <row r="639" spans="1:12" ht="30.75" x14ac:dyDescent="0.25">
      <c r="A639" s="140" t="s">
        <v>185</v>
      </c>
      <c r="B639" s="142" t="s">
        <v>186</v>
      </c>
      <c r="C639" s="139">
        <v>250</v>
      </c>
      <c r="D639" s="139" t="s">
        <v>122</v>
      </c>
      <c r="E639" s="261">
        <v>1529642</v>
      </c>
      <c r="F639" s="261">
        <v>1448507</v>
      </c>
      <c r="G639" s="287" t="s">
        <v>570</v>
      </c>
      <c r="H639" s="261">
        <v>81135</v>
      </c>
      <c r="I639" s="152">
        <v>0</v>
      </c>
      <c r="J639" s="152">
        <v>0</v>
      </c>
      <c r="K639" s="152">
        <v>0</v>
      </c>
      <c r="L639" s="261">
        <v>81135</v>
      </c>
    </row>
    <row r="640" spans="1:12" ht="30.75" x14ac:dyDescent="0.25">
      <c r="A640" s="140" t="s">
        <v>277</v>
      </c>
      <c r="B640" s="142" t="s">
        <v>272</v>
      </c>
      <c r="C640" s="139">
        <v>348</v>
      </c>
      <c r="D640" s="139" t="s">
        <v>122</v>
      </c>
      <c r="E640" s="261">
        <v>48538143</v>
      </c>
      <c r="F640" s="261">
        <v>42415623</v>
      </c>
      <c r="G640" s="287" t="s">
        <v>570</v>
      </c>
      <c r="H640" s="261">
        <v>6122520</v>
      </c>
      <c r="I640" s="152">
        <v>0</v>
      </c>
      <c r="J640" s="152">
        <v>0</v>
      </c>
      <c r="K640" s="152">
        <v>0</v>
      </c>
      <c r="L640" s="261">
        <v>6122520</v>
      </c>
    </row>
    <row r="641" spans="1:12" ht="30.75" x14ac:dyDescent="0.25">
      <c r="A641" s="140" t="s">
        <v>265</v>
      </c>
      <c r="B641" s="142" t="s">
        <v>266</v>
      </c>
      <c r="C641" s="139">
        <v>286</v>
      </c>
      <c r="D641" s="139" t="s">
        <v>122</v>
      </c>
      <c r="E641" s="261">
        <v>81632</v>
      </c>
      <c r="F641" s="261">
        <v>66048</v>
      </c>
      <c r="G641" s="287" t="s">
        <v>570</v>
      </c>
      <c r="H641" s="261">
        <v>15584</v>
      </c>
      <c r="I641" s="152">
        <v>0</v>
      </c>
      <c r="J641" s="152">
        <v>0</v>
      </c>
      <c r="K641" s="152">
        <v>0</v>
      </c>
      <c r="L641" s="261">
        <v>15584</v>
      </c>
    </row>
    <row r="642" spans="1:12" ht="30.75" x14ac:dyDescent="0.25">
      <c r="A642" s="140" t="s">
        <v>189</v>
      </c>
      <c r="B642" s="142" t="s">
        <v>190</v>
      </c>
      <c r="C642" s="139">
        <v>172</v>
      </c>
      <c r="D642" s="139" t="s">
        <v>122</v>
      </c>
      <c r="E642" s="261">
        <v>789966</v>
      </c>
      <c r="F642" s="261">
        <v>701787</v>
      </c>
      <c r="G642" s="287" t="s">
        <v>570</v>
      </c>
      <c r="H642" s="261">
        <v>88179</v>
      </c>
      <c r="I642" s="152">
        <v>0</v>
      </c>
      <c r="J642" s="152">
        <v>0</v>
      </c>
      <c r="K642" s="152">
        <v>0</v>
      </c>
      <c r="L642" s="261">
        <v>88179</v>
      </c>
    </row>
    <row r="643" spans="1:12" x14ac:dyDescent="0.25">
      <c r="A643" s="140" t="s">
        <v>302</v>
      </c>
      <c r="B643" s="142" t="s">
        <v>303</v>
      </c>
      <c r="C643" s="139">
        <v>249</v>
      </c>
      <c r="D643" s="139" t="s">
        <v>122</v>
      </c>
      <c r="E643" s="261">
        <v>1894352</v>
      </c>
      <c r="F643" s="261">
        <v>1761720</v>
      </c>
      <c r="G643" s="287" t="s">
        <v>570</v>
      </c>
      <c r="H643" s="261">
        <v>132632</v>
      </c>
      <c r="I643" s="152">
        <v>0</v>
      </c>
      <c r="J643" s="152">
        <v>0</v>
      </c>
      <c r="K643" s="152">
        <v>0</v>
      </c>
      <c r="L643" s="261">
        <v>132632</v>
      </c>
    </row>
    <row r="644" spans="1:12" ht="30.75" x14ac:dyDescent="0.25">
      <c r="A644" s="140" t="s">
        <v>191</v>
      </c>
      <c r="B644" s="142" t="s">
        <v>192</v>
      </c>
      <c r="C644" s="139">
        <v>11</v>
      </c>
      <c r="D644" s="139" t="s">
        <v>122</v>
      </c>
      <c r="E644" s="261">
        <v>28118251</v>
      </c>
      <c r="F644" s="261">
        <v>27647949</v>
      </c>
      <c r="G644" s="287" t="s">
        <v>570</v>
      </c>
      <c r="H644" s="261">
        <v>470302</v>
      </c>
      <c r="I644" s="261">
        <v>6504563</v>
      </c>
      <c r="J644" s="261">
        <v>5421317</v>
      </c>
      <c r="K644" s="261">
        <v>1083246</v>
      </c>
      <c r="L644" s="261">
        <v>-612944</v>
      </c>
    </row>
    <row r="645" spans="1:12" x14ac:dyDescent="0.25">
      <c r="A645" s="140" t="s">
        <v>295</v>
      </c>
      <c r="B645" s="142" t="s">
        <v>194</v>
      </c>
      <c r="C645" s="139">
        <v>223</v>
      </c>
      <c r="D645" s="139" t="s">
        <v>122</v>
      </c>
      <c r="E645" s="261">
        <v>4125253</v>
      </c>
      <c r="F645" s="261">
        <v>3957366</v>
      </c>
      <c r="G645" s="287" t="s">
        <v>570</v>
      </c>
      <c r="H645" s="261">
        <v>167887</v>
      </c>
      <c r="I645" s="152">
        <v>0</v>
      </c>
      <c r="J645" s="152">
        <v>0</v>
      </c>
      <c r="K645" s="152">
        <v>0</v>
      </c>
      <c r="L645" s="261">
        <v>167887</v>
      </c>
    </row>
    <row r="646" spans="1:12" ht="45.75" x14ac:dyDescent="0.25">
      <c r="A646" s="140" t="s">
        <v>197</v>
      </c>
      <c r="B646" s="142" t="s">
        <v>198</v>
      </c>
      <c r="C646" s="139">
        <v>272</v>
      </c>
      <c r="D646" s="139" t="s">
        <v>122</v>
      </c>
      <c r="E646" s="261">
        <v>8371175</v>
      </c>
      <c r="F646" s="261">
        <v>8200303</v>
      </c>
      <c r="G646" s="287" t="s">
        <v>570</v>
      </c>
      <c r="H646" s="261">
        <v>170872</v>
      </c>
      <c r="I646" s="152">
        <v>0</v>
      </c>
      <c r="J646" s="152">
        <v>0</v>
      </c>
      <c r="K646" s="152">
        <v>0</v>
      </c>
      <c r="L646" s="261">
        <v>170872</v>
      </c>
    </row>
    <row r="647" spans="1:12" ht="60.75" x14ac:dyDescent="0.25">
      <c r="A647" s="140" t="s">
        <v>298</v>
      </c>
      <c r="B647" s="142" t="s">
        <v>299</v>
      </c>
      <c r="C647" s="139">
        <v>291</v>
      </c>
      <c r="D647" s="139" t="s">
        <v>122</v>
      </c>
      <c r="E647" s="261">
        <v>221637</v>
      </c>
      <c r="F647" s="261">
        <v>135227</v>
      </c>
      <c r="G647" s="287" t="s">
        <v>570</v>
      </c>
      <c r="H647" s="261">
        <v>86410</v>
      </c>
      <c r="I647" s="152">
        <v>0</v>
      </c>
      <c r="J647" s="152">
        <v>0</v>
      </c>
      <c r="K647" s="152">
        <v>0</v>
      </c>
      <c r="L647" s="261">
        <v>86410</v>
      </c>
    </row>
    <row r="648" spans="1:12" ht="30.75" x14ac:dyDescent="0.25">
      <c r="A648" s="140" t="s">
        <v>203</v>
      </c>
      <c r="B648" s="142" t="s">
        <v>204</v>
      </c>
      <c r="C648" s="139">
        <v>209</v>
      </c>
      <c r="D648" s="139" t="s">
        <v>122</v>
      </c>
      <c r="E648" s="261">
        <v>330968</v>
      </c>
      <c r="F648" s="261">
        <v>291805</v>
      </c>
      <c r="G648" s="287" t="s">
        <v>570</v>
      </c>
      <c r="H648" s="261">
        <v>39163</v>
      </c>
      <c r="I648" s="152">
        <v>0</v>
      </c>
      <c r="J648" s="152">
        <v>0</v>
      </c>
      <c r="K648" s="152">
        <v>0</v>
      </c>
      <c r="L648" s="261">
        <v>39163</v>
      </c>
    </row>
    <row r="649" spans="1:12" x14ac:dyDescent="0.25">
      <c r="A649" s="140" t="s">
        <v>205</v>
      </c>
      <c r="B649" s="142" t="s">
        <v>206</v>
      </c>
      <c r="C649" s="139">
        <v>183</v>
      </c>
      <c r="D649" s="139" t="s">
        <v>122</v>
      </c>
      <c r="E649" s="261">
        <v>1053274</v>
      </c>
      <c r="F649" s="261">
        <v>1028420</v>
      </c>
      <c r="G649" s="287" t="s">
        <v>570</v>
      </c>
      <c r="H649" s="261">
        <v>24854</v>
      </c>
      <c r="I649" s="261">
        <v>324987</v>
      </c>
      <c r="J649" s="261">
        <v>324236</v>
      </c>
      <c r="K649" s="261">
        <v>751</v>
      </c>
      <c r="L649" s="261">
        <v>24103</v>
      </c>
    </row>
    <row r="650" spans="1:12" x14ac:dyDescent="0.25">
      <c r="A650" s="140" t="s">
        <v>237</v>
      </c>
      <c r="B650" s="142" t="s">
        <v>238</v>
      </c>
      <c r="C650" s="139">
        <v>251</v>
      </c>
      <c r="D650" s="139" t="s">
        <v>122</v>
      </c>
      <c r="E650" s="261">
        <v>345084</v>
      </c>
      <c r="F650" s="261">
        <v>339843</v>
      </c>
      <c r="G650" s="287" t="s">
        <v>570</v>
      </c>
      <c r="H650" s="261">
        <v>5241</v>
      </c>
      <c r="I650" s="152">
        <v>0</v>
      </c>
      <c r="J650" s="152">
        <v>0</v>
      </c>
      <c r="K650" s="152">
        <v>0</v>
      </c>
      <c r="L650" s="261">
        <v>5241</v>
      </c>
    </row>
    <row r="651" spans="1:12" ht="30.75" x14ac:dyDescent="0.25">
      <c r="A651" s="140" t="s">
        <v>254</v>
      </c>
      <c r="B651" s="142" t="s">
        <v>196</v>
      </c>
      <c r="C651" s="139">
        <v>91</v>
      </c>
      <c r="D651" s="139" t="s">
        <v>122</v>
      </c>
      <c r="E651" s="261">
        <v>11182</v>
      </c>
      <c r="F651" s="261">
        <v>10546</v>
      </c>
      <c r="G651" s="287" t="s">
        <v>570</v>
      </c>
      <c r="H651" s="261">
        <v>636</v>
      </c>
      <c r="I651" s="152">
        <v>0</v>
      </c>
      <c r="J651" s="152">
        <v>0</v>
      </c>
      <c r="K651" s="152">
        <v>0</v>
      </c>
      <c r="L651" s="261">
        <v>636</v>
      </c>
    </row>
    <row r="652" spans="1:12" x14ac:dyDescent="0.25">
      <c r="A652" s="140" t="s">
        <v>207</v>
      </c>
      <c r="B652" s="142" t="s">
        <v>208</v>
      </c>
      <c r="C652" s="139">
        <v>192</v>
      </c>
      <c r="D652" s="139" t="s">
        <v>122</v>
      </c>
      <c r="E652" s="261">
        <v>345937</v>
      </c>
      <c r="F652" s="261">
        <v>317957</v>
      </c>
      <c r="G652" s="287" t="s">
        <v>570</v>
      </c>
      <c r="H652" s="261">
        <v>27980</v>
      </c>
      <c r="I652" s="152">
        <v>0</v>
      </c>
      <c r="J652" s="152">
        <v>0</v>
      </c>
      <c r="K652" s="152">
        <v>0</v>
      </c>
      <c r="L652" s="261">
        <v>27980</v>
      </c>
    </row>
    <row r="653" spans="1:12" x14ac:dyDescent="0.25">
      <c r="A653" s="140" t="s">
        <v>300</v>
      </c>
      <c r="B653" s="142" t="s">
        <v>210</v>
      </c>
      <c r="C653" s="139">
        <v>26</v>
      </c>
      <c r="D653" s="139" t="s">
        <v>122</v>
      </c>
      <c r="E653" s="261">
        <v>43202517</v>
      </c>
      <c r="F653" s="261">
        <v>40579200</v>
      </c>
      <c r="G653" s="287" t="s">
        <v>570</v>
      </c>
      <c r="H653" s="261">
        <v>2623317</v>
      </c>
      <c r="I653" s="261">
        <v>2628221</v>
      </c>
      <c r="J653" s="261">
        <v>940748</v>
      </c>
      <c r="K653" s="261">
        <v>1687473</v>
      </c>
      <c r="L653" s="261">
        <v>935844</v>
      </c>
    </row>
    <row r="654" spans="1:12" ht="30.75" x14ac:dyDescent="0.25">
      <c r="A654" s="140" t="s">
        <v>209</v>
      </c>
      <c r="B654" s="142" t="s">
        <v>210</v>
      </c>
      <c r="C654" s="139">
        <v>297</v>
      </c>
      <c r="D654" s="139" t="s">
        <v>122</v>
      </c>
      <c r="E654" s="261">
        <v>178572293</v>
      </c>
      <c r="F654" s="261">
        <v>149988236</v>
      </c>
      <c r="G654" s="287" t="s">
        <v>570</v>
      </c>
      <c r="H654" s="261">
        <v>28584057</v>
      </c>
      <c r="I654" s="152">
        <v>0</v>
      </c>
      <c r="J654" s="152">
        <v>0</v>
      </c>
      <c r="K654" s="152">
        <v>0</v>
      </c>
      <c r="L654" s="261">
        <v>28584057</v>
      </c>
    </row>
    <row r="655" spans="1:12" x14ac:dyDescent="0.25">
      <c r="A655" s="140" t="s">
        <v>211</v>
      </c>
      <c r="B655" s="142" t="s">
        <v>212</v>
      </c>
      <c r="C655" s="139">
        <v>166</v>
      </c>
      <c r="D655" s="139" t="s">
        <v>122</v>
      </c>
      <c r="E655" s="261">
        <v>6863320</v>
      </c>
      <c r="F655" s="261">
        <v>6312299</v>
      </c>
      <c r="G655" s="287" t="s">
        <v>570</v>
      </c>
      <c r="H655" s="261">
        <v>551021</v>
      </c>
      <c r="I655" s="152">
        <v>0</v>
      </c>
      <c r="J655" s="152">
        <v>0</v>
      </c>
      <c r="K655" s="152">
        <v>0</v>
      </c>
      <c r="L655" s="261">
        <v>551021</v>
      </c>
    </row>
    <row r="656" spans="1:12" x14ac:dyDescent="0.25">
      <c r="A656" s="140" t="s">
        <v>255</v>
      </c>
      <c r="B656" s="142" t="s">
        <v>256</v>
      </c>
      <c r="C656" s="139">
        <v>268</v>
      </c>
      <c r="D656" s="139" t="s">
        <v>122</v>
      </c>
      <c r="E656" s="261">
        <v>6928053</v>
      </c>
      <c r="F656" s="261">
        <v>5751723</v>
      </c>
      <c r="G656" s="287" t="s">
        <v>570</v>
      </c>
      <c r="H656" s="261">
        <v>1176330</v>
      </c>
      <c r="I656" s="152">
        <v>0</v>
      </c>
      <c r="J656" s="152">
        <v>0</v>
      </c>
      <c r="K656" s="152">
        <v>0</v>
      </c>
      <c r="L656" s="261">
        <v>1176330</v>
      </c>
    </row>
    <row r="657" spans="1:12" x14ac:dyDescent="0.25">
      <c r="A657" s="140" t="s">
        <v>213</v>
      </c>
      <c r="B657" s="142" t="s">
        <v>214</v>
      </c>
      <c r="C657" s="139">
        <v>32</v>
      </c>
      <c r="D657" s="139" t="s">
        <v>122</v>
      </c>
      <c r="E657" s="261">
        <v>3940566</v>
      </c>
      <c r="F657" s="261">
        <v>3912544</v>
      </c>
      <c r="G657" s="287" t="s">
        <v>570</v>
      </c>
      <c r="H657" s="261">
        <v>28022</v>
      </c>
      <c r="I657" s="152">
        <v>0</v>
      </c>
      <c r="J657" s="152">
        <v>0</v>
      </c>
      <c r="K657" s="152">
        <v>0</v>
      </c>
      <c r="L657" s="261">
        <v>28022</v>
      </c>
    </row>
    <row r="658" spans="1:12" x14ac:dyDescent="0.25">
      <c r="A658" s="140" t="s">
        <v>273</v>
      </c>
      <c r="B658" s="142" t="s">
        <v>216</v>
      </c>
      <c r="C658" s="139">
        <v>230</v>
      </c>
      <c r="D658" s="139" t="s">
        <v>122</v>
      </c>
      <c r="E658" s="261">
        <v>5033509</v>
      </c>
      <c r="F658" s="261">
        <v>5003200</v>
      </c>
      <c r="G658" s="287" t="s">
        <v>570</v>
      </c>
      <c r="H658" s="261">
        <v>30309</v>
      </c>
      <c r="I658" s="152">
        <v>0</v>
      </c>
      <c r="J658" s="152">
        <v>0</v>
      </c>
      <c r="K658" s="152">
        <v>0</v>
      </c>
      <c r="L658" s="261">
        <v>30309</v>
      </c>
    </row>
    <row r="659" spans="1:12" x14ac:dyDescent="0.25">
      <c r="A659" s="140" t="s">
        <v>257</v>
      </c>
      <c r="B659" s="142" t="s">
        <v>258</v>
      </c>
      <c r="C659" s="139">
        <v>148</v>
      </c>
      <c r="D659" s="139" t="s">
        <v>122</v>
      </c>
      <c r="E659" s="261">
        <v>14798</v>
      </c>
      <c r="F659" s="261">
        <v>11934</v>
      </c>
      <c r="G659" s="287" t="s">
        <v>570</v>
      </c>
      <c r="H659" s="261">
        <v>2864</v>
      </c>
      <c r="I659" s="152">
        <v>0</v>
      </c>
      <c r="J659" s="152">
        <v>0</v>
      </c>
      <c r="K659" s="152">
        <v>0</v>
      </c>
      <c r="L659" s="261">
        <v>2864</v>
      </c>
    </row>
    <row r="660" spans="1:12" x14ac:dyDescent="0.25">
      <c r="A660" s="140" t="s">
        <v>219</v>
      </c>
      <c r="B660" s="142" t="s">
        <v>220</v>
      </c>
      <c r="C660" s="139">
        <v>153</v>
      </c>
      <c r="D660" s="139" t="s">
        <v>122</v>
      </c>
      <c r="E660" s="261">
        <v>4736153</v>
      </c>
      <c r="F660" s="261">
        <v>4678559</v>
      </c>
      <c r="G660" s="287" t="s">
        <v>570</v>
      </c>
      <c r="H660" s="261">
        <v>57594</v>
      </c>
      <c r="I660" s="261">
        <v>1319463</v>
      </c>
      <c r="J660" s="261">
        <v>1295960</v>
      </c>
      <c r="K660" s="261">
        <v>23503</v>
      </c>
      <c r="L660" s="261">
        <v>34091</v>
      </c>
    </row>
    <row r="661" spans="1:12" x14ac:dyDescent="0.25">
      <c r="A661" s="140" t="s">
        <v>239</v>
      </c>
      <c r="B661" s="142" t="s">
        <v>240</v>
      </c>
      <c r="C661" s="139">
        <v>155</v>
      </c>
      <c r="D661" s="139" t="s">
        <v>122</v>
      </c>
      <c r="E661" s="261">
        <v>1185878</v>
      </c>
      <c r="F661" s="261">
        <v>1112778</v>
      </c>
      <c r="G661" s="287" t="s">
        <v>570</v>
      </c>
      <c r="H661" s="261">
        <v>73100</v>
      </c>
      <c r="I661" s="152">
        <v>0</v>
      </c>
      <c r="J661" s="152">
        <v>0</v>
      </c>
      <c r="K661" s="152">
        <v>0</v>
      </c>
      <c r="L661" s="261">
        <v>73100</v>
      </c>
    </row>
    <row r="662" spans="1:12" ht="30.75" x14ac:dyDescent="0.25">
      <c r="A662" s="140" t="s">
        <v>307</v>
      </c>
      <c r="B662" s="142" t="s">
        <v>308</v>
      </c>
      <c r="C662" s="139">
        <v>157</v>
      </c>
      <c r="D662" s="139" t="s">
        <v>122</v>
      </c>
      <c r="E662" s="261">
        <v>1550124</v>
      </c>
      <c r="F662" s="261">
        <v>1376323</v>
      </c>
      <c r="G662" s="287" t="s">
        <v>570</v>
      </c>
      <c r="H662" s="261">
        <v>173801</v>
      </c>
      <c r="I662" s="152">
        <v>0</v>
      </c>
      <c r="J662" s="152">
        <v>0</v>
      </c>
      <c r="K662" s="152">
        <v>0</v>
      </c>
      <c r="L662" s="261">
        <v>173801</v>
      </c>
    </row>
    <row r="663" spans="1:12" x14ac:dyDescent="0.25">
      <c r="A663" s="140" t="s">
        <v>67</v>
      </c>
      <c r="B663" s="142" t="s">
        <v>68</v>
      </c>
      <c r="C663" s="139">
        <v>42</v>
      </c>
      <c r="D663" s="139" t="s">
        <v>122</v>
      </c>
      <c r="E663" s="261">
        <v>16466343</v>
      </c>
      <c r="F663" s="261">
        <v>15476282</v>
      </c>
      <c r="G663" s="287" t="s">
        <v>570</v>
      </c>
      <c r="H663" s="261">
        <v>990061</v>
      </c>
      <c r="I663" s="152">
        <v>0</v>
      </c>
      <c r="J663" s="152">
        <v>0</v>
      </c>
      <c r="K663" s="152">
        <v>0</v>
      </c>
      <c r="L663" s="261">
        <v>990061</v>
      </c>
    </row>
    <row r="664" spans="1:12" ht="60.75" x14ac:dyDescent="0.25">
      <c r="A664" s="140" t="s">
        <v>296</v>
      </c>
      <c r="B664" s="142" t="s">
        <v>297</v>
      </c>
      <c r="C664" s="139">
        <v>265</v>
      </c>
      <c r="D664" s="139" t="s">
        <v>122</v>
      </c>
      <c r="E664" s="261">
        <v>2861402</v>
      </c>
      <c r="F664" s="261">
        <v>2768647</v>
      </c>
      <c r="G664" s="287" t="s">
        <v>570</v>
      </c>
      <c r="H664" s="261">
        <v>92755</v>
      </c>
      <c r="I664" s="152">
        <v>0</v>
      </c>
      <c r="J664" s="152">
        <v>0</v>
      </c>
      <c r="K664" s="152">
        <v>0</v>
      </c>
      <c r="L664" s="261">
        <v>92755</v>
      </c>
    </row>
    <row r="665" spans="1:12" x14ac:dyDescent="0.25">
      <c r="A665" s="140" t="s">
        <v>221</v>
      </c>
      <c r="B665" s="142" t="s">
        <v>210</v>
      </c>
      <c r="C665" s="139">
        <v>48</v>
      </c>
      <c r="D665" s="139" t="s">
        <v>122</v>
      </c>
      <c r="E665" s="261">
        <v>12433793</v>
      </c>
      <c r="F665" s="261">
        <v>11714663</v>
      </c>
      <c r="G665" s="287" t="s">
        <v>570</v>
      </c>
      <c r="H665" s="261">
        <v>719130</v>
      </c>
      <c r="I665" s="152">
        <v>0</v>
      </c>
      <c r="J665" s="152">
        <v>0</v>
      </c>
      <c r="K665" s="152">
        <v>0</v>
      </c>
      <c r="L665" s="261">
        <v>719130</v>
      </c>
    </row>
    <row r="666" spans="1:12" ht="30.75" x14ac:dyDescent="0.25">
      <c r="A666" s="140" t="s">
        <v>301</v>
      </c>
      <c r="B666" s="142" t="s">
        <v>202</v>
      </c>
      <c r="C666" s="139">
        <v>150</v>
      </c>
      <c r="D666" s="139" t="s">
        <v>122</v>
      </c>
      <c r="E666" s="261">
        <v>5726692</v>
      </c>
      <c r="F666" s="261">
        <v>5639598</v>
      </c>
      <c r="G666" s="287" t="s">
        <v>570</v>
      </c>
      <c r="H666" s="261">
        <v>87094</v>
      </c>
      <c r="I666" s="261">
        <v>1191913</v>
      </c>
      <c r="J666" s="261">
        <v>1172322</v>
      </c>
      <c r="K666" s="261">
        <v>19591</v>
      </c>
      <c r="L666" s="261">
        <v>67503</v>
      </c>
    </row>
    <row r="667" spans="1:12" ht="30.75" x14ac:dyDescent="0.25">
      <c r="A667" s="140" t="s">
        <v>56</v>
      </c>
      <c r="B667" s="142" t="s">
        <v>57</v>
      </c>
      <c r="C667" s="139">
        <v>218</v>
      </c>
      <c r="D667" s="139" t="s">
        <v>122</v>
      </c>
      <c r="E667" s="261">
        <v>3283340</v>
      </c>
      <c r="F667" s="261">
        <v>3000113</v>
      </c>
      <c r="G667" s="287" t="s">
        <v>570</v>
      </c>
      <c r="H667" s="261">
        <v>283227</v>
      </c>
      <c r="I667" s="152">
        <v>0</v>
      </c>
      <c r="J667" s="152">
        <v>0</v>
      </c>
      <c r="K667" s="152">
        <v>0</v>
      </c>
      <c r="L667" s="261">
        <v>283227</v>
      </c>
    </row>
    <row r="668" spans="1:12" ht="30.75" x14ac:dyDescent="0.25">
      <c r="A668" s="140" t="s">
        <v>310</v>
      </c>
      <c r="B668" s="142" t="s">
        <v>311</v>
      </c>
      <c r="C668" s="139">
        <v>151</v>
      </c>
      <c r="D668" s="139" t="s">
        <v>122</v>
      </c>
      <c r="E668" s="152">
        <v>0</v>
      </c>
      <c r="F668" s="152">
        <v>0</v>
      </c>
      <c r="G668" s="287" t="s">
        <v>570</v>
      </c>
      <c r="H668" s="152">
        <v>0</v>
      </c>
      <c r="I668" s="261">
        <v>154522</v>
      </c>
      <c r="J668" s="261">
        <v>150626</v>
      </c>
      <c r="K668" s="261">
        <v>3896</v>
      </c>
      <c r="L668" s="261">
        <v>-3896</v>
      </c>
    </row>
    <row r="669" spans="1:12" ht="60.75" x14ac:dyDescent="0.25">
      <c r="A669" s="140" t="s">
        <v>312</v>
      </c>
      <c r="B669" s="142" t="s">
        <v>196</v>
      </c>
      <c r="C669" s="139">
        <v>271</v>
      </c>
      <c r="D669" s="139" t="s">
        <v>122</v>
      </c>
      <c r="E669" s="261">
        <v>4310781</v>
      </c>
      <c r="F669" s="261">
        <v>3965770</v>
      </c>
      <c r="G669" s="287" t="s">
        <v>570</v>
      </c>
      <c r="H669" s="261">
        <v>345011</v>
      </c>
      <c r="I669" s="152">
        <v>0</v>
      </c>
      <c r="J669" s="152">
        <v>0</v>
      </c>
      <c r="K669" s="152">
        <v>0</v>
      </c>
      <c r="L669" s="261">
        <v>345011</v>
      </c>
    </row>
    <row r="670" spans="1:12" ht="60.75" x14ac:dyDescent="0.25">
      <c r="A670" s="140" t="s">
        <v>280</v>
      </c>
      <c r="B670" s="142" t="s">
        <v>281</v>
      </c>
      <c r="C670" s="139">
        <v>329</v>
      </c>
      <c r="D670" s="139" t="s">
        <v>122</v>
      </c>
      <c r="E670" s="261">
        <v>824841</v>
      </c>
      <c r="F670" s="261">
        <v>761992</v>
      </c>
      <c r="G670" s="287" t="s">
        <v>570</v>
      </c>
      <c r="H670" s="261">
        <v>62849</v>
      </c>
      <c r="I670" s="152">
        <v>0</v>
      </c>
      <c r="J670" s="152">
        <v>0</v>
      </c>
      <c r="K670" s="152">
        <v>0</v>
      </c>
      <c r="L670" s="261">
        <v>62849</v>
      </c>
    </row>
    <row r="671" spans="1:12" ht="45.75" x14ac:dyDescent="0.25">
      <c r="A671" s="140" t="s">
        <v>248</v>
      </c>
      <c r="B671" s="142" t="s">
        <v>249</v>
      </c>
      <c r="C671" s="139">
        <v>261</v>
      </c>
      <c r="D671" s="139" t="s">
        <v>122</v>
      </c>
      <c r="E671" s="261">
        <v>1283024</v>
      </c>
      <c r="F671" s="261">
        <v>1278443</v>
      </c>
      <c r="G671" s="287" t="s">
        <v>570</v>
      </c>
      <c r="H671" s="261">
        <v>4581</v>
      </c>
      <c r="I671" s="152">
        <v>0</v>
      </c>
      <c r="J671" s="152">
        <v>0</v>
      </c>
      <c r="K671" s="152">
        <v>0</v>
      </c>
      <c r="L671" s="261">
        <v>4581</v>
      </c>
    </row>
    <row r="672" spans="1:12" x14ac:dyDescent="0.25">
      <c r="A672" s="140" t="s">
        <v>243</v>
      </c>
      <c r="B672" s="142" t="s">
        <v>229</v>
      </c>
      <c r="C672" s="139">
        <v>244</v>
      </c>
      <c r="D672" s="139" t="s">
        <v>122</v>
      </c>
      <c r="E672" s="261">
        <v>3003669</v>
      </c>
      <c r="F672" s="261">
        <v>2979014</v>
      </c>
      <c r="G672" s="287" t="s">
        <v>570</v>
      </c>
      <c r="H672" s="261">
        <v>24655</v>
      </c>
      <c r="I672" s="152">
        <v>0</v>
      </c>
      <c r="J672" s="152">
        <v>0</v>
      </c>
      <c r="K672" s="152">
        <v>0</v>
      </c>
      <c r="L672" s="261">
        <v>24655</v>
      </c>
    </row>
    <row r="673" spans="1:12" ht="30.75" x14ac:dyDescent="0.25">
      <c r="A673" s="140" t="s">
        <v>293</v>
      </c>
      <c r="B673" s="142" t="s">
        <v>294</v>
      </c>
      <c r="C673" s="139">
        <v>182</v>
      </c>
      <c r="D673" s="139" t="s">
        <v>122</v>
      </c>
      <c r="E673" s="261">
        <v>283789</v>
      </c>
      <c r="F673" s="261">
        <v>7758</v>
      </c>
      <c r="G673" s="287" t="s">
        <v>570</v>
      </c>
      <c r="H673" s="261">
        <v>276031</v>
      </c>
      <c r="I673" s="152">
        <v>0</v>
      </c>
      <c r="J673" s="152">
        <v>0</v>
      </c>
      <c r="K673" s="152">
        <v>0</v>
      </c>
      <c r="L673" s="261">
        <v>276031</v>
      </c>
    </row>
    <row r="674" spans="1:12" x14ac:dyDescent="0.25">
      <c r="A674" s="140" t="s">
        <v>259</v>
      </c>
      <c r="B674" s="142" t="s">
        <v>210</v>
      </c>
      <c r="C674" s="139">
        <v>280</v>
      </c>
      <c r="D674" s="139" t="s">
        <v>122</v>
      </c>
      <c r="E674" s="261">
        <v>10081</v>
      </c>
      <c r="F674" s="261">
        <v>8652</v>
      </c>
      <c r="G674" s="287" t="s">
        <v>570</v>
      </c>
      <c r="H674" s="261">
        <v>1429</v>
      </c>
      <c r="I674" s="152">
        <v>0</v>
      </c>
      <c r="J674" s="152">
        <v>0</v>
      </c>
      <c r="K674" s="152">
        <v>0</v>
      </c>
      <c r="L674" s="261">
        <v>1429</v>
      </c>
    </row>
    <row r="675" spans="1:12" ht="30.75" x14ac:dyDescent="0.25">
      <c r="A675" s="140" t="s">
        <v>282</v>
      </c>
      <c r="B675" s="142" t="s">
        <v>196</v>
      </c>
      <c r="C675" s="139">
        <v>176</v>
      </c>
      <c r="D675" s="139" t="s">
        <v>122</v>
      </c>
      <c r="E675" s="261">
        <v>3178106</v>
      </c>
      <c r="F675" s="261">
        <v>2910951</v>
      </c>
      <c r="G675" s="287" t="s">
        <v>570</v>
      </c>
      <c r="H675" s="261">
        <v>267155</v>
      </c>
      <c r="I675" s="261">
        <v>337</v>
      </c>
      <c r="J675" s="152">
        <v>0</v>
      </c>
      <c r="K675" s="261">
        <v>337</v>
      </c>
      <c r="L675" s="261">
        <v>266818</v>
      </c>
    </row>
    <row r="676" spans="1:12" x14ac:dyDescent="0.25">
      <c r="A676" s="140" t="s">
        <v>289</v>
      </c>
      <c r="B676" s="142" t="s">
        <v>290</v>
      </c>
      <c r="C676" s="139">
        <v>57</v>
      </c>
      <c r="D676" s="139" t="s">
        <v>122</v>
      </c>
      <c r="E676" s="261">
        <v>1056004</v>
      </c>
      <c r="F676" s="261">
        <v>948908</v>
      </c>
      <c r="G676" s="287" t="s">
        <v>570</v>
      </c>
      <c r="H676" s="261">
        <v>107096</v>
      </c>
      <c r="I676" s="152">
        <v>0</v>
      </c>
      <c r="J676" s="152">
        <v>0</v>
      </c>
      <c r="K676" s="152">
        <v>0</v>
      </c>
      <c r="L676" s="261">
        <v>107096</v>
      </c>
    </row>
    <row r="677" spans="1:12" x14ac:dyDescent="0.25">
      <c r="A677" s="140" t="s">
        <v>226</v>
      </c>
      <c r="B677" s="142" t="s">
        <v>227</v>
      </c>
      <c r="C677" s="139">
        <v>171</v>
      </c>
      <c r="D677" s="139" t="s">
        <v>122</v>
      </c>
      <c r="E677" s="261">
        <v>1823009</v>
      </c>
      <c r="F677" s="261">
        <v>1710342</v>
      </c>
      <c r="G677" s="287" t="s">
        <v>570</v>
      </c>
      <c r="H677" s="261">
        <v>112667</v>
      </c>
      <c r="I677" s="152">
        <v>0</v>
      </c>
      <c r="J677" s="152">
        <v>0</v>
      </c>
      <c r="K677" s="152">
        <v>0</v>
      </c>
      <c r="L677" s="261">
        <v>112667</v>
      </c>
    </row>
    <row r="678" spans="1:12" x14ac:dyDescent="0.25">
      <c r="A678" s="140" t="s">
        <v>291</v>
      </c>
      <c r="B678" s="142" t="s">
        <v>292</v>
      </c>
      <c r="C678" s="139">
        <v>58</v>
      </c>
      <c r="D678" s="139" t="s">
        <v>122</v>
      </c>
      <c r="E678" s="261">
        <v>2981606</v>
      </c>
      <c r="F678" s="261">
        <v>2966560</v>
      </c>
      <c r="G678" s="287" t="s">
        <v>570</v>
      </c>
      <c r="H678" s="261">
        <v>15046</v>
      </c>
      <c r="I678" s="152">
        <v>0</v>
      </c>
      <c r="J678" s="152">
        <v>0</v>
      </c>
      <c r="K678" s="152">
        <v>0</v>
      </c>
      <c r="L678" s="261">
        <v>15046</v>
      </c>
    </row>
    <row r="679" spans="1:12" x14ac:dyDescent="0.25">
      <c r="A679" s="140" t="s">
        <v>262</v>
      </c>
      <c r="B679" s="142" t="s">
        <v>263</v>
      </c>
      <c r="C679" s="139">
        <v>308</v>
      </c>
      <c r="D679" s="139" t="s">
        <v>122</v>
      </c>
      <c r="E679" s="261">
        <v>68777</v>
      </c>
      <c r="F679" s="261">
        <v>28480</v>
      </c>
      <c r="G679" s="287" t="s">
        <v>570</v>
      </c>
      <c r="H679" s="261">
        <v>40297</v>
      </c>
      <c r="I679" s="152">
        <v>0</v>
      </c>
      <c r="J679" s="152">
        <v>0</v>
      </c>
      <c r="K679" s="152">
        <v>0</v>
      </c>
      <c r="L679" s="261">
        <v>40297</v>
      </c>
    </row>
    <row r="680" spans="1:12" x14ac:dyDescent="0.25">
      <c r="A680" s="140" t="s">
        <v>230</v>
      </c>
      <c r="B680" s="142" t="s">
        <v>210</v>
      </c>
      <c r="C680" s="139">
        <v>260</v>
      </c>
      <c r="D680" s="139" t="s">
        <v>122</v>
      </c>
      <c r="E680" s="261">
        <v>19666966</v>
      </c>
      <c r="F680" s="261">
        <v>18822233</v>
      </c>
      <c r="G680" s="287" t="s">
        <v>570</v>
      </c>
      <c r="H680" s="261">
        <v>844733</v>
      </c>
      <c r="I680" s="261">
        <v>874947</v>
      </c>
      <c r="J680" s="261">
        <v>874947</v>
      </c>
      <c r="K680" s="152">
        <v>0</v>
      </c>
      <c r="L680" s="261">
        <v>844733</v>
      </c>
    </row>
    <row r="681" spans="1:12" ht="30.75" x14ac:dyDescent="0.25">
      <c r="A681" s="140" t="s">
        <v>244</v>
      </c>
      <c r="B681" s="142" t="s">
        <v>245</v>
      </c>
      <c r="C681" s="139">
        <v>346</v>
      </c>
      <c r="D681" s="139" t="s">
        <v>122</v>
      </c>
      <c r="E681" s="261">
        <v>6162</v>
      </c>
      <c r="F681" s="261">
        <v>4027</v>
      </c>
      <c r="G681" s="287" t="s">
        <v>570</v>
      </c>
      <c r="H681" s="261">
        <v>2135</v>
      </c>
      <c r="I681" s="152">
        <v>0</v>
      </c>
      <c r="J681" s="152">
        <v>0</v>
      </c>
      <c r="K681" s="152">
        <v>0</v>
      </c>
      <c r="L681" s="261">
        <v>2135</v>
      </c>
    </row>
    <row r="682" spans="1:12" ht="30.75" x14ac:dyDescent="0.25">
      <c r="A682" s="140" t="s">
        <v>233</v>
      </c>
      <c r="B682" s="142" t="s">
        <v>234</v>
      </c>
      <c r="C682" s="139">
        <v>351</v>
      </c>
      <c r="D682" s="139" t="s">
        <v>122</v>
      </c>
      <c r="E682" s="261">
        <v>49627</v>
      </c>
      <c r="F682" s="261">
        <v>46027</v>
      </c>
      <c r="G682" s="287" t="s">
        <v>570</v>
      </c>
      <c r="H682" s="261">
        <v>3600</v>
      </c>
      <c r="I682" s="152">
        <v>0</v>
      </c>
      <c r="J682" s="152">
        <v>0</v>
      </c>
      <c r="K682" s="152">
        <v>0</v>
      </c>
      <c r="L682" s="261">
        <v>3600</v>
      </c>
    </row>
    <row r="683" spans="1:12" x14ac:dyDescent="0.25">
      <c r="A683" s="140" t="s">
        <v>283</v>
      </c>
      <c r="B683" s="142" t="s">
        <v>284</v>
      </c>
      <c r="C683" s="139">
        <v>269</v>
      </c>
      <c r="D683" s="139" t="s">
        <v>123</v>
      </c>
      <c r="E683" s="261">
        <v>11498</v>
      </c>
      <c r="F683" s="261">
        <v>10225</v>
      </c>
      <c r="G683" s="287" t="s">
        <v>570</v>
      </c>
      <c r="H683" s="261">
        <f t="shared" ref="H683:H714" si="12">E683-F683</f>
        <v>1273</v>
      </c>
      <c r="I683" s="152">
        <v>0</v>
      </c>
      <c r="J683" s="152">
        <v>0</v>
      </c>
      <c r="K683" s="152">
        <f t="shared" ref="K683:K746" si="13">I683-J683</f>
        <v>0</v>
      </c>
      <c r="L683" s="261">
        <f t="shared" ref="L683:L746" si="14">H683-K683</f>
        <v>1273</v>
      </c>
    </row>
    <row r="684" spans="1:12" ht="30.75" x14ac:dyDescent="0.25">
      <c r="A684" s="140" t="s">
        <v>313</v>
      </c>
      <c r="B684" s="142" t="s">
        <v>314</v>
      </c>
      <c r="C684" s="139">
        <v>179</v>
      </c>
      <c r="D684" s="139" t="s">
        <v>123</v>
      </c>
      <c r="E684" s="261">
        <v>35823</v>
      </c>
      <c r="F684" s="261">
        <v>35823</v>
      </c>
      <c r="G684" s="287" t="s">
        <v>570</v>
      </c>
      <c r="H684" s="152">
        <f t="shared" si="12"/>
        <v>0</v>
      </c>
      <c r="I684" s="261">
        <v>1728</v>
      </c>
      <c r="J684" s="152">
        <v>0</v>
      </c>
      <c r="K684" s="261">
        <f t="shared" si="13"/>
        <v>1728</v>
      </c>
      <c r="L684" s="261">
        <f t="shared" si="14"/>
        <v>-1728</v>
      </c>
    </row>
    <row r="685" spans="1:12" ht="30.75" x14ac:dyDescent="0.25">
      <c r="A685" s="140" t="s">
        <v>315</v>
      </c>
      <c r="B685" s="142" t="s">
        <v>198</v>
      </c>
      <c r="C685" s="139">
        <v>221</v>
      </c>
      <c r="D685" s="139" t="s">
        <v>123</v>
      </c>
      <c r="E685" s="261">
        <v>6550640</v>
      </c>
      <c r="F685" s="261">
        <v>6550640</v>
      </c>
      <c r="G685" s="287" t="s">
        <v>570</v>
      </c>
      <c r="H685" s="152">
        <f t="shared" si="12"/>
        <v>0</v>
      </c>
      <c r="I685" s="261">
        <v>11682</v>
      </c>
      <c r="J685" s="261">
        <v>1131</v>
      </c>
      <c r="K685" s="261">
        <f t="shared" si="13"/>
        <v>10551</v>
      </c>
      <c r="L685" s="261">
        <f t="shared" si="14"/>
        <v>-10551</v>
      </c>
    </row>
    <row r="686" spans="1:12" ht="30.75" x14ac:dyDescent="0.25">
      <c r="A686" s="140" t="s">
        <v>277</v>
      </c>
      <c r="B686" s="142" t="s">
        <v>272</v>
      </c>
      <c r="C686" s="139">
        <v>348</v>
      </c>
      <c r="D686" s="139" t="s">
        <v>123</v>
      </c>
      <c r="E686" s="261">
        <v>45784627</v>
      </c>
      <c r="F686" s="261">
        <v>40536570</v>
      </c>
      <c r="G686" s="287" t="s">
        <v>570</v>
      </c>
      <c r="H686" s="261">
        <f t="shared" si="12"/>
        <v>5248057</v>
      </c>
      <c r="I686" s="152">
        <v>0</v>
      </c>
      <c r="J686" s="152">
        <v>0</v>
      </c>
      <c r="K686" s="152">
        <f t="shared" si="13"/>
        <v>0</v>
      </c>
      <c r="L686" s="261">
        <f t="shared" si="14"/>
        <v>5248057</v>
      </c>
    </row>
    <row r="687" spans="1:12" ht="30.75" x14ac:dyDescent="0.25">
      <c r="A687" s="140" t="s">
        <v>265</v>
      </c>
      <c r="B687" s="142" t="s">
        <v>266</v>
      </c>
      <c r="C687" s="139">
        <v>286</v>
      </c>
      <c r="D687" s="139" t="s">
        <v>123</v>
      </c>
      <c r="E687" s="261">
        <v>84930</v>
      </c>
      <c r="F687" s="261">
        <v>83406</v>
      </c>
      <c r="G687" s="287" t="s">
        <v>570</v>
      </c>
      <c r="H687" s="261">
        <f t="shared" si="12"/>
        <v>1524</v>
      </c>
      <c r="I687" s="152">
        <v>0</v>
      </c>
      <c r="J687" s="152">
        <v>0</v>
      </c>
      <c r="K687" s="152">
        <f t="shared" si="13"/>
        <v>0</v>
      </c>
      <c r="L687" s="261">
        <f t="shared" si="14"/>
        <v>1524</v>
      </c>
    </row>
    <row r="688" spans="1:12" ht="30.75" x14ac:dyDescent="0.25">
      <c r="A688" s="140" t="s">
        <v>189</v>
      </c>
      <c r="B688" s="142" t="s">
        <v>190</v>
      </c>
      <c r="C688" s="139">
        <v>172</v>
      </c>
      <c r="D688" s="139" t="s">
        <v>123</v>
      </c>
      <c r="E688" s="261">
        <v>862291</v>
      </c>
      <c r="F688" s="261">
        <v>862291</v>
      </c>
      <c r="G688" s="287" t="s">
        <v>570</v>
      </c>
      <c r="H688" s="152">
        <f t="shared" si="12"/>
        <v>0</v>
      </c>
      <c r="I688" s="261">
        <v>8341</v>
      </c>
      <c r="J688" s="152">
        <v>0</v>
      </c>
      <c r="K688" s="261">
        <f t="shared" si="13"/>
        <v>8341</v>
      </c>
      <c r="L688" s="261">
        <f t="shared" si="14"/>
        <v>-8341</v>
      </c>
    </row>
    <row r="689" spans="1:12" ht="45.75" x14ac:dyDescent="0.25">
      <c r="A689" s="140" t="s">
        <v>197</v>
      </c>
      <c r="B689" s="142" t="s">
        <v>198</v>
      </c>
      <c r="C689" s="139">
        <v>272</v>
      </c>
      <c r="D689" s="139" t="s">
        <v>123</v>
      </c>
      <c r="E689" s="261">
        <v>3836796</v>
      </c>
      <c r="F689" s="261">
        <v>3836796</v>
      </c>
      <c r="G689" s="287" t="s">
        <v>570</v>
      </c>
      <c r="H689" s="152">
        <f t="shared" si="12"/>
        <v>0</v>
      </c>
      <c r="I689" s="261">
        <v>232908</v>
      </c>
      <c r="J689" s="261">
        <v>228852</v>
      </c>
      <c r="K689" s="261">
        <f t="shared" si="13"/>
        <v>4056</v>
      </c>
      <c r="L689" s="261">
        <f t="shared" si="14"/>
        <v>-4056</v>
      </c>
    </row>
    <row r="690" spans="1:12" ht="60.75" x14ac:dyDescent="0.25">
      <c r="A690" s="140" t="s">
        <v>298</v>
      </c>
      <c r="B690" s="142" t="s">
        <v>299</v>
      </c>
      <c r="C690" s="139">
        <v>291</v>
      </c>
      <c r="D690" s="139" t="s">
        <v>123</v>
      </c>
      <c r="E690" s="261">
        <v>278636</v>
      </c>
      <c r="F690" s="261">
        <v>243156</v>
      </c>
      <c r="G690" s="287" t="s">
        <v>570</v>
      </c>
      <c r="H690" s="261">
        <f t="shared" si="12"/>
        <v>35480</v>
      </c>
      <c r="I690" s="152">
        <v>0</v>
      </c>
      <c r="J690" s="152">
        <v>0</v>
      </c>
      <c r="K690" s="152">
        <f t="shared" si="13"/>
        <v>0</v>
      </c>
      <c r="L690" s="261">
        <f t="shared" si="14"/>
        <v>35480</v>
      </c>
    </row>
    <row r="691" spans="1:12" x14ac:dyDescent="0.25">
      <c r="A691" s="140" t="s">
        <v>205</v>
      </c>
      <c r="B691" s="142" t="s">
        <v>206</v>
      </c>
      <c r="C691" s="139">
        <v>183</v>
      </c>
      <c r="D691" s="139" t="s">
        <v>123</v>
      </c>
      <c r="E691" s="261">
        <v>973469</v>
      </c>
      <c r="F691" s="261">
        <v>973469</v>
      </c>
      <c r="G691" s="287" t="s">
        <v>570</v>
      </c>
      <c r="H691" s="152">
        <f t="shared" si="12"/>
        <v>0</v>
      </c>
      <c r="I691" s="261">
        <v>4109</v>
      </c>
      <c r="J691" s="261">
        <v>2598</v>
      </c>
      <c r="K691" s="261">
        <f t="shared" si="13"/>
        <v>1511</v>
      </c>
      <c r="L691" s="261">
        <f t="shared" si="14"/>
        <v>-1511</v>
      </c>
    </row>
    <row r="692" spans="1:12" x14ac:dyDescent="0.25">
      <c r="A692" s="140" t="s">
        <v>237</v>
      </c>
      <c r="B692" s="142" t="s">
        <v>238</v>
      </c>
      <c r="C692" s="139">
        <v>251</v>
      </c>
      <c r="D692" s="139" t="s">
        <v>123</v>
      </c>
      <c r="E692" s="261">
        <v>410381</v>
      </c>
      <c r="F692" s="261">
        <v>410381</v>
      </c>
      <c r="G692" s="287" t="s">
        <v>570</v>
      </c>
      <c r="H692" s="152">
        <f t="shared" si="12"/>
        <v>0</v>
      </c>
      <c r="I692" s="261">
        <v>13269</v>
      </c>
      <c r="J692" s="152">
        <v>0</v>
      </c>
      <c r="K692" s="261">
        <f t="shared" si="13"/>
        <v>13269</v>
      </c>
      <c r="L692" s="261">
        <f t="shared" si="14"/>
        <v>-13269</v>
      </c>
    </row>
    <row r="693" spans="1:12" ht="45.75" x14ac:dyDescent="0.25">
      <c r="A693" s="140" t="s">
        <v>316</v>
      </c>
      <c r="B693" s="142" t="s">
        <v>317</v>
      </c>
      <c r="C693" s="139">
        <v>225</v>
      </c>
      <c r="D693" s="139" t="s">
        <v>123</v>
      </c>
      <c r="E693" s="261">
        <v>7701246</v>
      </c>
      <c r="F693" s="261">
        <v>7701246</v>
      </c>
      <c r="G693" s="287" t="s">
        <v>570</v>
      </c>
      <c r="H693" s="152">
        <f t="shared" si="12"/>
        <v>0</v>
      </c>
      <c r="I693" s="261">
        <v>2282478</v>
      </c>
      <c r="J693" s="261">
        <v>2230738</v>
      </c>
      <c r="K693" s="261">
        <f t="shared" si="13"/>
        <v>51740</v>
      </c>
      <c r="L693" s="261">
        <f t="shared" si="14"/>
        <v>-51740</v>
      </c>
    </row>
    <row r="694" spans="1:12" x14ac:dyDescent="0.25">
      <c r="A694" s="140" t="s">
        <v>207</v>
      </c>
      <c r="B694" s="142" t="s">
        <v>208</v>
      </c>
      <c r="C694" s="139">
        <v>192</v>
      </c>
      <c r="D694" s="139" t="s">
        <v>123</v>
      </c>
      <c r="E694" s="261">
        <v>326816</v>
      </c>
      <c r="F694" s="261">
        <v>326816</v>
      </c>
      <c r="G694" s="287" t="s">
        <v>570</v>
      </c>
      <c r="H694" s="152">
        <f t="shared" si="12"/>
        <v>0</v>
      </c>
      <c r="I694" s="261">
        <v>28443</v>
      </c>
      <c r="J694" s="261">
        <v>16875</v>
      </c>
      <c r="K694" s="261">
        <f t="shared" si="13"/>
        <v>11568</v>
      </c>
      <c r="L694" s="261">
        <f t="shared" si="14"/>
        <v>-11568</v>
      </c>
    </row>
    <row r="695" spans="1:12" x14ac:dyDescent="0.25">
      <c r="A695" s="140" t="s">
        <v>300</v>
      </c>
      <c r="B695" s="142" t="s">
        <v>210</v>
      </c>
      <c r="C695" s="139">
        <v>26</v>
      </c>
      <c r="D695" s="139" t="s">
        <v>123</v>
      </c>
      <c r="E695" s="261">
        <v>32114075</v>
      </c>
      <c r="F695" s="261">
        <v>29994233</v>
      </c>
      <c r="G695" s="287" t="s">
        <v>570</v>
      </c>
      <c r="H695" s="261">
        <f t="shared" si="12"/>
        <v>2119842</v>
      </c>
      <c r="I695" s="261">
        <v>1642371</v>
      </c>
      <c r="J695" s="152">
        <v>0</v>
      </c>
      <c r="K695" s="261">
        <f t="shared" si="13"/>
        <v>1642371</v>
      </c>
      <c r="L695" s="261">
        <f t="shared" si="14"/>
        <v>477471</v>
      </c>
    </row>
    <row r="696" spans="1:12" ht="30.75" x14ac:dyDescent="0.25">
      <c r="A696" s="140" t="s">
        <v>318</v>
      </c>
      <c r="B696" s="142" t="s">
        <v>210</v>
      </c>
      <c r="C696" s="139">
        <v>296</v>
      </c>
      <c r="D696" s="139" t="s">
        <v>123</v>
      </c>
      <c r="E696" s="261">
        <v>74192532</v>
      </c>
      <c r="F696" s="261">
        <v>69857272</v>
      </c>
      <c r="G696" s="287" t="s">
        <v>570</v>
      </c>
      <c r="H696" s="261">
        <f t="shared" si="12"/>
        <v>4335260</v>
      </c>
      <c r="I696" s="152">
        <v>0</v>
      </c>
      <c r="J696" s="152">
        <v>0</v>
      </c>
      <c r="K696" s="152">
        <f t="shared" si="13"/>
        <v>0</v>
      </c>
      <c r="L696" s="261">
        <f t="shared" si="14"/>
        <v>4335260</v>
      </c>
    </row>
    <row r="697" spans="1:12" ht="30.75" x14ac:dyDescent="0.25">
      <c r="A697" s="140" t="s">
        <v>209</v>
      </c>
      <c r="B697" s="142" t="s">
        <v>210</v>
      </c>
      <c r="C697" s="139">
        <v>297</v>
      </c>
      <c r="D697" s="139" t="s">
        <v>123</v>
      </c>
      <c r="E697" s="261">
        <v>98984746</v>
      </c>
      <c r="F697" s="261">
        <v>88044270</v>
      </c>
      <c r="G697" s="287" t="s">
        <v>570</v>
      </c>
      <c r="H697" s="261">
        <f t="shared" si="12"/>
        <v>10940476</v>
      </c>
      <c r="I697" s="152">
        <v>0</v>
      </c>
      <c r="J697" s="152">
        <v>0</v>
      </c>
      <c r="K697" s="152">
        <f t="shared" si="13"/>
        <v>0</v>
      </c>
      <c r="L697" s="261">
        <f t="shared" si="14"/>
        <v>10940476</v>
      </c>
    </row>
    <row r="698" spans="1:12" x14ac:dyDescent="0.25">
      <c r="A698" s="140" t="s">
        <v>211</v>
      </c>
      <c r="B698" s="142" t="s">
        <v>212</v>
      </c>
      <c r="C698" s="139">
        <v>166</v>
      </c>
      <c r="D698" s="139" t="s">
        <v>123</v>
      </c>
      <c r="E698" s="261">
        <v>6520086</v>
      </c>
      <c r="F698" s="261">
        <v>6520086</v>
      </c>
      <c r="G698" s="287" t="s">
        <v>570</v>
      </c>
      <c r="H698" s="152">
        <f t="shared" si="12"/>
        <v>0</v>
      </c>
      <c r="I698" s="261">
        <v>86788</v>
      </c>
      <c r="J698" s="261">
        <v>11989</v>
      </c>
      <c r="K698" s="261">
        <f t="shared" si="13"/>
        <v>74799</v>
      </c>
      <c r="L698" s="261">
        <f t="shared" si="14"/>
        <v>-74799</v>
      </c>
    </row>
    <row r="699" spans="1:12" x14ac:dyDescent="0.25">
      <c r="A699" s="140" t="s">
        <v>255</v>
      </c>
      <c r="B699" s="142" t="s">
        <v>256</v>
      </c>
      <c r="C699" s="139">
        <v>268</v>
      </c>
      <c r="D699" s="139" t="s">
        <v>123</v>
      </c>
      <c r="E699" s="261">
        <v>3860641</v>
      </c>
      <c r="F699" s="261">
        <v>3406080</v>
      </c>
      <c r="G699" s="287" t="s">
        <v>570</v>
      </c>
      <c r="H699" s="261">
        <f t="shared" si="12"/>
        <v>454561</v>
      </c>
      <c r="I699" s="152">
        <v>0</v>
      </c>
      <c r="J699" s="152">
        <v>0</v>
      </c>
      <c r="K699" s="152">
        <f t="shared" si="13"/>
        <v>0</v>
      </c>
      <c r="L699" s="261">
        <f t="shared" si="14"/>
        <v>454561</v>
      </c>
    </row>
    <row r="700" spans="1:12" x14ac:dyDescent="0.25">
      <c r="A700" s="140" t="s">
        <v>213</v>
      </c>
      <c r="B700" s="142" t="s">
        <v>214</v>
      </c>
      <c r="C700" s="139">
        <v>32</v>
      </c>
      <c r="D700" s="139" t="s">
        <v>123</v>
      </c>
      <c r="E700" s="261">
        <v>3750504</v>
      </c>
      <c r="F700" s="261">
        <v>3750504</v>
      </c>
      <c r="G700" s="287" t="s">
        <v>570</v>
      </c>
      <c r="H700" s="152">
        <f t="shared" si="12"/>
        <v>0</v>
      </c>
      <c r="I700" s="261">
        <v>7395</v>
      </c>
      <c r="J700" s="261">
        <v>5028</v>
      </c>
      <c r="K700" s="261">
        <f t="shared" si="13"/>
        <v>2367</v>
      </c>
      <c r="L700" s="261">
        <f t="shared" si="14"/>
        <v>-2367</v>
      </c>
    </row>
    <row r="701" spans="1:12" x14ac:dyDescent="0.25">
      <c r="A701" s="140" t="s">
        <v>273</v>
      </c>
      <c r="B701" s="142" t="s">
        <v>216</v>
      </c>
      <c r="C701" s="139">
        <v>230</v>
      </c>
      <c r="D701" s="139" t="s">
        <v>123</v>
      </c>
      <c r="E701" s="261">
        <v>4852850</v>
      </c>
      <c r="F701" s="261">
        <v>4852850</v>
      </c>
      <c r="G701" s="287" t="s">
        <v>570</v>
      </c>
      <c r="H701" s="152">
        <f t="shared" si="12"/>
        <v>0</v>
      </c>
      <c r="I701" s="261">
        <v>4855</v>
      </c>
      <c r="J701" s="261">
        <v>3446</v>
      </c>
      <c r="K701" s="261">
        <f t="shared" si="13"/>
        <v>1409</v>
      </c>
      <c r="L701" s="261">
        <f t="shared" si="14"/>
        <v>-1409</v>
      </c>
    </row>
    <row r="702" spans="1:12" x14ac:dyDescent="0.25">
      <c r="A702" s="140" t="s">
        <v>67</v>
      </c>
      <c r="B702" s="142" t="s">
        <v>68</v>
      </c>
      <c r="C702" s="139">
        <v>42</v>
      </c>
      <c r="D702" s="139" t="s">
        <v>123</v>
      </c>
      <c r="E702" s="261">
        <v>16145396</v>
      </c>
      <c r="F702" s="261">
        <v>16145396</v>
      </c>
      <c r="G702" s="287" t="s">
        <v>570</v>
      </c>
      <c r="H702" s="152">
        <f t="shared" si="12"/>
        <v>0</v>
      </c>
      <c r="I702" s="261">
        <v>182770</v>
      </c>
      <c r="J702" s="261">
        <v>2252</v>
      </c>
      <c r="K702" s="261">
        <f t="shared" si="13"/>
        <v>180518</v>
      </c>
      <c r="L702" s="261">
        <f t="shared" si="14"/>
        <v>-180518</v>
      </c>
    </row>
    <row r="703" spans="1:12" ht="60.75" x14ac:dyDescent="0.25">
      <c r="A703" s="140" t="s">
        <v>296</v>
      </c>
      <c r="B703" s="142" t="s">
        <v>297</v>
      </c>
      <c r="C703" s="139">
        <v>265</v>
      </c>
      <c r="D703" s="139" t="s">
        <v>123</v>
      </c>
      <c r="E703" s="261">
        <v>2009884</v>
      </c>
      <c r="F703" s="261">
        <v>1993510</v>
      </c>
      <c r="G703" s="287" t="s">
        <v>570</v>
      </c>
      <c r="H703" s="261">
        <f t="shared" si="12"/>
        <v>16374</v>
      </c>
      <c r="I703" s="152">
        <v>0</v>
      </c>
      <c r="J703" s="152">
        <v>0</v>
      </c>
      <c r="K703" s="152">
        <f t="shared" si="13"/>
        <v>0</v>
      </c>
      <c r="L703" s="261">
        <f t="shared" si="14"/>
        <v>16374</v>
      </c>
    </row>
    <row r="704" spans="1:12" x14ac:dyDescent="0.25">
      <c r="A704" s="140" t="s">
        <v>221</v>
      </c>
      <c r="B704" s="142" t="s">
        <v>210</v>
      </c>
      <c r="C704" s="139">
        <v>48</v>
      </c>
      <c r="D704" s="139" t="s">
        <v>123</v>
      </c>
      <c r="E704" s="261">
        <v>9725477</v>
      </c>
      <c r="F704" s="261">
        <v>9725477</v>
      </c>
      <c r="G704" s="287" t="s">
        <v>570</v>
      </c>
      <c r="H704" s="152">
        <f t="shared" si="12"/>
        <v>0</v>
      </c>
      <c r="I704" s="261">
        <v>253984</v>
      </c>
      <c r="J704" s="261">
        <v>193565</v>
      </c>
      <c r="K704" s="261">
        <f t="shared" si="13"/>
        <v>60419</v>
      </c>
      <c r="L704" s="261">
        <f t="shared" si="14"/>
        <v>-60419</v>
      </c>
    </row>
    <row r="705" spans="1:12" ht="30.75" x14ac:dyDescent="0.25">
      <c r="A705" s="140" t="s">
        <v>301</v>
      </c>
      <c r="B705" s="142" t="s">
        <v>202</v>
      </c>
      <c r="C705" s="139">
        <v>150</v>
      </c>
      <c r="D705" s="139" t="s">
        <v>123</v>
      </c>
      <c r="E705" s="261">
        <v>5227141</v>
      </c>
      <c r="F705" s="261">
        <v>5227141</v>
      </c>
      <c r="G705" s="287" t="s">
        <v>570</v>
      </c>
      <c r="H705" s="152">
        <f t="shared" si="12"/>
        <v>0</v>
      </c>
      <c r="I705" s="261">
        <v>1755</v>
      </c>
      <c r="J705" s="152">
        <v>0</v>
      </c>
      <c r="K705" s="261">
        <f t="shared" si="13"/>
        <v>1755</v>
      </c>
      <c r="L705" s="261">
        <f t="shared" si="14"/>
        <v>-1755</v>
      </c>
    </row>
    <row r="706" spans="1:12" ht="30.75" x14ac:dyDescent="0.25">
      <c r="A706" s="140" t="s">
        <v>56</v>
      </c>
      <c r="B706" s="142" t="s">
        <v>57</v>
      </c>
      <c r="C706" s="139">
        <v>218</v>
      </c>
      <c r="D706" s="139" t="s">
        <v>123</v>
      </c>
      <c r="E706" s="261">
        <v>5581677</v>
      </c>
      <c r="F706" s="261">
        <v>5355504</v>
      </c>
      <c r="G706" s="287" t="s">
        <v>570</v>
      </c>
      <c r="H706" s="261">
        <f t="shared" si="12"/>
        <v>226173</v>
      </c>
      <c r="I706" s="152">
        <v>0</v>
      </c>
      <c r="J706" s="152">
        <v>0</v>
      </c>
      <c r="K706" s="152">
        <f t="shared" si="13"/>
        <v>0</v>
      </c>
      <c r="L706" s="261">
        <f t="shared" si="14"/>
        <v>226173</v>
      </c>
    </row>
    <row r="707" spans="1:12" x14ac:dyDescent="0.25">
      <c r="A707" s="140" t="s">
        <v>241</v>
      </c>
      <c r="B707" s="142" t="s">
        <v>242</v>
      </c>
      <c r="C707" s="139">
        <v>173</v>
      </c>
      <c r="D707" s="139" t="s">
        <v>123</v>
      </c>
      <c r="E707" s="261">
        <v>1645083</v>
      </c>
      <c r="F707" s="261">
        <v>1645083</v>
      </c>
      <c r="G707" s="287" t="s">
        <v>570</v>
      </c>
      <c r="H707" s="152">
        <f t="shared" si="12"/>
        <v>0</v>
      </c>
      <c r="I707" s="261">
        <v>16194</v>
      </c>
      <c r="J707" s="261">
        <v>2044</v>
      </c>
      <c r="K707" s="261">
        <f t="shared" si="13"/>
        <v>14150</v>
      </c>
      <c r="L707" s="261">
        <f t="shared" si="14"/>
        <v>-14150</v>
      </c>
    </row>
    <row r="708" spans="1:12" x14ac:dyDescent="0.25">
      <c r="A708" s="140" t="s">
        <v>275</v>
      </c>
      <c r="B708" s="142" t="s">
        <v>276</v>
      </c>
      <c r="C708" s="139">
        <v>335</v>
      </c>
      <c r="D708" s="139" t="s">
        <v>123</v>
      </c>
      <c r="E708" s="261">
        <v>34552</v>
      </c>
      <c r="F708" s="261">
        <v>32163</v>
      </c>
      <c r="G708" s="287" t="s">
        <v>570</v>
      </c>
      <c r="H708" s="261">
        <f t="shared" si="12"/>
        <v>2389</v>
      </c>
      <c r="I708" s="152">
        <v>0</v>
      </c>
      <c r="J708" s="152">
        <v>0</v>
      </c>
      <c r="K708" s="152">
        <f t="shared" si="13"/>
        <v>0</v>
      </c>
      <c r="L708" s="261">
        <f t="shared" si="14"/>
        <v>2389</v>
      </c>
    </row>
    <row r="709" spans="1:12" ht="30.75" x14ac:dyDescent="0.25">
      <c r="A709" s="140" t="s">
        <v>310</v>
      </c>
      <c r="B709" s="142" t="s">
        <v>311</v>
      </c>
      <c r="C709" s="139">
        <v>151</v>
      </c>
      <c r="D709" s="139" t="s">
        <v>123</v>
      </c>
      <c r="E709" s="261">
        <v>284214</v>
      </c>
      <c r="F709" s="261">
        <v>284214</v>
      </c>
      <c r="G709" s="287" t="s">
        <v>570</v>
      </c>
      <c r="H709" s="152">
        <f t="shared" si="12"/>
        <v>0</v>
      </c>
      <c r="I709" s="261">
        <v>21795</v>
      </c>
      <c r="J709" s="152">
        <v>0</v>
      </c>
      <c r="K709" s="261">
        <f t="shared" si="13"/>
        <v>21795</v>
      </c>
      <c r="L709" s="261">
        <f t="shared" si="14"/>
        <v>-21795</v>
      </c>
    </row>
    <row r="710" spans="1:12" x14ac:dyDescent="0.25">
      <c r="A710" s="140" t="s">
        <v>319</v>
      </c>
      <c r="B710" s="142" t="s">
        <v>320</v>
      </c>
      <c r="C710" s="139">
        <v>165</v>
      </c>
      <c r="D710" s="139" t="s">
        <v>123</v>
      </c>
      <c r="E710" s="261">
        <v>2729603</v>
      </c>
      <c r="F710" s="261">
        <v>2729603</v>
      </c>
      <c r="G710" s="287" t="s">
        <v>570</v>
      </c>
      <c r="H710" s="152">
        <f t="shared" si="12"/>
        <v>0</v>
      </c>
      <c r="I710" s="261">
        <v>3259</v>
      </c>
      <c r="J710" s="152">
        <v>0</v>
      </c>
      <c r="K710" s="261">
        <f t="shared" si="13"/>
        <v>3259</v>
      </c>
      <c r="L710" s="261">
        <f t="shared" si="14"/>
        <v>-3259</v>
      </c>
    </row>
    <row r="711" spans="1:12" ht="60.75" x14ac:dyDescent="0.25">
      <c r="A711" s="140" t="s">
        <v>312</v>
      </c>
      <c r="B711" s="142" t="s">
        <v>196</v>
      </c>
      <c r="C711" s="139">
        <v>271</v>
      </c>
      <c r="D711" s="139" t="s">
        <v>123</v>
      </c>
      <c r="E711" s="261">
        <v>3862106</v>
      </c>
      <c r="F711" s="261">
        <v>3774564</v>
      </c>
      <c r="G711" s="287" t="s">
        <v>570</v>
      </c>
      <c r="H711" s="261">
        <f t="shared" si="12"/>
        <v>87542</v>
      </c>
      <c r="I711" s="152">
        <v>0</v>
      </c>
      <c r="J711" s="152">
        <v>0</v>
      </c>
      <c r="K711" s="152">
        <f t="shared" si="13"/>
        <v>0</v>
      </c>
      <c r="L711" s="261">
        <f t="shared" si="14"/>
        <v>87542</v>
      </c>
    </row>
    <row r="712" spans="1:12" ht="60.75" x14ac:dyDescent="0.25">
      <c r="A712" s="140" t="s">
        <v>280</v>
      </c>
      <c r="B712" s="142" t="s">
        <v>281</v>
      </c>
      <c r="C712" s="139">
        <v>329</v>
      </c>
      <c r="D712" s="139" t="s">
        <v>123</v>
      </c>
      <c r="E712" s="261">
        <v>797628</v>
      </c>
      <c r="F712" s="261">
        <v>728354</v>
      </c>
      <c r="G712" s="287" t="s">
        <v>570</v>
      </c>
      <c r="H712" s="261">
        <f t="shared" si="12"/>
        <v>69274</v>
      </c>
      <c r="I712" s="152">
        <v>0</v>
      </c>
      <c r="J712" s="152">
        <v>0</v>
      </c>
      <c r="K712" s="152">
        <f t="shared" si="13"/>
        <v>0</v>
      </c>
      <c r="L712" s="261">
        <f t="shared" si="14"/>
        <v>69274</v>
      </c>
    </row>
    <row r="713" spans="1:12" ht="30.75" x14ac:dyDescent="0.25">
      <c r="A713" s="140" t="s">
        <v>321</v>
      </c>
      <c r="B713" s="142" t="s">
        <v>249</v>
      </c>
      <c r="C713" s="139">
        <v>139</v>
      </c>
      <c r="D713" s="139" t="s">
        <v>123</v>
      </c>
      <c r="E713" s="261">
        <v>357362</v>
      </c>
      <c r="F713" s="261">
        <v>357362</v>
      </c>
      <c r="G713" s="287" t="s">
        <v>570</v>
      </c>
      <c r="H713" s="152">
        <f t="shared" si="12"/>
        <v>0</v>
      </c>
      <c r="I713" s="261">
        <v>160350</v>
      </c>
      <c r="J713" s="261">
        <v>1165</v>
      </c>
      <c r="K713" s="261">
        <f t="shared" si="13"/>
        <v>159185</v>
      </c>
      <c r="L713" s="261">
        <f t="shared" si="14"/>
        <v>-159185</v>
      </c>
    </row>
    <row r="714" spans="1:12" x14ac:dyDescent="0.25">
      <c r="A714" s="140" t="s">
        <v>243</v>
      </c>
      <c r="B714" s="142" t="s">
        <v>229</v>
      </c>
      <c r="C714" s="139">
        <v>244</v>
      </c>
      <c r="D714" s="139" t="s">
        <v>123</v>
      </c>
      <c r="E714" s="261">
        <v>2403492</v>
      </c>
      <c r="F714" s="261">
        <v>2403492</v>
      </c>
      <c r="G714" s="287" t="s">
        <v>570</v>
      </c>
      <c r="H714" s="152">
        <f t="shared" si="12"/>
        <v>0</v>
      </c>
      <c r="I714" s="261">
        <v>141792</v>
      </c>
      <c r="J714" s="261">
        <v>135246</v>
      </c>
      <c r="K714" s="261">
        <f t="shared" si="13"/>
        <v>6546</v>
      </c>
      <c r="L714" s="261">
        <f t="shared" si="14"/>
        <v>-6546</v>
      </c>
    </row>
    <row r="715" spans="1:12" x14ac:dyDescent="0.25">
      <c r="A715" s="140" t="s">
        <v>259</v>
      </c>
      <c r="B715" s="142" t="s">
        <v>210</v>
      </c>
      <c r="C715" s="139">
        <v>280</v>
      </c>
      <c r="D715" s="139" t="s">
        <v>123</v>
      </c>
      <c r="E715" s="261">
        <v>6645</v>
      </c>
      <c r="F715" s="261">
        <v>5582</v>
      </c>
      <c r="G715" s="287" t="s">
        <v>570</v>
      </c>
      <c r="H715" s="261">
        <f t="shared" ref="H715:H746" si="15">E715-F715</f>
        <v>1063</v>
      </c>
      <c r="I715" s="152">
        <v>0</v>
      </c>
      <c r="J715" s="152">
        <v>0</v>
      </c>
      <c r="K715" s="152">
        <f t="shared" si="13"/>
        <v>0</v>
      </c>
      <c r="L715" s="261">
        <f t="shared" si="14"/>
        <v>1063</v>
      </c>
    </row>
    <row r="716" spans="1:12" ht="30.75" x14ac:dyDescent="0.25">
      <c r="A716" s="140" t="s">
        <v>282</v>
      </c>
      <c r="B716" s="142" t="s">
        <v>196</v>
      </c>
      <c r="C716" s="139">
        <v>176</v>
      </c>
      <c r="D716" s="139" t="s">
        <v>123</v>
      </c>
      <c r="E716" s="261">
        <v>2348778</v>
      </c>
      <c r="F716" s="261">
        <v>2348778</v>
      </c>
      <c r="G716" s="287" t="s">
        <v>570</v>
      </c>
      <c r="H716" s="152">
        <f t="shared" si="15"/>
        <v>0</v>
      </c>
      <c r="I716" s="261">
        <v>14847</v>
      </c>
      <c r="J716" s="261">
        <v>6905</v>
      </c>
      <c r="K716" s="261">
        <f t="shared" si="13"/>
        <v>7942</v>
      </c>
      <c r="L716" s="261">
        <f t="shared" si="14"/>
        <v>-7942</v>
      </c>
    </row>
    <row r="717" spans="1:12" x14ac:dyDescent="0.25">
      <c r="A717" s="140" t="s">
        <v>289</v>
      </c>
      <c r="B717" s="142" t="s">
        <v>290</v>
      </c>
      <c r="C717" s="139">
        <v>57</v>
      </c>
      <c r="D717" s="139" t="s">
        <v>123</v>
      </c>
      <c r="E717" s="261">
        <v>1056561</v>
      </c>
      <c r="F717" s="261">
        <v>1000245</v>
      </c>
      <c r="G717" s="287" t="s">
        <v>570</v>
      </c>
      <c r="H717" s="261">
        <f t="shared" si="15"/>
        <v>56316</v>
      </c>
      <c r="I717" s="152">
        <v>0</v>
      </c>
      <c r="J717" s="152">
        <v>0</v>
      </c>
      <c r="K717" s="152">
        <f t="shared" si="13"/>
        <v>0</v>
      </c>
      <c r="L717" s="261">
        <f t="shared" si="14"/>
        <v>56316</v>
      </c>
    </row>
    <row r="718" spans="1:12" x14ac:dyDescent="0.25">
      <c r="A718" s="140" t="s">
        <v>226</v>
      </c>
      <c r="B718" s="142" t="s">
        <v>227</v>
      </c>
      <c r="C718" s="139">
        <v>171</v>
      </c>
      <c r="D718" s="139" t="s">
        <v>123</v>
      </c>
      <c r="E718" s="261">
        <v>3389554</v>
      </c>
      <c r="F718" s="261">
        <v>3389554</v>
      </c>
      <c r="G718" s="287" t="s">
        <v>570</v>
      </c>
      <c r="H718" s="152">
        <f t="shared" si="15"/>
        <v>0</v>
      </c>
      <c r="I718" s="261">
        <v>93191</v>
      </c>
      <c r="J718" s="261">
        <v>1158</v>
      </c>
      <c r="K718" s="261">
        <f t="shared" si="13"/>
        <v>92033</v>
      </c>
      <c r="L718" s="261">
        <f t="shared" si="14"/>
        <v>-92033</v>
      </c>
    </row>
    <row r="719" spans="1:12" ht="30.75" x14ac:dyDescent="0.25">
      <c r="A719" s="140" t="s">
        <v>322</v>
      </c>
      <c r="B719" s="142" t="s">
        <v>229</v>
      </c>
      <c r="C719" s="139">
        <v>211</v>
      </c>
      <c r="D719" s="139" t="s">
        <v>123</v>
      </c>
      <c r="E719" s="261">
        <v>2257308</v>
      </c>
      <c r="F719" s="261">
        <v>2257308</v>
      </c>
      <c r="G719" s="287" t="s">
        <v>570</v>
      </c>
      <c r="H719" s="152">
        <f t="shared" si="15"/>
        <v>0</v>
      </c>
      <c r="I719" s="261">
        <v>23731</v>
      </c>
      <c r="J719" s="261">
        <v>2908</v>
      </c>
      <c r="K719" s="261">
        <f t="shared" si="13"/>
        <v>20823</v>
      </c>
      <c r="L719" s="261">
        <f t="shared" si="14"/>
        <v>-20823</v>
      </c>
    </row>
    <row r="720" spans="1:12" x14ac:dyDescent="0.25">
      <c r="A720" s="140" t="s">
        <v>291</v>
      </c>
      <c r="B720" s="142" t="s">
        <v>292</v>
      </c>
      <c r="C720" s="139">
        <v>58</v>
      </c>
      <c r="D720" s="139" t="s">
        <v>123</v>
      </c>
      <c r="E720" s="261">
        <v>2736820</v>
      </c>
      <c r="F720" s="261">
        <v>2736820</v>
      </c>
      <c r="G720" s="287" t="s">
        <v>570</v>
      </c>
      <c r="H720" s="152">
        <f t="shared" si="15"/>
        <v>0</v>
      </c>
      <c r="I720" s="261">
        <v>6670</v>
      </c>
      <c r="J720" s="261">
        <v>5607</v>
      </c>
      <c r="K720" s="261">
        <f t="shared" si="13"/>
        <v>1063</v>
      </c>
      <c r="L720" s="261">
        <f t="shared" si="14"/>
        <v>-1063</v>
      </c>
    </row>
    <row r="721" spans="1:12" x14ac:dyDescent="0.25">
      <c r="A721" s="140" t="s">
        <v>262</v>
      </c>
      <c r="B721" s="142" t="s">
        <v>263</v>
      </c>
      <c r="C721" s="139">
        <v>308</v>
      </c>
      <c r="D721" s="139" t="s">
        <v>123</v>
      </c>
      <c r="E721" s="261">
        <v>75037</v>
      </c>
      <c r="F721" s="261">
        <v>67868</v>
      </c>
      <c r="G721" s="287" t="s">
        <v>570</v>
      </c>
      <c r="H721" s="261">
        <f t="shared" si="15"/>
        <v>7169</v>
      </c>
      <c r="I721" s="152">
        <v>0</v>
      </c>
      <c r="J721" s="152">
        <v>0</v>
      </c>
      <c r="K721" s="152">
        <f t="shared" si="13"/>
        <v>0</v>
      </c>
      <c r="L721" s="261">
        <f t="shared" si="14"/>
        <v>7169</v>
      </c>
    </row>
    <row r="722" spans="1:12" x14ac:dyDescent="0.25">
      <c r="A722" s="140" t="s">
        <v>230</v>
      </c>
      <c r="B722" s="142" t="s">
        <v>210</v>
      </c>
      <c r="C722" s="139">
        <v>260</v>
      </c>
      <c r="D722" s="139" t="s">
        <v>123</v>
      </c>
      <c r="E722" s="261">
        <v>16948232</v>
      </c>
      <c r="F722" s="261">
        <v>16421195</v>
      </c>
      <c r="G722" s="287" t="s">
        <v>570</v>
      </c>
      <c r="H722" s="261">
        <f t="shared" si="15"/>
        <v>527037</v>
      </c>
      <c r="I722" s="261">
        <v>857594</v>
      </c>
      <c r="J722" s="261">
        <v>857594</v>
      </c>
      <c r="K722" s="152">
        <f t="shared" si="13"/>
        <v>0</v>
      </c>
      <c r="L722" s="261">
        <f t="shared" si="14"/>
        <v>527037</v>
      </c>
    </row>
    <row r="723" spans="1:12" ht="30.75" x14ac:dyDescent="0.25">
      <c r="A723" s="140" t="s">
        <v>277</v>
      </c>
      <c r="B723" s="142" t="s">
        <v>272</v>
      </c>
      <c r="C723" s="139">
        <v>348</v>
      </c>
      <c r="D723" s="139" t="s">
        <v>36</v>
      </c>
      <c r="E723" s="261">
        <v>43152140</v>
      </c>
      <c r="F723" s="261">
        <v>38771342</v>
      </c>
      <c r="G723" s="287" t="s">
        <v>570</v>
      </c>
      <c r="H723" s="261">
        <f t="shared" si="15"/>
        <v>4380798</v>
      </c>
      <c r="I723" s="152">
        <v>0</v>
      </c>
      <c r="J723" s="152">
        <v>0</v>
      </c>
      <c r="K723" s="152">
        <f t="shared" si="13"/>
        <v>0</v>
      </c>
      <c r="L723" s="261">
        <f t="shared" si="14"/>
        <v>4380798</v>
      </c>
    </row>
    <row r="724" spans="1:12" ht="30.75" x14ac:dyDescent="0.25">
      <c r="A724" s="140" t="s">
        <v>191</v>
      </c>
      <c r="B724" s="142" t="s">
        <v>192</v>
      </c>
      <c r="C724" s="139">
        <v>11</v>
      </c>
      <c r="D724" s="139" t="s">
        <v>36</v>
      </c>
      <c r="E724" s="261">
        <v>28107019</v>
      </c>
      <c r="F724" s="261">
        <v>28107019</v>
      </c>
      <c r="G724" s="287" t="s">
        <v>570</v>
      </c>
      <c r="H724" s="152">
        <f t="shared" si="15"/>
        <v>0</v>
      </c>
      <c r="I724" s="261">
        <v>517475</v>
      </c>
      <c r="J724" s="261">
        <v>433247</v>
      </c>
      <c r="K724" s="261">
        <f t="shared" si="13"/>
        <v>84228</v>
      </c>
      <c r="L724" s="261">
        <f t="shared" si="14"/>
        <v>-84228</v>
      </c>
    </row>
    <row r="725" spans="1:12" ht="60.75" x14ac:dyDescent="0.25">
      <c r="A725" s="140" t="s">
        <v>298</v>
      </c>
      <c r="B725" s="142" t="s">
        <v>299</v>
      </c>
      <c r="C725" s="139">
        <v>291</v>
      </c>
      <c r="D725" s="139" t="s">
        <v>36</v>
      </c>
      <c r="E725" s="261">
        <v>176468</v>
      </c>
      <c r="F725" s="261">
        <v>170016</v>
      </c>
      <c r="G725" s="287" t="s">
        <v>570</v>
      </c>
      <c r="H725" s="261">
        <f t="shared" si="15"/>
        <v>6452</v>
      </c>
      <c r="I725" s="152">
        <v>0</v>
      </c>
      <c r="J725" s="152">
        <v>0</v>
      </c>
      <c r="K725" s="152">
        <f t="shared" si="13"/>
        <v>0</v>
      </c>
      <c r="L725" s="261">
        <f t="shared" si="14"/>
        <v>6452</v>
      </c>
    </row>
    <row r="726" spans="1:12" ht="30.75" x14ac:dyDescent="0.25">
      <c r="A726" s="140" t="s">
        <v>323</v>
      </c>
      <c r="B726" s="142" t="s">
        <v>210</v>
      </c>
      <c r="C726" s="139">
        <v>295</v>
      </c>
      <c r="D726" s="139" t="s">
        <v>36</v>
      </c>
      <c r="E726" s="261">
        <v>169671206</v>
      </c>
      <c r="F726" s="261">
        <v>160619456</v>
      </c>
      <c r="G726" s="287" t="s">
        <v>570</v>
      </c>
      <c r="H726" s="261">
        <f t="shared" si="15"/>
        <v>9051750</v>
      </c>
      <c r="I726" s="152">
        <v>0</v>
      </c>
      <c r="J726" s="152">
        <v>0</v>
      </c>
      <c r="K726" s="152">
        <f t="shared" si="13"/>
        <v>0</v>
      </c>
      <c r="L726" s="261">
        <f t="shared" si="14"/>
        <v>9051750</v>
      </c>
    </row>
    <row r="727" spans="1:12" x14ac:dyDescent="0.25">
      <c r="A727" s="140" t="s">
        <v>211</v>
      </c>
      <c r="B727" s="142" t="s">
        <v>212</v>
      </c>
      <c r="C727" s="139">
        <v>166</v>
      </c>
      <c r="D727" s="139" t="s">
        <v>36</v>
      </c>
      <c r="E727" s="261">
        <v>8305244</v>
      </c>
      <c r="F727" s="261">
        <v>8305244</v>
      </c>
      <c r="G727" s="287" t="s">
        <v>570</v>
      </c>
      <c r="H727" s="152">
        <f t="shared" si="15"/>
        <v>0</v>
      </c>
      <c r="I727" s="261">
        <v>43849</v>
      </c>
      <c r="J727" s="261">
        <v>12058</v>
      </c>
      <c r="K727" s="261">
        <f t="shared" si="13"/>
        <v>31791</v>
      </c>
      <c r="L727" s="261">
        <f t="shared" si="14"/>
        <v>-31791</v>
      </c>
    </row>
    <row r="728" spans="1:12" x14ac:dyDescent="0.25">
      <c r="A728" s="140" t="s">
        <v>255</v>
      </c>
      <c r="B728" s="142" t="s">
        <v>256</v>
      </c>
      <c r="C728" s="139">
        <v>268</v>
      </c>
      <c r="D728" s="139" t="s">
        <v>36</v>
      </c>
      <c r="E728" s="261">
        <v>3060717</v>
      </c>
      <c r="F728" s="261">
        <v>3007132</v>
      </c>
      <c r="G728" s="287" t="s">
        <v>570</v>
      </c>
      <c r="H728" s="261">
        <f t="shared" si="15"/>
        <v>53585</v>
      </c>
      <c r="I728" s="152">
        <v>0</v>
      </c>
      <c r="J728" s="152">
        <v>0</v>
      </c>
      <c r="K728" s="152">
        <f t="shared" si="13"/>
        <v>0</v>
      </c>
      <c r="L728" s="261">
        <f t="shared" si="14"/>
        <v>53585</v>
      </c>
    </row>
    <row r="729" spans="1:12" x14ac:dyDescent="0.25">
      <c r="A729" s="140" t="s">
        <v>221</v>
      </c>
      <c r="B729" s="142" t="s">
        <v>210</v>
      </c>
      <c r="C729" s="139">
        <v>48</v>
      </c>
      <c r="D729" s="139" t="s">
        <v>36</v>
      </c>
      <c r="E729" s="261">
        <v>8765818</v>
      </c>
      <c r="F729" s="261">
        <v>8765818</v>
      </c>
      <c r="G729" s="287" t="s">
        <v>570</v>
      </c>
      <c r="H729" s="152">
        <f t="shared" si="15"/>
        <v>0</v>
      </c>
      <c r="I729" s="261">
        <v>1253345</v>
      </c>
      <c r="J729" s="261">
        <v>405483</v>
      </c>
      <c r="K729" s="261">
        <f t="shared" si="13"/>
        <v>847862</v>
      </c>
      <c r="L729" s="261">
        <f t="shared" si="14"/>
        <v>-847862</v>
      </c>
    </row>
    <row r="730" spans="1:12" ht="30.75" x14ac:dyDescent="0.25">
      <c r="A730" s="140" t="s">
        <v>56</v>
      </c>
      <c r="B730" s="142" t="s">
        <v>57</v>
      </c>
      <c r="C730" s="139">
        <v>218</v>
      </c>
      <c r="D730" s="139" t="s">
        <v>36</v>
      </c>
      <c r="E730" s="261">
        <v>6179610</v>
      </c>
      <c r="F730" s="261">
        <v>6014690</v>
      </c>
      <c r="G730" s="287" t="s">
        <v>570</v>
      </c>
      <c r="H730" s="261">
        <f t="shared" si="15"/>
        <v>164920</v>
      </c>
      <c r="I730" s="152">
        <v>0</v>
      </c>
      <c r="J730" s="152">
        <v>0</v>
      </c>
      <c r="K730" s="152">
        <f t="shared" si="13"/>
        <v>0</v>
      </c>
      <c r="L730" s="261">
        <f t="shared" si="14"/>
        <v>164920</v>
      </c>
    </row>
    <row r="731" spans="1:12" ht="60.75" x14ac:dyDescent="0.25">
      <c r="A731" s="140" t="s">
        <v>312</v>
      </c>
      <c r="B731" s="142" t="s">
        <v>196</v>
      </c>
      <c r="C731" s="139">
        <v>271</v>
      </c>
      <c r="D731" s="139" t="s">
        <v>36</v>
      </c>
      <c r="E731" s="261">
        <v>3544682</v>
      </c>
      <c r="F731" s="261">
        <v>3484857</v>
      </c>
      <c r="G731" s="287" t="s">
        <v>570</v>
      </c>
      <c r="H731" s="261">
        <f t="shared" si="15"/>
        <v>59825</v>
      </c>
      <c r="I731" s="152">
        <v>0</v>
      </c>
      <c r="J731" s="152">
        <v>0</v>
      </c>
      <c r="K731" s="152">
        <f t="shared" si="13"/>
        <v>0</v>
      </c>
      <c r="L731" s="261">
        <f t="shared" si="14"/>
        <v>59825</v>
      </c>
    </row>
    <row r="732" spans="1:12" ht="60.75" x14ac:dyDescent="0.25">
      <c r="A732" s="140" t="s">
        <v>280</v>
      </c>
      <c r="B732" s="142" t="s">
        <v>281</v>
      </c>
      <c r="C732" s="139">
        <v>329</v>
      </c>
      <c r="D732" s="139" t="s">
        <v>36</v>
      </c>
      <c r="E732" s="261">
        <v>862300</v>
      </c>
      <c r="F732" s="261">
        <v>782015</v>
      </c>
      <c r="G732" s="287" t="s">
        <v>570</v>
      </c>
      <c r="H732" s="261">
        <f t="shared" si="15"/>
        <v>80285</v>
      </c>
      <c r="I732" s="152">
        <v>0</v>
      </c>
      <c r="J732" s="152">
        <v>0</v>
      </c>
      <c r="K732" s="152">
        <f t="shared" si="13"/>
        <v>0</v>
      </c>
      <c r="L732" s="261">
        <f t="shared" si="14"/>
        <v>80285</v>
      </c>
    </row>
    <row r="733" spans="1:12" ht="30.75" x14ac:dyDescent="0.25">
      <c r="A733" s="140" t="s">
        <v>321</v>
      </c>
      <c r="B733" s="142" t="s">
        <v>249</v>
      </c>
      <c r="C733" s="139">
        <v>139</v>
      </c>
      <c r="D733" s="139" t="s">
        <v>36</v>
      </c>
      <c r="E733" s="261">
        <v>3233418</v>
      </c>
      <c r="F733" s="261">
        <v>3233418</v>
      </c>
      <c r="G733" s="287" t="s">
        <v>570</v>
      </c>
      <c r="H733" s="152">
        <f t="shared" si="15"/>
        <v>0</v>
      </c>
      <c r="I733" s="261">
        <v>966463</v>
      </c>
      <c r="J733" s="152">
        <v>0</v>
      </c>
      <c r="K733" s="261">
        <f t="shared" si="13"/>
        <v>966463</v>
      </c>
      <c r="L733" s="261">
        <f t="shared" si="14"/>
        <v>-966463</v>
      </c>
    </row>
    <row r="734" spans="1:12" x14ac:dyDescent="0.25">
      <c r="A734" s="140" t="s">
        <v>259</v>
      </c>
      <c r="B734" s="142" t="s">
        <v>210</v>
      </c>
      <c r="C734" s="139">
        <v>280</v>
      </c>
      <c r="D734" s="139" t="s">
        <v>36</v>
      </c>
      <c r="E734" s="261">
        <v>6634</v>
      </c>
      <c r="F734" s="261">
        <v>5624</v>
      </c>
      <c r="G734" s="287" t="s">
        <v>570</v>
      </c>
      <c r="H734" s="261">
        <f t="shared" si="15"/>
        <v>1010</v>
      </c>
      <c r="I734" s="152">
        <v>0</v>
      </c>
      <c r="J734" s="152">
        <v>0</v>
      </c>
      <c r="K734" s="152">
        <f t="shared" si="13"/>
        <v>0</v>
      </c>
      <c r="L734" s="261">
        <f t="shared" si="14"/>
        <v>1010</v>
      </c>
    </row>
    <row r="735" spans="1:12" x14ac:dyDescent="0.25">
      <c r="A735" s="140" t="s">
        <v>289</v>
      </c>
      <c r="B735" s="142" t="s">
        <v>290</v>
      </c>
      <c r="C735" s="139">
        <v>57</v>
      </c>
      <c r="D735" s="139" t="s">
        <v>36</v>
      </c>
      <c r="E735" s="261">
        <v>1112874</v>
      </c>
      <c r="F735" s="261">
        <v>1107374</v>
      </c>
      <c r="G735" s="287" t="s">
        <v>570</v>
      </c>
      <c r="H735" s="261">
        <f t="shared" si="15"/>
        <v>5500</v>
      </c>
      <c r="I735" s="152">
        <v>0</v>
      </c>
      <c r="J735" s="152">
        <v>0</v>
      </c>
      <c r="K735" s="152">
        <f t="shared" si="13"/>
        <v>0</v>
      </c>
      <c r="L735" s="261">
        <f t="shared" si="14"/>
        <v>5500</v>
      </c>
    </row>
    <row r="736" spans="1:12" x14ac:dyDescent="0.25">
      <c r="A736" s="140" t="s">
        <v>324</v>
      </c>
      <c r="B736" s="142" t="s">
        <v>297</v>
      </c>
      <c r="C736" s="139">
        <v>208</v>
      </c>
      <c r="D736" s="139" t="s">
        <v>36</v>
      </c>
      <c r="E736" s="261">
        <v>17151246</v>
      </c>
      <c r="F736" s="261">
        <v>16798479</v>
      </c>
      <c r="G736" s="287" t="s">
        <v>570</v>
      </c>
      <c r="H736" s="261">
        <f t="shared" si="15"/>
        <v>352767</v>
      </c>
      <c r="I736" s="261">
        <v>25091</v>
      </c>
      <c r="J736" s="261">
        <v>25091</v>
      </c>
      <c r="K736" s="152">
        <f t="shared" si="13"/>
        <v>0</v>
      </c>
      <c r="L736" s="261">
        <f t="shared" si="14"/>
        <v>352767</v>
      </c>
    </row>
    <row r="737" spans="1:12" x14ac:dyDescent="0.25">
      <c r="A737" s="140" t="s">
        <v>262</v>
      </c>
      <c r="B737" s="142" t="s">
        <v>263</v>
      </c>
      <c r="C737" s="139">
        <v>308</v>
      </c>
      <c r="D737" s="139" t="s">
        <v>36</v>
      </c>
      <c r="E737" s="261">
        <v>53294</v>
      </c>
      <c r="F737" s="261">
        <v>46597</v>
      </c>
      <c r="G737" s="287" t="s">
        <v>570</v>
      </c>
      <c r="H737" s="261">
        <f t="shared" si="15"/>
        <v>6697</v>
      </c>
      <c r="I737" s="152">
        <v>0</v>
      </c>
      <c r="J737" s="152">
        <v>0</v>
      </c>
      <c r="K737" s="152">
        <f t="shared" si="13"/>
        <v>0</v>
      </c>
      <c r="L737" s="261">
        <f t="shared" si="14"/>
        <v>6697</v>
      </c>
    </row>
    <row r="738" spans="1:12" x14ac:dyDescent="0.25">
      <c r="A738" s="140" t="s">
        <v>230</v>
      </c>
      <c r="B738" s="142" t="s">
        <v>210</v>
      </c>
      <c r="C738" s="139">
        <v>260</v>
      </c>
      <c r="D738" s="139" t="s">
        <v>36</v>
      </c>
      <c r="E738" s="261">
        <v>14398943</v>
      </c>
      <c r="F738" s="261">
        <v>14149465</v>
      </c>
      <c r="G738" s="287" t="s">
        <v>570</v>
      </c>
      <c r="H738" s="261">
        <f t="shared" si="15"/>
        <v>249478</v>
      </c>
      <c r="I738" s="261">
        <v>744918</v>
      </c>
      <c r="J738" s="261">
        <v>744918</v>
      </c>
      <c r="K738" s="152">
        <f t="shared" si="13"/>
        <v>0</v>
      </c>
      <c r="L738" s="261">
        <f t="shared" si="14"/>
        <v>249478</v>
      </c>
    </row>
    <row r="739" spans="1:12" ht="30.75" x14ac:dyDescent="0.25">
      <c r="A739" s="140" t="s">
        <v>277</v>
      </c>
      <c r="B739" s="142" t="s">
        <v>272</v>
      </c>
      <c r="C739" s="139">
        <v>348</v>
      </c>
      <c r="D739" s="139" t="s">
        <v>124</v>
      </c>
      <c r="E739" s="261">
        <v>41363154</v>
      </c>
      <c r="F739" s="261">
        <v>37738313</v>
      </c>
      <c r="G739" s="287" t="s">
        <v>570</v>
      </c>
      <c r="H739" s="261">
        <f t="shared" si="15"/>
        <v>3624841</v>
      </c>
      <c r="I739" s="152">
        <v>0</v>
      </c>
      <c r="J739" s="152">
        <v>0</v>
      </c>
      <c r="K739" s="152">
        <f t="shared" si="13"/>
        <v>0</v>
      </c>
      <c r="L739" s="261">
        <f t="shared" si="14"/>
        <v>3624841</v>
      </c>
    </row>
    <row r="740" spans="1:12" ht="30.75" x14ac:dyDescent="0.25">
      <c r="A740" s="140" t="s">
        <v>191</v>
      </c>
      <c r="B740" s="142" t="s">
        <v>192</v>
      </c>
      <c r="C740" s="139">
        <v>11</v>
      </c>
      <c r="D740" s="139" t="s">
        <v>124</v>
      </c>
      <c r="E740" s="261">
        <v>30770605</v>
      </c>
      <c r="F740" s="261">
        <v>30770605</v>
      </c>
      <c r="G740" s="287" t="s">
        <v>570</v>
      </c>
      <c r="H740" s="152">
        <f t="shared" si="15"/>
        <v>0</v>
      </c>
      <c r="I740" s="261">
        <v>867444</v>
      </c>
      <c r="J740" s="261">
        <v>826768</v>
      </c>
      <c r="K740" s="261">
        <f t="shared" si="13"/>
        <v>40676</v>
      </c>
      <c r="L740" s="261">
        <f t="shared" si="14"/>
        <v>-40676</v>
      </c>
    </row>
    <row r="741" spans="1:12" ht="30.75" x14ac:dyDescent="0.25">
      <c r="A741" s="140" t="s">
        <v>323</v>
      </c>
      <c r="B741" s="142" t="s">
        <v>210</v>
      </c>
      <c r="C741" s="139">
        <v>295</v>
      </c>
      <c r="D741" s="139" t="s">
        <v>124</v>
      </c>
      <c r="E741" s="261">
        <v>176566893</v>
      </c>
      <c r="F741" s="261">
        <v>172277694</v>
      </c>
      <c r="G741" s="287" t="s">
        <v>570</v>
      </c>
      <c r="H741" s="261">
        <f t="shared" si="15"/>
        <v>4289199</v>
      </c>
      <c r="I741" s="152">
        <v>0</v>
      </c>
      <c r="J741" s="152">
        <v>0</v>
      </c>
      <c r="K741" s="152">
        <f t="shared" si="13"/>
        <v>0</v>
      </c>
      <c r="L741" s="261">
        <f t="shared" si="14"/>
        <v>4289199</v>
      </c>
    </row>
    <row r="742" spans="1:12" x14ac:dyDescent="0.25">
      <c r="A742" s="140" t="s">
        <v>211</v>
      </c>
      <c r="B742" s="142" t="s">
        <v>212</v>
      </c>
      <c r="C742" s="139">
        <v>166</v>
      </c>
      <c r="D742" s="139" t="s">
        <v>124</v>
      </c>
      <c r="E742" s="261">
        <v>7157889</v>
      </c>
      <c r="F742" s="261">
        <v>7157889</v>
      </c>
      <c r="G742" s="287" t="s">
        <v>570</v>
      </c>
      <c r="H742" s="152">
        <f t="shared" si="15"/>
        <v>0</v>
      </c>
      <c r="I742" s="261">
        <v>210086</v>
      </c>
      <c r="J742" s="261">
        <v>139673</v>
      </c>
      <c r="K742" s="261">
        <f t="shared" si="13"/>
        <v>70413</v>
      </c>
      <c r="L742" s="261">
        <f t="shared" si="14"/>
        <v>-70413</v>
      </c>
    </row>
    <row r="743" spans="1:12" x14ac:dyDescent="0.25">
      <c r="A743" s="140" t="s">
        <v>255</v>
      </c>
      <c r="B743" s="142" t="s">
        <v>256</v>
      </c>
      <c r="C743" s="139">
        <v>268</v>
      </c>
      <c r="D743" s="139" t="s">
        <v>124</v>
      </c>
      <c r="E743" s="261">
        <v>2984780</v>
      </c>
      <c r="F743" s="261">
        <v>2976037</v>
      </c>
      <c r="G743" s="287" t="s">
        <v>570</v>
      </c>
      <c r="H743" s="261">
        <f t="shared" si="15"/>
        <v>8743</v>
      </c>
      <c r="I743" s="152">
        <v>0</v>
      </c>
      <c r="J743" s="152">
        <v>0</v>
      </c>
      <c r="K743" s="152">
        <f t="shared" si="13"/>
        <v>0</v>
      </c>
      <c r="L743" s="261">
        <f t="shared" si="14"/>
        <v>8743</v>
      </c>
    </row>
    <row r="744" spans="1:12" x14ac:dyDescent="0.25">
      <c r="A744" s="140" t="s">
        <v>221</v>
      </c>
      <c r="B744" s="142" t="s">
        <v>210</v>
      </c>
      <c r="C744" s="139">
        <v>48</v>
      </c>
      <c r="D744" s="139" t="s">
        <v>124</v>
      </c>
      <c r="E744" s="261">
        <v>7488914</v>
      </c>
      <c r="F744" s="261">
        <v>7488914</v>
      </c>
      <c r="G744" s="287" t="s">
        <v>570</v>
      </c>
      <c r="H744" s="152">
        <f t="shared" si="15"/>
        <v>0</v>
      </c>
      <c r="I744" s="261">
        <v>895210</v>
      </c>
      <c r="J744" s="261">
        <v>357099</v>
      </c>
      <c r="K744" s="261">
        <f t="shared" si="13"/>
        <v>538111</v>
      </c>
      <c r="L744" s="261">
        <f t="shared" si="14"/>
        <v>-538111</v>
      </c>
    </row>
    <row r="745" spans="1:12" ht="30.75" x14ac:dyDescent="0.25">
      <c r="A745" s="140" t="s">
        <v>56</v>
      </c>
      <c r="B745" s="142" t="s">
        <v>57</v>
      </c>
      <c r="C745" s="139">
        <v>218</v>
      </c>
      <c r="D745" s="139" t="s">
        <v>124</v>
      </c>
      <c r="E745" s="261">
        <v>7119369</v>
      </c>
      <c r="F745" s="261">
        <v>7041267</v>
      </c>
      <c r="G745" s="287" t="s">
        <v>570</v>
      </c>
      <c r="H745" s="261">
        <f t="shared" si="15"/>
        <v>78102</v>
      </c>
      <c r="I745" s="152">
        <v>0</v>
      </c>
      <c r="J745" s="152">
        <v>0</v>
      </c>
      <c r="K745" s="152">
        <f t="shared" si="13"/>
        <v>0</v>
      </c>
      <c r="L745" s="261">
        <f t="shared" si="14"/>
        <v>78102</v>
      </c>
    </row>
    <row r="746" spans="1:12" ht="60.75" x14ac:dyDescent="0.25">
      <c r="A746" s="140" t="s">
        <v>312</v>
      </c>
      <c r="B746" s="142" t="s">
        <v>196</v>
      </c>
      <c r="C746" s="139">
        <v>271</v>
      </c>
      <c r="D746" s="139" t="s">
        <v>124</v>
      </c>
      <c r="E746" s="261">
        <v>2711305</v>
      </c>
      <c r="F746" s="261">
        <v>2687237</v>
      </c>
      <c r="G746" s="287" t="s">
        <v>570</v>
      </c>
      <c r="H746" s="261">
        <f t="shared" si="15"/>
        <v>24068</v>
      </c>
      <c r="I746" s="152">
        <v>0</v>
      </c>
      <c r="J746" s="152">
        <v>0</v>
      </c>
      <c r="K746" s="152">
        <f t="shared" si="13"/>
        <v>0</v>
      </c>
      <c r="L746" s="261">
        <f t="shared" si="14"/>
        <v>24068</v>
      </c>
    </row>
    <row r="747" spans="1:12" ht="60.75" x14ac:dyDescent="0.25">
      <c r="A747" s="140" t="s">
        <v>280</v>
      </c>
      <c r="B747" s="142" t="s">
        <v>281</v>
      </c>
      <c r="C747" s="139">
        <v>329</v>
      </c>
      <c r="D747" s="139" t="s">
        <v>124</v>
      </c>
      <c r="E747" s="261">
        <v>722675</v>
      </c>
      <c r="F747" s="261">
        <v>710144</v>
      </c>
      <c r="G747" s="287" t="s">
        <v>570</v>
      </c>
      <c r="H747" s="261">
        <f t="shared" ref="H747:H778" si="16">E747-F747</f>
        <v>12531</v>
      </c>
      <c r="I747" s="152">
        <v>0</v>
      </c>
      <c r="J747" s="152">
        <v>0</v>
      </c>
      <c r="K747" s="152">
        <f t="shared" ref="K747:K810" si="17">I747-J747</f>
        <v>0</v>
      </c>
      <c r="L747" s="261">
        <f t="shared" ref="L747:L810" si="18">H747-K747</f>
        <v>12531</v>
      </c>
    </row>
    <row r="748" spans="1:12" ht="30.75" x14ac:dyDescent="0.25">
      <c r="A748" s="140" t="s">
        <v>321</v>
      </c>
      <c r="B748" s="142" t="s">
        <v>249</v>
      </c>
      <c r="C748" s="139">
        <v>139</v>
      </c>
      <c r="D748" s="139" t="s">
        <v>124</v>
      </c>
      <c r="E748" s="261">
        <v>3491968</v>
      </c>
      <c r="F748" s="261">
        <v>3491968</v>
      </c>
      <c r="G748" s="287" t="s">
        <v>570</v>
      </c>
      <c r="H748" s="152">
        <f t="shared" si="16"/>
        <v>0</v>
      </c>
      <c r="I748" s="261">
        <v>2397890</v>
      </c>
      <c r="J748" s="152">
        <v>0</v>
      </c>
      <c r="K748" s="261">
        <f t="shared" si="17"/>
        <v>2397890</v>
      </c>
      <c r="L748" s="261">
        <f t="shared" si="18"/>
        <v>-2397890</v>
      </c>
    </row>
    <row r="749" spans="1:12" x14ac:dyDescent="0.25">
      <c r="A749" s="140" t="s">
        <v>243</v>
      </c>
      <c r="B749" s="142" t="s">
        <v>229</v>
      </c>
      <c r="C749" s="139">
        <v>244</v>
      </c>
      <c r="D749" s="139" t="s">
        <v>124</v>
      </c>
      <c r="E749" s="261">
        <v>1943938</v>
      </c>
      <c r="F749" s="261">
        <v>1943938</v>
      </c>
      <c r="G749" s="287" t="s">
        <v>570</v>
      </c>
      <c r="H749" s="152">
        <f t="shared" si="16"/>
        <v>0</v>
      </c>
      <c r="I749" s="261">
        <v>25317281</v>
      </c>
      <c r="J749" s="261">
        <v>2721523</v>
      </c>
      <c r="K749" s="261">
        <f t="shared" si="17"/>
        <v>22595758</v>
      </c>
      <c r="L749" s="261">
        <f t="shared" si="18"/>
        <v>-22595758</v>
      </c>
    </row>
    <row r="750" spans="1:12" x14ac:dyDescent="0.25">
      <c r="A750" s="140" t="s">
        <v>289</v>
      </c>
      <c r="B750" s="142" t="s">
        <v>290</v>
      </c>
      <c r="C750" s="139">
        <v>57</v>
      </c>
      <c r="D750" s="139" t="s">
        <v>124</v>
      </c>
      <c r="E750" s="261">
        <v>1434260</v>
      </c>
      <c r="F750" s="261">
        <v>1415123</v>
      </c>
      <c r="G750" s="287" t="s">
        <v>570</v>
      </c>
      <c r="H750" s="261">
        <f t="shared" si="16"/>
        <v>19137</v>
      </c>
      <c r="I750" s="152">
        <v>0</v>
      </c>
      <c r="J750" s="152">
        <v>0</v>
      </c>
      <c r="K750" s="152">
        <f t="shared" si="17"/>
        <v>0</v>
      </c>
      <c r="L750" s="261">
        <f t="shared" si="18"/>
        <v>19137</v>
      </c>
    </row>
    <row r="751" spans="1:12" x14ac:dyDescent="0.25">
      <c r="A751" s="140" t="s">
        <v>324</v>
      </c>
      <c r="B751" s="142" t="s">
        <v>297</v>
      </c>
      <c r="C751" s="139">
        <v>208</v>
      </c>
      <c r="D751" s="139" t="s">
        <v>124</v>
      </c>
      <c r="E751" s="261">
        <v>23725715</v>
      </c>
      <c r="F751" s="261">
        <v>23579326</v>
      </c>
      <c r="G751" s="287" t="s">
        <v>570</v>
      </c>
      <c r="H751" s="261">
        <f t="shared" si="16"/>
        <v>146389</v>
      </c>
      <c r="I751" s="261">
        <v>183082</v>
      </c>
      <c r="J751" s="261">
        <v>183082</v>
      </c>
      <c r="K751" s="152">
        <f t="shared" si="17"/>
        <v>0</v>
      </c>
      <c r="L751" s="261">
        <f t="shared" si="18"/>
        <v>146389</v>
      </c>
    </row>
    <row r="752" spans="1:12" x14ac:dyDescent="0.25">
      <c r="A752" s="140" t="s">
        <v>230</v>
      </c>
      <c r="B752" s="142" t="s">
        <v>210</v>
      </c>
      <c r="C752" s="139">
        <v>260</v>
      </c>
      <c r="D752" s="139" t="s">
        <v>124</v>
      </c>
      <c r="E752" s="261">
        <v>13819545</v>
      </c>
      <c r="F752" s="261">
        <v>13759745</v>
      </c>
      <c r="G752" s="287" t="s">
        <v>570</v>
      </c>
      <c r="H752" s="261">
        <f t="shared" si="16"/>
        <v>59800</v>
      </c>
      <c r="I752" s="261">
        <v>334584</v>
      </c>
      <c r="J752" s="261">
        <v>334584</v>
      </c>
      <c r="K752" s="152">
        <f t="shared" si="17"/>
        <v>0</v>
      </c>
      <c r="L752" s="261">
        <f t="shared" si="18"/>
        <v>59800</v>
      </c>
    </row>
    <row r="753" spans="1:12" x14ac:dyDescent="0.25">
      <c r="A753" s="140" t="s">
        <v>325</v>
      </c>
      <c r="B753" s="142" t="s">
        <v>186</v>
      </c>
      <c r="C753" s="139">
        <v>123</v>
      </c>
      <c r="D753" s="139" t="s">
        <v>125</v>
      </c>
      <c r="E753" s="261">
        <v>3563107</v>
      </c>
      <c r="F753" s="261">
        <v>3563107</v>
      </c>
      <c r="G753" s="287" t="s">
        <v>570</v>
      </c>
      <c r="H753" s="152">
        <f t="shared" si="16"/>
        <v>0</v>
      </c>
      <c r="I753" s="261">
        <v>838033</v>
      </c>
      <c r="J753" s="261">
        <v>832320</v>
      </c>
      <c r="K753" s="261">
        <f t="shared" si="17"/>
        <v>5713</v>
      </c>
      <c r="L753" s="261">
        <f t="shared" si="18"/>
        <v>-5713</v>
      </c>
    </row>
    <row r="754" spans="1:12" ht="30.75" x14ac:dyDescent="0.25">
      <c r="A754" s="140" t="s">
        <v>277</v>
      </c>
      <c r="B754" s="142" t="s">
        <v>272</v>
      </c>
      <c r="C754" s="139">
        <v>348</v>
      </c>
      <c r="D754" s="139" t="s">
        <v>125</v>
      </c>
      <c r="E754" s="261">
        <v>39009871</v>
      </c>
      <c r="F754" s="261">
        <v>35783447</v>
      </c>
      <c r="G754" s="287" t="s">
        <v>570</v>
      </c>
      <c r="H754" s="261">
        <f t="shared" si="16"/>
        <v>3226424</v>
      </c>
      <c r="I754" s="152">
        <v>0</v>
      </c>
      <c r="J754" s="152">
        <v>0</v>
      </c>
      <c r="K754" s="152">
        <f t="shared" si="17"/>
        <v>0</v>
      </c>
      <c r="L754" s="261">
        <f t="shared" si="18"/>
        <v>3226424</v>
      </c>
    </row>
    <row r="755" spans="1:12" x14ac:dyDescent="0.25">
      <c r="A755" s="140" t="s">
        <v>326</v>
      </c>
      <c r="B755" s="142" t="s">
        <v>247</v>
      </c>
      <c r="C755" s="139">
        <v>140</v>
      </c>
      <c r="D755" s="139" t="s">
        <v>125</v>
      </c>
      <c r="E755" s="261">
        <v>2457131</v>
      </c>
      <c r="F755" s="261">
        <v>2457131</v>
      </c>
      <c r="G755" s="287" t="s">
        <v>570</v>
      </c>
      <c r="H755" s="152">
        <f t="shared" si="16"/>
        <v>0</v>
      </c>
      <c r="I755" s="261">
        <v>237816</v>
      </c>
      <c r="J755" s="261">
        <v>226307</v>
      </c>
      <c r="K755" s="261">
        <f t="shared" si="17"/>
        <v>11509</v>
      </c>
      <c r="L755" s="261">
        <f t="shared" si="18"/>
        <v>-11509</v>
      </c>
    </row>
    <row r="756" spans="1:12" ht="30.75" x14ac:dyDescent="0.25">
      <c r="A756" s="140" t="s">
        <v>191</v>
      </c>
      <c r="B756" s="142" t="s">
        <v>192</v>
      </c>
      <c r="C756" s="139">
        <v>11</v>
      </c>
      <c r="D756" s="139" t="s">
        <v>125</v>
      </c>
      <c r="E756" s="261">
        <v>34671017</v>
      </c>
      <c r="F756" s="261">
        <v>34671017</v>
      </c>
      <c r="G756" s="287" t="s">
        <v>570</v>
      </c>
      <c r="H756" s="152">
        <f t="shared" si="16"/>
        <v>0</v>
      </c>
      <c r="I756" s="261">
        <v>7346372</v>
      </c>
      <c r="J756" s="261">
        <v>7327621</v>
      </c>
      <c r="K756" s="261">
        <f t="shared" si="17"/>
        <v>18751</v>
      </c>
      <c r="L756" s="261">
        <f t="shared" si="18"/>
        <v>-18751</v>
      </c>
    </row>
    <row r="757" spans="1:12" x14ac:dyDescent="0.25">
      <c r="A757" s="140" t="s">
        <v>295</v>
      </c>
      <c r="B757" s="142" t="s">
        <v>194</v>
      </c>
      <c r="C757" s="139">
        <v>223</v>
      </c>
      <c r="D757" s="139" t="s">
        <v>125</v>
      </c>
      <c r="E757" s="261">
        <v>5548278</v>
      </c>
      <c r="F757" s="261">
        <v>5548278</v>
      </c>
      <c r="G757" s="287" t="s">
        <v>570</v>
      </c>
      <c r="H757" s="152">
        <f t="shared" si="16"/>
        <v>0</v>
      </c>
      <c r="I757" s="261">
        <v>14656</v>
      </c>
      <c r="J757" s="261">
        <v>9604</v>
      </c>
      <c r="K757" s="261">
        <f t="shared" si="17"/>
        <v>5052</v>
      </c>
      <c r="L757" s="261">
        <f t="shared" si="18"/>
        <v>-5052</v>
      </c>
    </row>
    <row r="758" spans="1:12" x14ac:dyDescent="0.25">
      <c r="A758" s="140" t="s">
        <v>205</v>
      </c>
      <c r="B758" s="142" t="s">
        <v>206</v>
      </c>
      <c r="C758" s="139">
        <v>183</v>
      </c>
      <c r="D758" s="139" t="s">
        <v>125</v>
      </c>
      <c r="E758" s="261">
        <v>3258459</v>
      </c>
      <c r="F758" s="261">
        <v>3258459</v>
      </c>
      <c r="G758" s="287" t="s">
        <v>570</v>
      </c>
      <c r="H758" s="152">
        <f t="shared" si="16"/>
        <v>0</v>
      </c>
      <c r="I758" s="261">
        <v>2332978</v>
      </c>
      <c r="J758" s="261">
        <v>2331773</v>
      </c>
      <c r="K758" s="261">
        <f t="shared" si="17"/>
        <v>1205</v>
      </c>
      <c r="L758" s="261">
        <f t="shared" si="18"/>
        <v>-1205</v>
      </c>
    </row>
    <row r="759" spans="1:12" ht="30.75" x14ac:dyDescent="0.25">
      <c r="A759" s="140" t="s">
        <v>327</v>
      </c>
      <c r="B759" s="142" t="s">
        <v>317</v>
      </c>
      <c r="C759" s="139">
        <v>75</v>
      </c>
      <c r="D759" s="139" t="s">
        <v>125</v>
      </c>
      <c r="E759" s="261">
        <v>15879587</v>
      </c>
      <c r="F759" s="261">
        <v>15879587</v>
      </c>
      <c r="G759" s="287" t="s">
        <v>570</v>
      </c>
      <c r="H759" s="152">
        <f t="shared" si="16"/>
        <v>0</v>
      </c>
      <c r="I759" s="261">
        <v>4530020</v>
      </c>
      <c r="J759" s="261">
        <v>4529310</v>
      </c>
      <c r="K759" s="261">
        <f t="shared" si="17"/>
        <v>710</v>
      </c>
      <c r="L759" s="261">
        <f t="shared" si="18"/>
        <v>-710</v>
      </c>
    </row>
    <row r="760" spans="1:12" x14ac:dyDescent="0.25">
      <c r="A760" s="140" t="s">
        <v>300</v>
      </c>
      <c r="B760" s="142" t="s">
        <v>210</v>
      </c>
      <c r="C760" s="139">
        <v>26</v>
      </c>
      <c r="D760" s="139" t="s">
        <v>125</v>
      </c>
      <c r="E760" s="261">
        <v>7958827</v>
      </c>
      <c r="F760" s="261">
        <v>7958827</v>
      </c>
      <c r="G760" s="287" t="s">
        <v>570</v>
      </c>
      <c r="H760" s="152">
        <f t="shared" si="16"/>
        <v>0</v>
      </c>
      <c r="I760" s="261">
        <v>4858960</v>
      </c>
      <c r="J760" s="261">
        <v>4632636</v>
      </c>
      <c r="K760" s="261">
        <f t="shared" si="17"/>
        <v>226324</v>
      </c>
      <c r="L760" s="261">
        <f t="shared" si="18"/>
        <v>-226324</v>
      </c>
    </row>
    <row r="761" spans="1:12" ht="30.75" x14ac:dyDescent="0.25">
      <c r="A761" s="140" t="s">
        <v>323</v>
      </c>
      <c r="B761" s="142" t="s">
        <v>210</v>
      </c>
      <c r="C761" s="139">
        <v>295</v>
      </c>
      <c r="D761" s="139" t="s">
        <v>125</v>
      </c>
      <c r="E761" s="261">
        <v>166695626</v>
      </c>
      <c r="F761" s="261">
        <v>165084881</v>
      </c>
      <c r="G761" s="287" t="s">
        <v>570</v>
      </c>
      <c r="H761" s="261">
        <f t="shared" si="16"/>
        <v>1610745</v>
      </c>
      <c r="I761" s="152">
        <v>0</v>
      </c>
      <c r="J761" s="152">
        <v>0</v>
      </c>
      <c r="K761" s="152">
        <f t="shared" si="17"/>
        <v>0</v>
      </c>
      <c r="L761" s="261">
        <f t="shared" si="18"/>
        <v>1610745</v>
      </c>
    </row>
    <row r="762" spans="1:12" x14ac:dyDescent="0.25">
      <c r="A762" s="140" t="s">
        <v>211</v>
      </c>
      <c r="B762" s="142" t="s">
        <v>212</v>
      </c>
      <c r="C762" s="139">
        <v>166</v>
      </c>
      <c r="D762" s="139" t="s">
        <v>125</v>
      </c>
      <c r="E762" s="261">
        <v>7701749</v>
      </c>
      <c r="F762" s="261">
        <v>7701749</v>
      </c>
      <c r="G762" s="287" t="s">
        <v>570</v>
      </c>
      <c r="H762" s="152">
        <f t="shared" si="16"/>
        <v>0</v>
      </c>
      <c r="I762" s="261">
        <v>2062132</v>
      </c>
      <c r="J762" s="261">
        <v>2062074</v>
      </c>
      <c r="K762" s="261">
        <f t="shared" si="17"/>
        <v>58</v>
      </c>
      <c r="L762" s="261">
        <f t="shared" si="18"/>
        <v>-58</v>
      </c>
    </row>
    <row r="763" spans="1:12" x14ac:dyDescent="0.25">
      <c r="A763" s="140" t="s">
        <v>255</v>
      </c>
      <c r="B763" s="142" t="s">
        <v>256</v>
      </c>
      <c r="C763" s="139">
        <v>268</v>
      </c>
      <c r="D763" s="139" t="s">
        <v>125</v>
      </c>
      <c r="E763" s="261">
        <v>2150476</v>
      </c>
      <c r="F763" s="261">
        <v>2145443</v>
      </c>
      <c r="G763" s="287" t="s">
        <v>570</v>
      </c>
      <c r="H763" s="261">
        <f t="shared" si="16"/>
        <v>5033</v>
      </c>
      <c r="I763" s="152">
        <v>0</v>
      </c>
      <c r="J763" s="152">
        <v>0</v>
      </c>
      <c r="K763" s="152">
        <f t="shared" si="17"/>
        <v>0</v>
      </c>
      <c r="L763" s="261">
        <f t="shared" si="18"/>
        <v>5033</v>
      </c>
    </row>
    <row r="764" spans="1:12" x14ac:dyDescent="0.25">
      <c r="A764" s="140" t="s">
        <v>257</v>
      </c>
      <c r="B764" s="142" t="s">
        <v>258</v>
      </c>
      <c r="C764" s="139">
        <v>148</v>
      </c>
      <c r="D764" s="139" t="s">
        <v>125</v>
      </c>
      <c r="E764" s="261">
        <v>1807989</v>
      </c>
      <c r="F764" s="261">
        <v>1807989</v>
      </c>
      <c r="G764" s="287" t="s">
        <v>570</v>
      </c>
      <c r="H764" s="152">
        <f t="shared" si="16"/>
        <v>0</v>
      </c>
      <c r="I764" s="261">
        <v>767144</v>
      </c>
      <c r="J764" s="261">
        <v>766547</v>
      </c>
      <c r="K764" s="261">
        <f t="shared" si="17"/>
        <v>597</v>
      </c>
      <c r="L764" s="261">
        <f t="shared" si="18"/>
        <v>-597</v>
      </c>
    </row>
    <row r="765" spans="1:12" x14ac:dyDescent="0.25">
      <c r="A765" s="140" t="s">
        <v>219</v>
      </c>
      <c r="B765" s="142" t="s">
        <v>220</v>
      </c>
      <c r="C765" s="139">
        <v>153</v>
      </c>
      <c r="D765" s="139" t="s">
        <v>125</v>
      </c>
      <c r="E765" s="261">
        <v>8287926</v>
      </c>
      <c r="F765" s="261">
        <v>8287926</v>
      </c>
      <c r="G765" s="287" t="s">
        <v>570</v>
      </c>
      <c r="H765" s="152">
        <f t="shared" si="16"/>
        <v>0</v>
      </c>
      <c r="I765" s="261">
        <v>1426115</v>
      </c>
      <c r="J765" s="261">
        <v>1425358</v>
      </c>
      <c r="K765" s="261">
        <f t="shared" si="17"/>
        <v>757</v>
      </c>
      <c r="L765" s="261">
        <f t="shared" si="18"/>
        <v>-757</v>
      </c>
    </row>
    <row r="766" spans="1:12" x14ac:dyDescent="0.25">
      <c r="A766" s="140" t="s">
        <v>239</v>
      </c>
      <c r="B766" s="142" t="s">
        <v>240</v>
      </c>
      <c r="C766" s="139">
        <v>155</v>
      </c>
      <c r="D766" s="139" t="s">
        <v>125</v>
      </c>
      <c r="E766" s="261">
        <v>798088</v>
      </c>
      <c r="F766" s="261">
        <v>798088</v>
      </c>
      <c r="G766" s="287" t="s">
        <v>570</v>
      </c>
      <c r="H766" s="152">
        <f t="shared" si="16"/>
        <v>0</v>
      </c>
      <c r="I766" s="261">
        <v>72371</v>
      </c>
      <c r="J766" s="261">
        <v>72080</v>
      </c>
      <c r="K766" s="261">
        <f t="shared" si="17"/>
        <v>291</v>
      </c>
      <c r="L766" s="261">
        <f t="shared" si="18"/>
        <v>-291</v>
      </c>
    </row>
    <row r="767" spans="1:12" ht="30.75" x14ac:dyDescent="0.25">
      <c r="A767" s="140" t="s">
        <v>307</v>
      </c>
      <c r="B767" s="142" t="s">
        <v>308</v>
      </c>
      <c r="C767" s="139">
        <v>157</v>
      </c>
      <c r="D767" s="139" t="s">
        <v>125</v>
      </c>
      <c r="E767" s="261">
        <v>1579905</v>
      </c>
      <c r="F767" s="261">
        <v>1579905</v>
      </c>
      <c r="G767" s="287" t="s">
        <v>570</v>
      </c>
      <c r="H767" s="152">
        <f t="shared" si="16"/>
        <v>0</v>
      </c>
      <c r="I767" s="261">
        <v>818310</v>
      </c>
      <c r="J767" s="261">
        <v>816980</v>
      </c>
      <c r="K767" s="261">
        <f t="shared" si="17"/>
        <v>1330</v>
      </c>
      <c r="L767" s="261">
        <f t="shared" si="18"/>
        <v>-1330</v>
      </c>
    </row>
    <row r="768" spans="1:12" x14ac:dyDescent="0.25">
      <c r="A768" s="140" t="s">
        <v>67</v>
      </c>
      <c r="B768" s="142" t="s">
        <v>68</v>
      </c>
      <c r="C768" s="139">
        <v>42</v>
      </c>
      <c r="D768" s="139" t="s">
        <v>125</v>
      </c>
      <c r="E768" s="261">
        <v>18517280</v>
      </c>
      <c r="F768" s="261">
        <v>18517280</v>
      </c>
      <c r="G768" s="287" t="s">
        <v>570</v>
      </c>
      <c r="H768" s="152">
        <f t="shared" si="16"/>
        <v>0</v>
      </c>
      <c r="I768" s="261">
        <v>290709</v>
      </c>
      <c r="J768" s="261">
        <v>284043</v>
      </c>
      <c r="K768" s="261">
        <f t="shared" si="17"/>
        <v>6666</v>
      </c>
      <c r="L768" s="261">
        <f t="shared" si="18"/>
        <v>-6666</v>
      </c>
    </row>
    <row r="769" spans="1:12" x14ac:dyDescent="0.25">
      <c r="A769" s="140" t="s">
        <v>328</v>
      </c>
      <c r="B769" s="142" t="s">
        <v>57</v>
      </c>
      <c r="C769" s="139">
        <v>201</v>
      </c>
      <c r="D769" s="139" t="s">
        <v>125</v>
      </c>
      <c r="E769" s="261">
        <v>556</v>
      </c>
      <c r="F769" s="261">
        <v>556</v>
      </c>
      <c r="G769" s="287" t="s">
        <v>570</v>
      </c>
      <c r="H769" s="152">
        <f t="shared" si="16"/>
        <v>0</v>
      </c>
      <c r="I769" s="261">
        <v>63727</v>
      </c>
      <c r="J769" s="261">
        <v>62836</v>
      </c>
      <c r="K769" s="261">
        <f t="shared" si="17"/>
        <v>891</v>
      </c>
      <c r="L769" s="261">
        <f t="shared" si="18"/>
        <v>-891</v>
      </c>
    </row>
    <row r="770" spans="1:12" ht="30.75" x14ac:dyDescent="0.25">
      <c r="A770" s="140" t="s">
        <v>56</v>
      </c>
      <c r="B770" s="142" t="s">
        <v>57</v>
      </c>
      <c r="C770" s="139">
        <v>218</v>
      </c>
      <c r="D770" s="139" t="s">
        <v>125</v>
      </c>
      <c r="E770" s="261">
        <v>7304994</v>
      </c>
      <c r="F770" s="261">
        <v>7255320</v>
      </c>
      <c r="G770" s="287" t="s">
        <v>570</v>
      </c>
      <c r="H770" s="261">
        <f t="shared" si="16"/>
        <v>49674</v>
      </c>
      <c r="I770" s="261">
        <v>441775</v>
      </c>
      <c r="J770" s="261">
        <v>437972</v>
      </c>
      <c r="K770" s="261">
        <f t="shared" si="17"/>
        <v>3803</v>
      </c>
      <c r="L770" s="261">
        <f t="shared" si="18"/>
        <v>45871</v>
      </c>
    </row>
    <row r="771" spans="1:12" x14ac:dyDescent="0.25">
      <c r="A771" s="140" t="s">
        <v>241</v>
      </c>
      <c r="B771" s="142" t="s">
        <v>242</v>
      </c>
      <c r="C771" s="139">
        <v>173</v>
      </c>
      <c r="D771" s="139" t="s">
        <v>125</v>
      </c>
      <c r="E771" s="261">
        <v>2301476</v>
      </c>
      <c r="F771" s="261">
        <v>2301476</v>
      </c>
      <c r="G771" s="287" t="s">
        <v>570</v>
      </c>
      <c r="H771" s="152">
        <f t="shared" si="16"/>
        <v>0</v>
      </c>
      <c r="I771" s="261">
        <v>299866</v>
      </c>
      <c r="J771" s="261">
        <v>299485</v>
      </c>
      <c r="K771" s="261">
        <f t="shared" si="17"/>
        <v>381</v>
      </c>
      <c r="L771" s="261">
        <f t="shared" si="18"/>
        <v>-381</v>
      </c>
    </row>
    <row r="772" spans="1:12" ht="30.75" x14ac:dyDescent="0.25">
      <c r="A772" s="140" t="s">
        <v>310</v>
      </c>
      <c r="B772" s="142" t="s">
        <v>311</v>
      </c>
      <c r="C772" s="139">
        <v>151</v>
      </c>
      <c r="D772" s="139" t="s">
        <v>125</v>
      </c>
      <c r="E772" s="261">
        <v>2589924</v>
      </c>
      <c r="F772" s="261">
        <v>2589924</v>
      </c>
      <c r="G772" s="287" t="s">
        <v>570</v>
      </c>
      <c r="H772" s="152">
        <f t="shared" si="16"/>
        <v>0</v>
      </c>
      <c r="I772" s="261">
        <v>269837</v>
      </c>
      <c r="J772" s="261">
        <v>268611</v>
      </c>
      <c r="K772" s="261">
        <f t="shared" si="17"/>
        <v>1226</v>
      </c>
      <c r="L772" s="261">
        <f t="shared" si="18"/>
        <v>-1226</v>
      </c>
    </row>
    <row r="773" spans="1:12" ht="60.75" x14ac:dyDescent="0.25">
      <c r="A773" s="140" t="s">
        <v>312</v>
      </c>
      <c r="B773" s="142" t="s">
        <v>196</v>
      </c>
      <c r="C773" s="139">
        <v>271</v>
      </c>
      <c r="D773" s="139" t="s">
        <v>125</v>
      </c>
      <c r="E773" s="261">
        <v>2441052</v>
      </c>
      <c r="F773" s="261">
        <v>2438012</v>
      </c>
      <c r="G773" s="287" t="s">
        <v>570</v>
      </c>
      <c r="H773" s="261">
        <f t="shared" si="16"/>
        <v>3040</v>
      </c>
      <c r="I773" s="152">
        <v>0</v>
      </c>
      <c r="J773" s="152">
        <v>0</v>
      </c>
      <c r="K773" s="152">
        <f t="shared" si="17"/>
        <v>0</v>
      </c>
      <c r="L773" s="261">
        <f t="shared" si="18"/>
        <v>3040</v>
      </c>
    </row>
    <row r="774" spans="1:12" ht="60.75" x14ac:dyDescent="0.25">
      <c r="A774" s="140" t="s">
        <v>280</v>
      </c>
      <c r="B774" s="142" t="s">
        <v>281</v>
      </c>
      <c r="C774" s="139">
        <v>329</v>
      </c>
      <c r="D774" s="139" t="s">
        <v>125</v>
      </c>
      <c r="E774" s="261">
        <v>456037</v>
      </c>
      <c r="F774" s="261">
        <v>450655</v>
      </c>
      <c r="G774" s="287" t="s">
        <v>570</v>
      </c>
      <c r="H774" s="261">
        <f t="shared" si="16"/>
        <v>5382</v>
      </c>
      <c r="I774" s="152">
        <v>0</v>
      </c>
      <c r="J774" s="152">
        <v>0</v>
      </c>
      <c r="K774" s="152">
        <f t="shared" si="17"/>
        <v>0</v>
      </c>
      <c r="L774" s="261">
        <f t="shared" si="18"/>
        <v>5382</v>
      </c>
    </row>
    <row r="775" spans="1:12" ht="30.75" x14ac:dyDescent="0.25">
      <c r="A775" s="140" t="s">
        <v>321</v>
      </c>
      <c r="B775" s="142" t="s">
        <v>249</v>
      </c>
      <c r="C775" s="139">
        <v>139</v>
      </c>
      <c r="D775" s="139" t="s">
        <v>125</v>
      </c>
      <c r="E775" s="261">
        <v>4917998</v>
      </c>
      <c r="F775" s="261">
        <v>4917998</v>
      </c>
      <c r="G775" s="287" t="s">
        <v>570</v>
      </c>
      <c r="H775" s="152">
        <f t="shared" si="16"/>
        <v>0</v>
      </c>
      <c r="I775" s="261">
        <v>647814</v>
      </c>
      <c r="J775" s="261">
        <v>646501</v>
      </c>
      <c r="K775" s="261">
        <f t="shared" si="17"/>
        <v>1313</v>
      </c>
      <c r="L775" s="261">
        <f t="shared" si="18"/>
        <v>-1313</v>
      </c>
    </row>
    <row r="776" spans="1:12" x14ac:dyDescent="0.25">
      <c r="A776" s="140" t="s">
        <v>243</v>
      </c>
      <c r="B776" s="142" t="s">
        <v>229</v>
      </c>
      <c r="C776" s="139">
        <v>244</v>
      </c>
      <c r="D776" s="139" t="s">
        <v>125</v>
      </c>
      <c r="E776" s="261">
        <v>2162205</v>
      </c>
      <c r="F776" s="261">
        <v>2162205</v>
      </c>
      <c r="G776" s="287" t="s">
        <v>570</v>
      </c>
      <c r="H776" s="152">
        <f t="shared" si="16"/>
        <v>0</v>
      </c>
      <c r="I776" s="261">
        <v>13814130</v>
      </c>
      <c r="J776" s="261">
        <v>654358</v>
      </c>
      <c r="K776" s="261">
        <f t="shared" si="17"/>
        <v>13159772</v>
      </c>
      <c r="L776" s="261">
        <f t="shared" si="18"/>
        <v>-13159772</v>
      </c>
    </row>
    <row r="777" spans="1:12" ht="30.75" x14ac:dyDescent="0.25">
      <c r="A777" s="140" t="s">
        <v>282</v>
      </c>
      <c r="B777" s="142" t="s">
        <v>196</v>
      </c>
      <c r="C777" s="139">
        <v>176</v>
      </c>
      <c r="D777" s="139" t="s">
        <v>125</v>
      </c>
      <c r="E777" s="261">
        <v>3499900</v>
      </c>
      <c r="F777" s="261">
        <v>3499900</v>
      </c>
      <c r="G777" s="287" t="s">
        <v>570</v>
      </c>
      <c r="H777" s="152">
        <f t="shared" si="16"/>
        <v>0</v>
      </c>
      <c r="I777" s="261">
        <v>1707693</v>
      </c>
      <c r="J777" s="261">
        <v>1706945</v>
      </c>
      <c r="K777" s="261">
        <f t="shared" si="17"/>
        <v>748</v>
      </c>
      <c r="L777" s="261">
        <f t="shared" si="18"/>
        <v>-748</v>
      </c>
    </row>
    <row r="778" spans="1:12" x14ac:dyDescent="0.25">
      <c r="A778" s="140" t="s">
        <v>289</v>
      </c>
      <c r="B778" s="142" t="s">
        <v>290</v>
      </c>
      <c r="C778" s="139">
        <v>57</v>
      </c>
      <c r="D778" s="139" t="s">
        <v>125</v>
      </c>
      <c r="E778" s="261">
        <v>1491266</v>
      </c>
      <c r="F778" s="261">
        <v>1489175</v>
      </c>
      <c r="G778" s="287" t="s">
        <v>570</v>
      </c>
      <c r="H778" s="261">
        <f t="shared" si="16"/>
        <v>2091</v>
      </c>
      <c r="I778" s="261">
        <v>548259</v>
      </c>
      <c r="J778" s="261">
        <v>548259</v>
      </c>
      <c r="K778" s="152">
        <f t="shared" si="17"/>
        <v>0</v>
      </c>
      <c r="L778" s="261">
        <f t="shared" si="18"/>
        <v>2091</v>
      </c>
    </row>
    <row r="779" spans="1:12" x14ac:dyDescent="0.25">
      <c r="A779" s="140" t="s">
        <v>226</v>
      </c>
      <c r="B779" s="142" t="s">
        <v>227</v>
      </c>
      <c r="C779" s="139">
        <v>171</v>
      </c>
      <c r="D779" s="139" t="s">
        <v>125</v>
      </c>
      <c r="E779" s="261">
        <v>4549931</v>
      </c>
      <c r="F779" s="261">
        <v>4549931</v>
      </c>
      <c r="G779" s="287" t="s">
        <v>570</v>
      </c>
      <c r="H779" s="152">
        <f t="shared" ref="H779:H810" si="19">E779-F779</f>
        <v>0</v>
      </c>
      <c r="I779" s="261">
        <v>420875</v>
      </c>
      <c r="J779" s="261">
        <v>420292</v>
      </c>
      <c r="K779" s="261">
        <f t="shared" si="17"/>
        <v>583</v>
      </c>
      <c r="L779" s="261">
        <f t="shared" si="18"/>
        <v>-583</v>
      </c>
    </row>
    <row r="780" spans="1:12" ht="30.75" x14ac:dyDescent="0.25">
      <c r="A780" s="140" t="s">
        <v>329</v>
      </c>
      <c r="B780" s="142" t="s">
        <v>330</v>
      </c>
      <c r="C780" s="139">
        <v>156</v>
      </c>
      <c r="D780" s="139" t="s">
        <v>125</v>
      </c>
      <c r="E780" s="261">
        <v>5797583</v>
      </c>
      <c r="F780" s="261">
        <v>5797583</v>
      </c>
      <c r="G780" s="287" t="s">
        <v>570</v>
      </c>
      <c r="H780" s="152">
        <f t="shared" si="19"/>
        <v>0</v>
      </c>
      <c r="I780" s="261">
        <v>3639998</v>
      </c>
      <c r="J780" s="261">
        <v>3571501</v>
      </c>
      <c r="K780" s="261">
        <f t="shared" si="17"/>
        <v>68497</v>
      </c>
      <c r="L780" s="261">
        <f t="shared" si="18"/>
        <v>-68497</v>
      </c>
    </row>
    <row r="781" spans="1:12" x14ac:dyDescent="0.25">
      <c r="A781" s="140" t="s">
        <v>331</v>
      </c>
      <c r="B781" s="142" t="s">
        <v>332</v>
      </c>
      <c r="C781" s="139">
        <v>146</v>
      </c>
      <c r="D781" s="139" t="s">
        <v>125</v>
      </c>
      <c r="E781" s="261">
        <v>1738242</v>
      </c>
      <c r="F781" s="261">
        <v>1738242</v>
      </c>
      <c r="G781" s="287" t="s">
        <v>570</v>
      </c>
      <c r="H781" s="152">
        <f t="shared" si="19"/>
        <v>0</v>
      </c>
      <c r="I781" s="261">
        <v>250700</v>
      </c>
      <c r="J781" s="261">
        <v>250499</v>
      </c>
      <c r="K781" s="261">
        <f t="shared" si="17"/>
        <v>201</v>
      </c>
      <c r="L781" s="261">
        <f t="shared" si="18"/>
        <v>-201</v>
      </c>
    </row>
    <row r="782" spans="1:12" x14ac:dyDescent="0.25">
      <c r="A782" s="140" t="s">
        <v>324</v>
      </c>
      <c r="B782" s="142" t="s">
        <v>297</v>
      </c>
      <c r="C782" s="139">
        <v>208</v>
      </c>
      <c r="D782" s="139" t="s">
        <v>125</v>
      </c>
      <c r="E782" s="261">
        <v>25057181</v>
      </c>
      <c r="F782" s="261">
        <v>24937249</v>
      </c>
      <c r="G782" s="287" t="s">
        <v>570</v>
      </c>
      <c r="H782" s="261">
        <f t="shared" si="19"/>
        <v>119932</v>
      </c>
      <c r="I782" s="261">
        <v>1138703</v>
      </c>
      <c r="J782" s="261">
        <v>1138703</v>
      </c>
      <c r="K782" s="152">
        <f t="shared" si="17"/>
        <v>0</v>
      </c>
      <c r="L782" s="261">
        <f t="shared" si="18"/>
        <v>119932</v>
      </c>
    </row>
    <row r="783" spans="1:12" x14ac:dyDescent="0.25">
      <c r="A783" s="140" t="s">
        <v>230</v>
      </c>
      <c r="B783" s="142" t="s">
        <v>210</v>
      </c>
      <c r="C783" s="139">
        <v>260</v>
      </c>
      <c r="D783" s="139" t="s">
        <v>125</v>
      </c>
      <c r="E783" s="261">
        <v>12903346</v>
      </c>
      <c r="F783" s="261">
        <v>12891060</v>
      </c>
      <c r="G783" s="287" t="s">
        <v>570</v>
      </c>
      <c r="H783" s="261">
        <f t="shared" si="19"/>
        <v>12286</v>
      </c>
      <c r="I783" s="261">
        <v>796556</v>
      </c>
      <c r="J783" s="261">
        <v>796556</v>
      </c>
      <c r="K783" s="152">
        <f t="shared" si="17"/>
        <v>0</v>
      </c>
      <c r="L783" s="261">
        <f t="shared" si="18"/>
        <v>12286</v>
      </c>
    </row>
    <row r="784" spans="1:12" ht="30.75" x14ac:dyDescent="0.25">
      <c r="A784" s="140" t="s">
        <v>277</v>
      </c>
      <c r="B784" s="142" t="s">
        <v>272</v>
      </c>
      <c r="C784" s="139">
        <v>348</v>
      </c>
      <c r="D784" s="139" t="s">
        <v>128</v>
      </c>
      <c r="E784" s="261">
        <v>37507169</v>
      </c>
      <c r="F784" s="261">
        <v>34737941</v>
      </c>
      <c r="G784" s="287" t="s">
        <v>570</v>
      </c>
      <c r="H784" s="261">
        <f t="shared" si="19"/>
        <v>2769228</v>
      </c>
      <c r="I784" s="152">
        <v>0</v>
      </c>
      <c r="J784" s="152">
        <v>0</v>
      </c>
      <c r="K784" s="152">
        <f t="shared" si="17"/>
        <v>0</v>
      </c>
      <c r="L784" s="261">
        <f t="shared" si="18"/>
        <v>2769228</v>
      </c>
    </row>
    <row r="785" spans="1:12" x14ac:dyDescent="0.25">
      <c r="A785" s="140" t="s">
        <v>326</v>
      </c>
      <c r="B785" s="142" t="s">
        <v>247</v>
      </c>
      <c r="C785" s="139">
        <v>140</v>
      </c>
      <c r="D785" s="139" t="s">
        <v>128</v>
      </c>
      <c r="E785" s="261">
        <v>4273725</v>
      </c>
      <c r="F785" s="261">
        <v>4273725</v>
      </c>
      <c r="G785" s="287" t="s">
        <v>570</v>
      </c>
      <c r="H785" s="152">
        <f t="shared" si="19"/>
        <v>0</v>
      </c>
      <c r="I785" s="261">
        <v>84006</v>
      </c>
      <c r="J785" s="261">
        <v>82254</v>
      </c>
      <c r="K785" s="261">
        <f t="shared" si="17"/>
        <v>1752</v>
      </c>
      <c r="L785" s="261">
        <f t="shared" si="18"/>
        <v>-1752</v>
      </c>
    </row>
    <row r="786" spans="1:12" x14ac:dyDescent="0.25">
      <c r="A786" s="140" t="s">
        <v>205</v>
      </c>
      <c r="B786" s="142" t="s">
        <v>206</v>
      </c>
      <c r="C786" s="139">
        <v>183</v>
      </c>
      <c r="D786" s="139" t="s">
        <v>128</v>
      </c>
      <c r="E786" s="261">
        <v>5005920</v>
      </c>
      <c r="F786" s="261">
        <v>5005920</v>
      </c>
      <c r="G786" s="287" t="s">
        <v>570</v>
      </c>
      <c r="H786" s="152">
        <f t="shared" si="19"/>
        <v>0</v>
      </c>
      <c r="I786" s="261">
        <v>743465</v>
      </c>
      <c r="J786" s="261">
        <v>741868</v>
      </c>
      <c r="K786" s="261">
        <f t="shared" si="17"/>
        <v>1597</v>
      </c>
      <c r="L786" s="261">
        <f t="shared" si="18"/>
        <v>-1597</v>
      </c>
    </row>
    <row r="787" spans="1:12" x14ac:dyDescent="0.25">
      <c r="A787" s="140" t="s">
        <v>300</v>
      </c>
      <c r="B787" s="142" t="s">
        <v>210</v>
      </c>
      <c r="C787" s="139">
        <v>26</v>
      </c>
      <c r="D787" s="139" t="s">
        <v>128</v>
      </c>
      <c r="E787" s="261">
        <v>9008998</v>
      </c>
      <c r="F787" s="261">
        <v>9008998</v>
      </c>
      <c r="G787" s="287" t="s">
        <v>570</v>
      </c>
      <c r="H787" s="152">
        <f t="shared" si="19"/>
        <v>0</v>
      </c>
      <c r="I787" s="261">
        <v>6745209</v>
      </c>
      <c r="J787" s="261">
        <v>6707289</v>
      </c>
      <c r="K787" s="261">
        <f t="shared" si="17"/>
        <v>37920</v>
      </c>
      <c r="L787" s="261">
        <f t="shared" si="18"/>
        <v>-37920</v>
      </c>
    </row>
    <row r="788" spans="1:12" ht="30.75" x14ac:dyDescent="0.25">
      <c r="A788" s="140" t="s">
        <v>323</v>
      </c>
      <c r="B788" s="142" t="s">
        <v>210</v>
      </c>
      <c r="C788" s="139">
        <v>295</v>
      </c>
      <c r="D788" s="139" t="s">
        <v>128</v>
      </c>
      <c r="E788" s="261">
        <v>156326089</v>
      </c>
      <c r="F788" s="261">
        <v>155700922</v>
      </c>
      <c r="G788" s="287" t="s">
        <v>570</v>
      </c>
      <c r="H788" s="261">
        <f t="shared" si="19"/>
        <v>625167</v>
      </c>
      <c r="I788" s="152">
        <v>0</v>
      </c>
      <c r="J788" s="152">
        <v>0</v>
      </c>
      <c r="K788" s="152">
        <f t="shared" si="17"/>
        <v>0</v>
      </c>
      <c r="L788" s="261">
        <f t="shared" si="18"/>
        <v>625167</v>
      </c>
    </row>
    <row r="789" spans="1:12" x14ac:dyDescent="0.25">
      <c r="A789" s="140" t="s">
        <v>211</v>
      </c>
      <c r="B789" s="142" t="s">
        <v>212</v>
      </c>
      <c r="C789" s="139">
        <v>166</v>
      </c>
      <c r="D789" s="139" t="s">
        <v>128</v>
      </c>
      <c r="E789" s="261">
        <v>8137909</v>
      </c>
      <c r="F789" s="261">
        <v>8137909</v>
      </c>
      <c r="G789" s="287" t="s">
        <v>570</v>
      </c>
      <c r="H789" s="152">
        <f t="shared" si="19"/>
        <v>0</v>
      </c>
      <c r="I789" s="261">
        <v>2391214</v>
      </c>
      <c r="J789" s="261">
        <v>2385214</v>
      </c>
      <c r="K789" s="261">
        <f t="shared" si="17"/>
        <v>6000</v>
      </c>
      <c r="L789" s="261">
        <f t="shared" si="18"/>
        <v>-6000</v>
      </c>
    </row>
    <row r="790" spans="1:12" x14ac:dyDescent="0.25">
      <c r="A790" s="140" t="s">
        <v>219</v>
      </c>
      <c r="B790" s="142" t="s">
        <v>220</v>
      </c>
      <c r="C790" s="139">
        <v>153</v>
      </c>
      <c r="D790" s="139" t="s">
        <v>128</v>
      </c>
      <c r="E790" s="261">
        <v>9807270</v>
      </c>
      <c r="F790" s="261">
        <v>9807270</v>
      </c>
      <c r="G790" s="287" t="s">
        <v>570</v>
      </c>
      <c r="H790" s="152">
        <f t="shared" si="19"/>
        <v>0</v>
      </c>
      <c r="I790" s="261">
        <v>1636613</v>
      </c>
      <c r="J790" s="261">
        <v>1636463</v>
      </c>
      <c r="K790" s="261">
        <f t="shared" si="17"/>
        <v>150</v>
      </c>
      <c r="L790" s="261">
        <f t="shared" si="18"/>
        <v>-150</v>
      </c>
    </row>
    <row r="791" spans="1:12" x14ac:dyDescent="0.25">
      <c r="A791" s="140" t="s">
        <v>126</v>
      </c>
      <c r="B791" s="142" t="s">
        <v>127</v>
      </c>
      <c r="C791" s="139">
        <v>169</v>
      </c>
      <c r="D791" s="139" t="s">
        <v>128</v>
      </c>
      <c r="E791" s="261">
        <v>231880</v>
      </c>
      <c r="F791" s="261">
        <v>231880</v>
      </c>
      <c r="G791" s="287" t="s">
        <v>570</v>
      </c>
      <c r="H791" s="152">
        <f t="shared" si="19"/>
        <v>0</v>
      </c>
      <c r="I791" s="261">
        <v>56171</v>
      </c>
      <c r="J791" s="261">
        <v>54892</v>
      </c>
      <c r="K791" s="261">
        <f t="shared" si="17"/>
        <v>1279</v>
      </c>
      <c r="L791" s="261">
        <f t="shared" si="18"/>
        <v>-1279</v>
      </c>
    </row>
    <row r="792" spans="1:12" x14ac:dyDescent="0.25">
      <c r="A792" s="140" t="s">
        <v>67</v>
      </c>
      <c r="B792" s="142" t="s">
        <v>68</v>
      </c>
      <c r="C792" s="139">
        <v>42</v>
      </c>
      <c r="D792" s="139" t="s">
        <v>128</v>
      </c>
      <c r="E792" s="261">
        <v>15900354</v>
      </c>
      <c r="F792" s="261">
        <v>15900354</v>
      </c>
      <c r="G792" s="287" t="s">
        <v>570</v>
      </c>
      <c r="H792" s="152">
        <f t="shared" si="19"/>
        <v>0</v>
      </c>
      <c r="I792" s="261">
        <v>488975</v>
      </c>
      <c r="J792" s="261">
        <v>487057</v>
      </c>
      <c r="K792" s="261">
        <f t="shared" si="17"/>
        <v>1918</v>
      </c>
      <c r="L792" s="261">
        <f t="shared" si="18"/>
        <v>-1918</v>
      </c>
    </row>
    <row r="793" spans="1:12" x14ac:dyDescent="0.25">
      <c r="A793" s="140" t="s">
        <v>133</v>
      </c>
      <c r="B793" s="142" t="s">
        <v>57</v>
      </c>
      <c r="C793" s="139">
        <v>92</v>
      </c>
      <c r="D793" s="139" t="s">
        <v>128</v>
      </c>
      <c r="E793" s="261">
        <v>2854</v>
      </c>
      <c r="F793" s="261">
        <v>2854</v>
      </c>
      <c r="G793" s="287" t="s">
        <v>570</v>
      </c>
      <c r="H793" s="152">
        <f t="shared" si="19"/>
        <v>0</v>
      </c>
      <c r="I793" s="261">
        <v>37398</v>
      </c>
      <c r="J793" s="261">
        <v>30346</v>
      </c>
      <c r="K793" s="261">
        <f t="shared" si="17"/>
        <v>7052</v>
      </c>
      <c r="L793" s="261">
        <f t="shared" si="18"/>
        <v>-7052</v>
      </c>
    </row>
    <row r="794" spans="1:12" x14ac:dyDescent="0.25">
      <c r="A794" s="140" t="s">
        <v>328</v>
      </c>
      <c r="B794" s="142" t="s">
        <v>57</v>
      </c>
      <c r="C794" s="139">
        <v>201</v>
      </c>
      <c r="D794" s="139" t="s">
        <v>128</v>
      </c>
      <c r="E794" s="261">
        <v>10104090</v>
      </c>
      <c r="F794" s="261">
        <v>10093674</v>
      </c>
      <c r="G794" s="287" t="s">
        <v>570</v>
      </c>
      <c r="H794" s="261">
        <f t="shared" si="19"/>
        <v>10416</v>
      </c>
      <c r="I794" s="261">
        <v>124736</v>
      </c>
      <c r="J794" s="261">
        <v>119796</v>
      </c>
      <c r="K794" s="261">
        <f t="shared" si="17"/>
        <v>4940</v>
      </c>
      <c r="L794" s="261">
        <f t="shared" si="18"/>
        <v>5476</v>
      </c>
    </row>
    <row r="795" spans="1:12" ht="30.75" x14ac:dyDescent="0.25">
      <c r="A795" s="140" t="s">
        <v>56</v>
      </c>
      <c r="B795" s="142" t="s">
        <v>57</v>
      </c>
      <c r="C795" s="139">
        <v>218</v>
      </c>
      <c r="D795" s="139" t="s">
        <v>128</v>
      </c>
      <c r="E795" s="261">
        <v>635471</v>
      </c>
      <c r="F795" s="261">
        <v>629646</v>
      </c>
      <c r="G795" s="287" t="s">
        <v>570</v>
      </c>
      <c r="H795" s="261">
        <f t="shared" si="19"/>
        <v>5825</v>
      </c>
      <c r="I795" s="152">
        <v>0</v>
      </c>
      <c r="J795" s="152">
        <v>0</v>
      </c>
      <c r="K795" s="152">
        <f t="shared" si="17"/>
        <v>0</v>
      </c>
      <c r="L795" s="261">
        <f t="shared" si="18"/>
        <v>5825</v>
      </c>
    </row>
    <row r="796" spans="1:12" x14ac:dyDescent="0.25">
      <c r="A796" s="140" t="s">
        <v>241</v>
      </c>
      <c r="B796" s="142" t="s">
        <v>242</v>
      </c>
      <c r="C796" s="139">
        <v>173</v>
      </c>
      <c r="D796" s="139" t="s">
        <v>128</v>
      </c>
      <c r="E796" s="261">
        <v>2328624</v>
      </c>
      <c r="F796" s="261">
        <v>2328624</v>
      </c>
      <c r="G796" s="287" t="s">
        <v>570</v>
      </c>
      <c r="H796" s="152">
        <f t="shared" si="19"/>
        <v>0</v>
      </c>
      <c r="I796" s="261">
        <v>237134</v>
      </c>
      <c r="J796" s="261">
        <v>236756</v>
      </c>
      <c r="K796" s="261">
        <f t="shared" si="17"/>
        <v>378</v>
      </c>
      <c r="L796" s="261">
        <f t="shared" si="18"/>
        <v>-378</v>
      </c>
    </row>
    <row r="797" spans="1:12" ht="60.75" x14ac:dyDescent="0.25">
      <c r="A797" s="140" t="s">
        <v>333</v>
      </c>
      <c r="B797" s="142" t="s">
        <v>334</v>
      </c>
      <c r="C797" s="139">
        <v>328</v>
      </c>
      <c r="D797" s="139" t="s">
        <v>128</v>
      </c>
      <c r="E797" s="261">
        <v>367657</v>
      </c>
      <c r="F797" s="261">
        <v>366383</v>
      </c>
      <c r="G797" s="287" t="s">
        <v>570</v>
      </c>
      <c r="H797" s="261">
        <f t="shared" si="19"/>
        <v>1274</v>
      </c>
      <c r="I797" s="152">
        <v>0</v>
      </c>
      <c r="J797" s="152">
        <v>0</v>
      </c>
      <c r="K797" s="152">
        <f t="shared" si="17"/>
        <v>0</v>
      </c>
      <c r="L797" s="261">
        <f t="shared" si="18"/>
        <v>1274</v>
      </c>
    </row>
    <row r="798" spans="1:12" ht="30.75" x14ac:dyDescent="0.25">
      <c r="A798" s="140" t="s">
        <v>321</v>
      </c>
      <c r="B798" s="142" t="s">
        <v>249</v>
      </c>
      <c r="C798" s="139">
        <v>139</v>
      </c>
      <c r="D798" s="139" t="s">
        <v>128</v>
      </c>
      <c r="E798" s="261">
        <v>5226049</v>
      </c>
      <c r="F798" s="261">
        <v>5226049</v>
      </c>
      <c r="G798" s="287" t="s">
        <v>570</v>
      </c>
      <c r="H798" s="152">
        <f t="shared" si="19"/>
        <v>0</v>
      </c>
      <c r="I798" s="261">
        <v>301477</v>
      </c>
      <c r="J798" s="261">
        <v>300847</v>
      </c>
      <c r="K798" s="261">
        <f t="shared" si="17"/>
        <v>630</v>
      </c>
      <c r="L798" s="261">
        <f t="shared" si="18"/>
        <v>-630</v>
      </c>
    </row>
    <row r="799" spans="1:12" x14ac:dyDescent="0.25">
      <c r="A799" s="140" t="s">
        <v>289</v>
      </c>
      <c r="B799" s="142" t="s">
        <v>290</v>
      </c>
      <c r="C799" s="139">
        <v>57</v>
      </c>
      <c r="D799" s="139" t="s">
        <v>128</v>
      </c>
      <c r="E799" s="261">
        <v>1047563</v>
      </c>
      <c r="F799" s="261">
        <v>1047255</v>
      </c>
      <c r="G799" s="287" t="s">
        <v>570</v>
      </c>
      <c r="H799" s="261">
        <f t="shared" si="19"/>
        <v>308</v>
      </c>
      <c r="I799" s="261">
        <v>780671</v>
      </c>
      <c r="J799" s="261">
        <v>780671</v>
      </c>
      <c r="K799" s="152">
        <f t="shared" si="17"/>
        <v>0</v>
      </c>
      <c r="L799" s="261">
        <f t="shared" si="18"/>
        <v>308</v>
      </c>
    </row>
    <row r="800" spans="1:12" x14ac:dyDescent="0.25">
      <c r="A800" s="140" t="s">
        <v>335</v>
      </c>
      <c r="B800" s="142" t="s">
        <v>336</v>
      </c>
      <c r="C800" s="139">
        <v>184</v>
      </c>
      <c r="D800" s="139" t="s">
        <v>128</v>
      </c>
      <c r="E800" s="261">
        <v>2769154</v>
      </c>
      <c r="F800" s="261">
        <v>2765894</v>
      </c>
      <c r="G800" s="287" t="s">
        <v>570</v>
      </c>
      <c r="H800" s="261">
        <f t="shared" si="19"/>
        <v>3260</v>
      </c>
      <c r="I800" s="261">
        <v>2356</v>
      </c>
      <c r="J800" s="261">
        <v>2356</v>
      </c>
      <c r="K800" s="152">
        <f t="shared" si="17"/>
        <v>0</v>
      </c>
      <c r="L800" s="261">
        <f t="shared" si="18"/>
        <v>3260</v>
      </c>
    </row>
    <row r="801" spans="1:12" ht="30.75" x14ac:dyDescent="0.25">
      <c r="A801" s="140" t="s">
        <v>329</v>
      </c>
      <c r="B801" s="142" t="s">
        <v>330</v>
      </c>
      <c r="C801" s="139">
        <v>156</v>
      </c>
      <c r="D801" s="139" t="s">
        <v>128</v>
      </c>
      <c r="E801" s="261">
        <v>2951587</v>
      </c>
      <c r="F801" s="261">
        <v>2951587</v>
      </c>
      <c r="G801" s="287" t="s">
        <v>570</v>
      </c>
      <c r="H801" s="152">
        <f t="shared" si="19"/>
        <v>0</v>
      </c>
      <c r="I801" s="261">
        <v>4502407</v>
      </c>
      <c r="J801" s="261">
        <v>4444654</v>
      </c>
      <c r="K801" s="261">
        <f t="shared" si="17"/>
        <v>57753</v>
      </c>
      <c r="L801" s="261">
        <f t="shared" si="18"/>
        <v>-57753</v>
      </c>
    </row>
    <row r="802" spans="1:12" x14ac:dyDescent="0.25">
      <c r="A802" s="140" t="s">
        <v>291</v>
      </c>
      <c r="B802" s="142" t="s">
        <v>292</v>
      </c>
      <c r="C802" s="139">
        <v>58</v>
      </c>
      <c r="D802" s="139" t="s">
        <v>128</v>
      </c>
      <c r="E802" s="261">
        <v>2597892</v>
      </c>
      <c r="F802" s="261">
        <v>2597892</v>
      </c>
      <c r="G802" s="287" t="s">
        <v>570</v>
      </c>
      <c r="H802" s="152">
        <f t="shared" si="19"/>
        <v>0</v>
      </c>
      <c r="I802" s="261">
        <v>227843</v>
      </c>
      <c r="J802" s="261">
        <v>227326</v>
      </c>
      <c r="K802" s="261">
        <f t="shared" si="17"/>
        <v>517</v>
      </c>
      <c r="L802" s="261">
        <f t="shared" si="18"/>
        <v>-517</v>
      </c>
    </row>
    <row r="803" spans="1:12" x14ac:dyDescent="0.25">
      <c r="A803" s="140" t="s">
        <v>324</v>
      </c>
      <c r="B803" s="142" t="s">
        <v>297</v>
      </c>
      <c r="C803" s="139">
        <v>208</v>
      </c>
      <c r="D803" s="139" t="s">
        <v>128</v>
      </c>
      <c r="E803" s="261">
        <v>21601815</v>
      </c>
      <c r="F803" s="261">
        <v>21537808</v>
      </c>
      <c r="G803" s="287" t="s">
        <v>570</v>
      </c>
      <c r="H803" s="261">
        <f t="shared" si="19"/>
        <v>64007</v>
      </c>
      <c r="I803" s="261">
        <v>1912828</v>
      </c>
      <c r="J803" s="261">
        <v>1912828</v>
      </c>
      <c r="K803" s="152">
        <f t="shared" si="17"/>
        <v>0</v>
      </c>
      <c r="L803" s="261">
        <f t="shared" si="18"/>
        <v>64007</v>
      </c>
    </row>
    <row r="804" spans="1:12" x14ac:dyDescent="0.25">
      <c r="A804" s="140" t="s">
        <v>230</v>
      </c>
      <c r="B804" s="142" t="s">
        <v>210</v>
      </c>
      <c r="C804" s="139">
        <v>260</v>
      </c>
      <c r="D804" s="139" t="s">
        <v>128</v>
      </c>
      <c r="E804" s="261">
        <v>10398943</v>
      </c>
      <c r="F804" s="261">
        <v>10397070</v>
      </c>
      <c r="G804" s="287" t="s">
        <v>570</v>
      </c>
      <c r="H804" s="261">
        <f t="shared" si="19"/>
        <v>1873</v>
      </c>
      <c r="I804" s="261">
        <v>940785</v>
      </c>
      <c r="J804" s="261">
        <v>940785</v>
      </c>
      <c r="K804" s="152">
        <f t="shared" si="17"/>
        <v>0</v>
      </c>
      <c r="L804" s="261">
        <f t="shared" si="18"/>
        <v>1873</v>
      </c>
    </row>
    <row r="805" spans="1:12" ht="30.75" x14ac:dyDescent="0.25">
      <c r="A805" s="140" t="s">
        <v>277</v>
      </c>
      <c r="B805" s="142" t="s">
        <v>272</v>
      </c>
      <c r="C805" s="139">
        <v>348</v>
      </c>
      <c r="D805" s="139" t="s">
        <v>129</v>
      </c>
      <c r="E805" s="261">
        <v>35228511</v>
      </c>
      <c r="F805" s="261">
        <v>32753841</v>
      </c>
      <c r="G805" s="287" t="s">
        <v>570</v>
      </c>
      <c r="H805" s="261">
        <f t="shared" si="19"/>
        <v>2474670</v>
      </c>
      <c r="I805" s="152">
        <v>0</v>
      </c>
      <c r="J805" s="152">
        <v>0</v>
      </c>
      <c r="K805" s="152">
        <f t="shared" si="17"/>
        <v>0</v>
      </c>
      <c r="L805" s="261">
        <f t="shared" si="18"/>
        <v>2474670</v>
      </c>
    </row>
    <row r="806" spans="1:12" x14ac:dyDescent="0.25">
      <c r="A806" s="140" t="s">
        <v>326</v>
      </c>
      <c r="B806" s="142" t="s">
        <v>247</v>
      </c>
      <c r="C806" s="139">
        <v>140</v>
      </c>
      <c r="D806" s="139" t="s">
        <v>129</v>
      </c>
      <c r="E806" s="261">
        <v>3780229</v>
      </c>
      <c r="F806" s="261">
        <v>3780229</v>
      </c>
      <c r="G806" s="287" t="s">
        <v>570</v>
      </c>
      <c r="H806" s="152">
        <f t="shared" si="19"/>
        <v>0</v>
      </c>
      <c r="I806" s="261">
        <v>66628</v>
      </c>
      <c r="J806" s="261">
        <v>64889</v>
      </c>
      <c r="K806" s="261">
        <f t="shared" si="17"/>
        <v>1739</v>
      </c>
      <c r="L806" s="261">
        <f t="shared" si="18"/>
        <v>-1739</v>
      </c>
    </row>
    <row r="807" spans="1:12" ht="30.75" x14ac:dyDescent="0.25">
      <c r="A807" s="140" t="s">
        <v>191</v>
      </c>
      <c r="B807" s="142" t="s">
        <v>192</v>
      </c>
      <c r="C807" s="139">
        <v>11</v>
      </c>
      <c r="D807" s="139" t="s">
        <v>129</v>
      </c>
      <c r="E807" s="261">
        <v>43276594</v>
      </c>
      <c r="F807" s="261">
        <v>43276594</v>
      </c>
      <c r="G807" s="287" t="s">
        <v>570</v>
      </c>
      <c r="H807" s="152">
        <f t="shared" si="19"/>
        <v>0</v>
      </c>
      <c r="I807" s="261">
        <v>5245736</v>
      </c>
      <c r="J807" s="261">
        <v>5240272</v>
      </c>
      <c r="K807" s="261">
        <f t="shared" si="17"/>
        <v>5464</v>
      </c>
      <c r="L807" s="261">
        <f t="shared" si="18"/>
        <v>-5464</v>
      </c>
    </row>
    <row r="808" spans="1:12" x14ac:dyDescent="0.25">
      <c r="A808" s="140" t="s">
        <v>300</v>
      </c>
      <c r="B808" s="142" t="s">
        <v>210</v>
      </c>
      <c r="C808" s="139">
        <v>26</v>
      </c>
      <c r="D808" s="139" t="s">
        <v>129</v>
      </c>
      <c r="E808" s="261">
        <v>7457120</v>
      </c>
      <c r="F808" s="261">
        <v>7457120</v>
      </c>
      <c r="G808" s="287" t="s">
        <v>570</v>
      </c>
      <c r="H808" s="152">
        <f t="shared" si="19"/>
        <v>0</v>
      </c>
      <c r="I808" s="261">
        <v>1014331</v>
      </c>
      <c r="J808" s="261">
        <v>983829</v>
      </c>
      <c r="K808" s="261">
        <f t="shared" si="17"/>
        <v>30502</v>
      </c>
      <c r="L808" s="261">
        <f t="shared" si="18"/>
        <v>-30502</v>
      </c>
    </row>
    <row r="809" spans="1:12" ht="30.75" x14ac:dyDescent="0.25">
      <c r="A809" s="140" t="s">
        <v>323</v>
      </c>
      <c r="B809" s="142" t="s">
        <v>210</v>
      </c>
      <c r="C809" s="139">
        <v>295</v>
      </c>
      <c r="D809" s="139" t="s">
        <v>129</v>
      </c>
      <c r="E809" s="261">
        <v>136367742</v>
      </c>
      <c r="F809" s="261">
        <v>135960581</v>
      </c>
      <c r="G809" s="287" t="s">
        <v>570</v>
      </c>
      <c r="H809" s="261">
        <f t="shared" si="19"/>
        <v>407161</v>
      </c>
      <c r="I809" s="152">
        <v>0</v>
      </c>
      <c r="J809" s="152">
        <v>0</v>
      </c>
      <c r="K809" s="152">
        <f t="shared" si="17"/>
        <v>0</v>
      </c>
      <c r="L809" s="261">
        <f t="shared" si="18"/>
        <v>407161</v>
      </c>
    </row>
    <row r="810" spans="1:12" x14ac:dyDescent="0.25">
      <c r="A810" s="140" t="s">
        <v>67</v>
      </c>
      <c r="B810" s="142" t="s">
        <v>68</v>
      </c>
      <c r="C810" s="139">
        <v>42</v>
      </c>
      <c r="D810" s="139" t="s">
        <v>129</v>
      </c>
      <c r="E810" s="261">
        <v>14287192</v>
      </c>
      <c r="F810" s="261">
        <v>14287192</v>
      </c>
      <c r="G810" s="287" t="s">
        <v>570</v>
      </c>
      <c r="H810" s="152">
        <f t="shared" si="19"/>
        <v>0</v>
      </c>
      <c r="I810" s="261">
        <v>111664</v>
      </c>
      <c r="J810" s="261">
        <v>111537</v>
      </c>
      <c r="K810" s="261">
        <f t="shared" si="17"/>
        <v>127</v>
      </c>
      <c r="L810" s="261">
        <f t="shared" si="18"/>
        <v>-127</v>
      </c>
    </row>
    <row r="811" spans="1:12" x14ac:dyDescent="0.25">
      <c r="A811" s="140" t="s">
        <v>133</v>
      </c>
      <c r="B811" s="142" t="s">
        <v>57</v>
      </c>
      <c r="C811" s="139">
        <v>92</v>
      </c>
      <c r="D811" s="139" t="s">
        <v>129</v>
      </c>
      <c r="E811" s="261">
        <v>4416671</v>
      </c>
      <c r="F811" s="261">
        <v>4416671</v>
      </c>
      <c r="G811" s="287" t="s">
        <v>570</v>
      </c>
      <c r="H811" s="152">
        <f t="shared" ref="H811:H842" si="20">E811-F811</f>
        <v>0</v>
      </c>
      <c r="I811" s="261">
        <v>67236</v>
      </c>
      <c r="J811" s="261">
        <v>67019</v>
      </c>
      <c r="K811" s="261">
        <f t="shared" ref="K811:K861" si="21">I811-J811</f>
        <v>217</v>
      </c>
      <c r="L811" s="261">
        <f t="shared" ref="L811:L861" si="22">H811-K811</f>
        <v>-217</v>
      </c>
    </row>
    <row r="812" spans="1:12" ht="30.75" x14ac:dyDescent="0.25">
      <c r="A812" s="140" t="s">
        <v>56</v>
      </c>
      <c r="B812" s="142" t="s">
        <v>57</v>
      </c>
      <c r="C812" s="139">
        <v>218</v>
      </c>
      <c r="D812" s="139" t="s">
        <v>129</v>
      </c>
      <c r="E812" s="261">
        <v>222400</v>
      </c>
      <c r="F812" s="261">
        <v>219969</v>
      </c>
      <c r="G812" s="287" t="s">
        <v>570</v>
      </c>
      <c r="H812" s="261">
        <f t="shared" si="20"/>
        <v>2431</v>
      </c>
      <c r="I812" s="152">
        <v>0</v>
      </c>
      <c r="J812" s="152">
        <v>0</v>
      </c>
      <c r="K812" s="152">
        <f t="shared" si="21"/>
        <v>0</v>
      </c>
      <c r="L812" s="261">
        <f t="shared" si="22"/>
        <v>2431</v>
      </c>
    </row>
    <row r="813" spans="1:12" x14ac:dyDescent="0.25">
      <c r="A813" s="140" t="s">
        <v>337</v>
      </c>
      <c r="B813" s="142" t="s">
        <v>336</v>
      </c>
      <c r="C813" s="139">
        <v>137</v>
      </c>
      <c r="D813" s="139" t="s">
        <v>129</v>
      </c>
      <c r="E813" s="261">
        <v>242</v>
      </c>
      <c r="F813" s="261">
        <v>242</v>
      </c>
      <c r="G813" s="287" t="s">
        <v>570</v>
      </c>
      <c r="H813" s="152">
        <f t="shared" si="20"/>
        <v>0</v>
      </c>
      <c r="I813" s="261">
        <v>5578</v>
      </c>
      <c r="J813" s="261">
        <v>5336</v>
      </c>
      <c r="K813" s="261">
        <f t="shared" si="21"/>
        <v>242</v>
      </c>
      <c r="L813" s="261">
        <f t="shared" si="22"/>
        <v>-242</v>
      </c>
    </row>
    <row r="814" spans="1:12" x14ac:dyDescent="0.25">
      <c r="A814" s="140" t="s">
        <v>335</v>
      </c>
      <c r="B814" s="142" t="s">
        <v>336</v>
      </c>
      <c r="C814" s="139">
        <v>184</v>
      </c>
      <c r="D814" s="139" t="s">
        <v>129</v>
      </c>
      <c r="E814" s="261">
        <v>3567570</v>
      </c>
      <c r="F814" s="261">
        <v>3567570</v>
      </c>
      <c r="G814" s="287" t="s">
        <v>570</v>
      </c>
      <c r="H814" s="152">
        <f t="shared" si="20"/>
        <v>0</v>
      </c>
      <c r="I814" s="261">
        <v>21765</v>
      </c>
      <c r="J814" s="261">
        <v>21752</v>
      </c>
      <c r="K814" s="261">
        <f t="shared" si="21"/>
        <v>13</v>
      </c>
      <c r="L814" s="261">
        <f t="shared" si="22"/>
        <v>-13</v>
      </c>
    </row>
    <row r="815" spans="1:12" x14ac:dyDescent="0.25">
      <c r="A815" s="140" t="s">
        <v>324</v>
      </c>
      <c r="B815" s="142" t="s">
        <v>297</v>
      </c>
      <c r="C815" s="139">
        <v>208</v>
      </c>
      <c r="D815" s="139" t="s">
        <v>129</v>
      </c>
      <c r="E815" s="261">
        <v>23284241</v>
      </c>
      <c r="F815" s="261">
        <v>23249938</v>
      </c>
      <c r="G815" s="287" t="s">
        <v>570</v>
      </c>
      <c r="H815" s="261">
        <f t="shared" si="20"/>
        <v>34303</v>
      </c>
      <c r="I815" s="261">
        <v>1272821</v>
      </c>
      <c r="J815" s="261">
        <v>1272821</v>
      </c>
      <c r="K815" s="152">
        <f t="shared" si="21"/>
        <v>0</v>
      </c>
      <c r="L815" s="261">
        <f t="shared" si="22"/>
        <v>34303</v>
      </c>
    </row>
    <row r="816" spans="1:12" ht="30.75" x14ac:dyDescent="0.25">
      <c r="A816" s="140" t="s">
        <v>277</v>
      </c>
      <c r="B816" s="142" t="s">
        <v>272</v>
      </c>
      <c r="C816" s="139">
        <v>348</v>
      </c>
      <c r="D816" s="139" t="s">
        <v>132</v>
      </c>
      <c r="E816" s="261">
        <v>33439820</v>
      </c>
      <c r="F816" s="261">
        <v>31066839</v>
      </c>
      <c r="G816" s="287" t="s">
        <v>570</v>
      </c>
      <c r="H816" s="261">
        <f t="shared" si="20"/>
        <v>2372981</v>
      </c>
      <c r="I816" s="152">
        <v>0</v>
      </c>
      <c r="J816" s="152">
        <v>0</v>
      </c>
      <c r="K816" s="152">
        <f t="shared" si="21"/>
        <v>0</v>
      </c>
      <c r="L816" s="261">
        <f t="shared" si="22"/>
        <v>2372981</v>
      </c>
    </row>
    <row r="817" spans="1:12" ht="30.75" x14ac:dyDescent="0.25">
      <c r="A817" s="140" t="s">
        <v>191</v>
      </c>
      <c r="B817" s="142" t="s">
        <v>192</v>
      </c>
      <c r="C817" s="139">
        <v>11</v>
      </c>
      <c r="D817" s="139" t="s">
        <v>132</v>
      </c>
      <c r="E817" s="261">
        <v>44841220</v>
      </c>
      <c r="F817" s="261">
        <v>44841220</v>
      </c>
      <c r="G817" s="287" t="s">
        <v>570</v>
      </c>
      <c r="H817" s="152">
        <f t="shared" si="20"/>
        <v>0</v>
      </c>
      <c r="I817" s="261">
        <v>4763751</v>
      </c>
      <c r="J817" s="261">
        <v>4753555</v>
      </c>
      <c r="K817" s="261">
        <f t="shared" si="21"/>
        <v>10196</v>
      </c>
      <c r="L817" s="261">
        <f t="shared" si="22"/>
        <v>-10196</v>
      </c>
    </row>
    <row r="818" spans="1:12" ht="30.75" x14ac:dyDescent="0.25">
      <c r="A818" s="140" t="s">
        <v>323</v>
      </c>
      <c r="B818" s="142" t="s">
        <v>210</v>
      </c>
      <c r="C818" s="139">
        <v>295</v>
      </c>
      <c r="D818" s="139" t="s">
        <v>132</v>
      </c>
      <c r="E818" s="261">
        <v>113120944</v>
      </c>
      <c r="F818" s="261">
        <v>113117899</v>
      </c>
      <c r="G818" s="287" t="s">
        <v>570</v>
      </c>
      <c r="H818" s="261">
        <f t="shared" si="20"/>
        <v>3045</v>
      </c>
      <c r="I818" s="152">
        <v>0</v>
      </c>
      <c r="J818" s="152">
        <v>0</v>
      </c>
      <c r="K818" s="152">
        <f t="shared" si="21"/>
        <v>0</v>
      </c>
      <c r="L818" s="261">
        <f t="shared" si="22"/>
        <v>3045</v>
      </c>
    </row>
    <row r="819" spans="1:12" x14ac:dyDescent="0.25">
      <c r="A819" s="140" t="s">
        <v>67</v>
      </c>
      <c r="B819" s="142" t="s">
        <v>68</v>
      </c>
      <c r="C819" s="139">
        <v>42</v>
      </c>
      <c r="D819" s="139" t="s">
        <v>132</v>
      </c>
      <c r="E819" s="261">
        <v>11713000</v>
      </c>
      <c r="F819" s="261">
        <v>11713000</v>
      </c>
      <c r="G819" s="287" t="s">
        <v>570</v>
      </c>
      <c r="H819" s="152">
        <f t="shared" si="20"/>
        <v>0</v>
      </c>
      <c r="I819" s="261">
        <v>1237169</v>
      </c>
      <c r="J819" s="261">
        <v>1236569</v>
      </c>
      <c r="K819" s="261">
        <f t="shared" si="21"/>
        <v>600</v>
      </c>
      <c r="L819" s="261">
        <f t="shared" si="22"/>
        <v>-600</v>
      </c>
    </row>
    <row r="820" spans="1:12" x14ac:dyDescent="0.25">
      <c r="A820" s="140" t="s">
        <v>243</v>
      </c>
      <c r="B820" s="142" t="s">
        <v>229</v>
      </c>
      <c r="C820" s="139">
        <v>244</v>
      </c>
      <c r="D820" s="139" t="s">
        <v>132</v>
      </c>
      <c r="E820" s="261">
        <v>860408</v>
      </c>
      <c r="F820" s="261">
        <v>860408</v>
      </c>
      <c r="G820" s="287" t="s">
        <v>570</v>
      </c>
      <c r="H820" s="152">
        <f t="shared" si="20"/>
        <v>0</v>
      </c>
      <c r="I820" s="261">
        <v>3186168</v>
      </c>
      <c r="J820" s="261">
        <v>1861377</v>
      </c>
      <c r="K820" s="261">
        <f t="shared" si="21"/>
        <v>1324791</v>
      </c>
      <c r="L820" s="261">
        <f t="shared" si="22"/>
        <v>-1324791</v>
      </c>
    </row>
    <row r="821" spans="1:12" x14ac:dyDescent="0.25">
      <c r="A821" s="140" t="s">
        <v>226</v>
      </c>
      <c r="B821" s="142" t="s">
        <v>227</v>
      </c>
      <c r="C821" s="139">
        <v>171</v>
      </c>
      <c r="D821" s="139" t="s">
        <v>132</v>
      </c>
      <c r="E821" s="261">
        <v>2804864</v>
      </c>
      <c r="F821" s="261">
        <v>2804864</v>
      </c>
      <c r="G821" s="287" t="s">
        <v>570</v>
      </c>
      <c r="H821" s="152">
        <f t="shared" si="20"/>
        <v>0</v>
      </c>
      <c r="I821" s="261">
        <v>484721</v>
      </c>
      <c r="J821" s="261">
        <v>484421</v>
      </c>
      <c r="K821" s="261">
        <f t="shared" si="21"/>
        <v>300</v>
      </c>
      <c r="L821" s="261">
        <f t="shared" si="22"/>
        <v>-300</v>
      </c>
    </row>
    <row r="822" spans="1:12" ht="30.75" x14ac:dyDescent="0.25">
      <c r="A822" s="140" t="s">
        <v>277</v>
      </c>
      <c r="B822" s="142" t="s">
        <v>272</v>
      </c>
      <c r="C822" s="139">
        <v>348</v>
      </c>
      <c r="D822" s="139" t="s">
        <v>136</v>
      </c>
      <c r="E822" s="261">
        <v>32997398</v>
      </c>
      <c r="F822" s="261">
        <v>30671594</v>
      </c>
      <c r="G822" s="287" t="s">
        <v>570</v>
      </c>
      <c r="H822" s="261">
        <f t="shared" si="20"/>
        <v>2325804</v>
      </c>
      <c r="I822" s="152">
        <v>0</v>
      </c>
      <c r="J822" s="152">
        <v>0</v>
      </c>
      <c r="K822" s="152">
        <f t="shared" si="21"/>
        <v>0</v>
      </c>
      <c r="L822" s="261">
        <f t="shared" si="22"/>
        <v>2325804</v>
      </c>
    </row>
    <row r="823" spans="1:12" ht="30.75" x14ac:dyDescent="0.25">
      <c r="A823" s="140" t="s">
        <v>191</v>
      </c>
      <c r="B823" s="142" t="s">
        <v>192</v>
      </c>
      <c r="C823" s="139">
        <v>11</v>
      </c>
      <c r="D823" s="139" t="s">
        <v>136</v>
      </c>
      <c r="E823" s="261">
        <v>36462408</v>
      </c>
      <c r="F823" s="261">
        <v>36462408</v>
      </c>
      <c r="G823" s="287" t="s">
        <v>570</v>
      </c>
      <c r="H823" s="152">
        <f t="shared" si="20"/>
        <v>0</v>
      </c>
      <c r="I823" s="261">
        <v>6956351</v>
      </c>
      <c r="J823" s="261">
        <v>6947061</v>
      </c>
      <c r="K823" s="261">
        <f t="shared" si="21"/>
        <v>9290</v>
      </c>
      <c r="L823" s="261">
        <f t="shared" si="22"/>
        <v>-9290</v>
      </c>
    </row>
    <row r="824" spans="1:12" ht="30.75" x14ac:dyDescent="0.25">
      <c r="A824" s="140" t="s">
        <v>327</v>
      </c>
      <c r="B824" s="142" t="s">
        <v>317</v>
      </c>
      <c r="C824" s="139">
        <v>75</v>
      </c>
      <c r="D824" s="139" t="s">
        <v>136</v>
      </c>
      <c r="E824" s="261">
        <v>21038713</v>
      </c>
      <c r="F824" s="261">
        <v>21038713</v>
      </c>
      <c r="G824" s="287" t="s">
        <v>570</v>
      </c>
      <c r="H824" s="152">
        <f t="shared" si="20"/>
        <v>0</v>
      </c>
      <c r="I824" s="261">
        <v>1479796</v>
      </c>
      <c r="J824" s="261">
        <v>1479331</v>
      </c>
      <c r="K824" s="261">
        <f t="shared" si="21"/>
        <v>465</v>
      </c>
      <c r="L824" s="261">
        <f t="shared" si="22"/>
        <v>-465</v>
      </c>
    </row>
    <row r="825" spans="1:12" x14ac:dyDescent="0.25">
      <c r="A825" s="140" t="s">
        <v>257</v>
      </c>
      <c r="B825" s="142" t="s">
        <v>258</v>
      </c>
      <c r="C825" s="139">
        <v>148</v>
      </c>
      <c r="D825" s="139" t="s">
        <v>136</v>
      </c>
      <c r="E825" s="261">
        <v>1779879</v>
      </c>
      <c r="F825" s="261">
        <v>1779879</v>
      </c>
      <c r="G825" s="287" t="s">
        <v>570</v>
      </c>
      <c r="H825" s="152">
        <f t="shared" si="20"/>
        <v>0</v>
      </c>
      <c r="I825" s="261">
        <v>249145</v>
      </c>
      <c r="J825" s="261">
        <v>248887</v>
      </c>
      <c r="K825" s="261">
        <f t="shared" si="21"/>
        <v>258</v>
      </c>
      <c r="L825" s="261">
        <f t="shared" si="22"/>
        <v>-258</v>
      </c>
    </row>
    <row r="826" spans="1:12" ht="30.75" x14ac:dyDescent="0.25">
      <c r="A826" s="140" t="s">
        <v>338</v>
      </c>
      <c r="B826" s="142" t="s">
        <v>258</v>
      </c>
      <c r="C826" s="139">
        <v>149</v>
      </c>
      <c r="D826" s="139" t="s">
        <v>136</v>
      </c>
      <c r="E826" s="261">
        <v>1091525</v>
      </c>
      <c r="F826" s="261">
        <v>1091525</v>
      </c>
      <c r="G826" s="287" t="s">
        <v>570</v>
      </c>
      <c r="H826" s="152">
        <f t="shared" si="20"/>
        <v>0</v>
      </c>
      <c r="I826" s="261">
        <v>437671</v>
      </c>
      <c r="J826" s="261">
        <v>436936</v>
      </c>
      <c r="K826" s="261">
        <f t="shared" si="21"/>
        <v>735</v>
      </c>
      <c r="L826" s="261">
        <f t="shared" si="22"/>
        <v>-735</v>
      </c>
    </row>
    <row r="827" spans="1:12" x14ac:dyDescent="0.25">
      <c r="A827" s="140" t="s">
        <v>133</v>
      </c>
      <c r="B827" s="142" t="s">
        <v>57</v>
      </c>
      <c r="C827" s="139">
        <v>92</v>
      </c>
      <c r="D827" s="139" t="s">
        <v>136</v>
      </c>
      <c r="E827" s="261">
        <v>3396990</v>
      </c>
      <c r="F827" s="261">
        <v>3396990</v>
      </c>
      <c r="G827" s="287" t="s">
        <v>570</v>
      </c>
      <c r="H827" s="152">
        <f t="shared" si="20"/>
        <v>0</v>
      </c>
      <c r="I827" s="261">
        <v>223087</v>
      </c>
      <c r="J827" s="261">
        <v>220400</v>
      </c>
      <c r="K827" s="261">
        <f t="shared" si="21"/>
        <v>2687</v>
      </c>
      <c r="L827" s="261">
        <f t="shared" si="22"/>
        <v>-2687</v>
      </c>
    </row>
    <row r="828" spans="1:12" ht="30.75" x14ac:dyDescent="0.25">
      <c r="A828" s="140" t="s">
        <v>277</v>
      </c>
      <c r="B828" s="142" t="s">
        <v>272</v>
      </c>
      <c r="C828" s="139">
        <v>348</v>
      </c>
      <c r="D828" s="139" t="s">
        <v>137</v>
      </c>
      <c r="E828" s="261">
        <v>31728592</v>
      </c>
      <c r="F828" s="261">
        <v>29479003</v>
      </c>
      <c r="G828" s="287" t="s">
        <v>570</v>
      </c>
      <c r="H828" s="261">
        <f t="shared" si="20"/>
        <v>2249589</v>
      </c>
      <c r="I828" s="152">
        <v>0</v>
      </c>
      <c r="J828" s="152">
        <v>0</v>
      </c>
      <c r="K828" s="152">
        <f t="shared" si="21"/>
        <v>0</v>
      </c>
      <c r="L828" s="261">
        <f t="shared" si="22"/>
        <v>2249589</v>
      </c>
    </row>
    <row r="829" spans="1:12" ht="30.75" x14ac:dyDescent="0.25">
      <c r="A829" s="140" t="s">
        <v>191</v>
      </c>
      <c r="B829" s="142" t="s">
        <v>192</v>
      </c>
      <c r="C829" s="139">
        <v>11</v>
      </c>
      <c r="D829" s="139" t="s">
        <v>137</v>
      </c>
      <c r="E829" s="261">
        <v>35731370</v>
      </c>
      <c r="F829" s="261">
        <v>35731370</v>
      </c>
      <c r="G829" s="287" t="s">
        <v>570</v>
      </c>
      <c r="H829" s="152">
        <f t="shared" si="20"/>
        <v>0</v>
      </c>
      <c r="I829" s="261">
        <v>8222200</v>
      </c>
      <c r="J829" s="261">
        <v>8207235</v>
      </c>
      <c r="K829" s="261">
        <f t="shared" si="21"/>
        <v>14965</v>
      </c>
      <c r="L829" s="261">
        <f t="shared" si="22"/>
        <v>-14965</v>
      </c>
    </row>
    <row r="830" spans="1:12" x14ac:dyDescent="0.25">
      <c r="A830" s="140" t="s">
        <v>133</v>
      </c>
      <c r="B830" s="142" t="s">
        <v>57</v>
      </c>
      <c r="C830" s="139">
        <v>92</v>
      </c>
      <c r="D830" s="139" t="s">
        <v>137</v>
      </c>
      <c r="E830" s="261">
        <v>2713598</v>
      </c>
      <c r="F830" s="261">
        <v>2713598</v>
      </c>
      <c r="G830" s="287" t="s">
        <v>570</v>
      </c>
      <c r="H830" s="152">
        <f t="shared" si="20"/>
        <v>0</v>
      </c>
      <c r="I830" s="261">
        <v>217201</v>
      </c>
      <c r="J830" s="261">
        <v>217050</v>
      </c>
      <c r="K830" s="261">
        <f t="shared" si="21"/>
        <v>151</v>
      </c>
      <c r="L830" s="261">
        <f t="shared" si="22"/>
        <v>-151</v>
      </c>
    </row>
    <row r="831" spans="1:12" ht="30.75" x14ac:dyDescent="0.25">
      <c r="A831" s="140" t="s">
        <v>329</v>
      </c>
      <c r="B831" s="142" t="s">
        <v>330</v>
      </c>
      <c r="C831" s="139">
        <v>156</v>
      </c>
      <c r="D831" s="139" t="s">
        <v>137</v>
      </c>
      <c r="E831" s="261">
        <v>5772216</v>
      </c>
      <c r="F831" s="261">
        <v>5772216</v>
      </c>
      <c r="G831" s="287" t="s">
        <v>570</v>
      </c>
      <c r="H831" s="152">
        <f t="shared" si="20"/>
        <v>0</v>
      </c>
      <c r="I831" s="261">
        <v>136699</v>
      </c>
      <c r="J831" s="261">
        <v>136651</v>
      </c>
      <c r="K831" s="261">
        <f t="shared" si="21"/>
        <v>48</v>
      </c>
      <c r="L831" s="261">
        <f t="shared" si="22"/>
        <v>-48</v>
      </c>
    </row>
    <row r="832" spans="1:12" x14ac:dyDescent="0.25">
      <c r="A832" s="140" t="s">
        <v>291</v>
      </c>
      <c r="B832" s="142" t="s">
        <v>292</v>
      </c>
      <c r="C832" s="139">
        <v>58</v>
      </c>
      <c r="D832" s="139" t="s">
        <v>137</v>
      </c>
      <c r="E832" s="261">
        <v>2051761</v>
      </c>
      <c r="F832" s="261">
        <v>2051761</v>
      </c>
      <c r="G832" s="287" t="s">
        <v>570</v>
      </c>
      <c r="H832" s="152">
        <f t="shared" si="20"/>
        <v>0</v>
      </c>
      <c r="I832" s="261">
        <v>64789</v>
      </c>
      <c r="J832" s="261">
        <v>64485</v>
      </c>
      <c r="K832" s="261">
        <f t="shared" si="21"/>
        <v>304</v>
      </c>
      <c r="L832" s="261">
        <f t="shared" si="22"/>
        <v>-304</v>
      </c>
    </row>
    <row r="833" spans="1:12" x14ac:dyDescent="0.25">
      <c r="A833" s="140" t="s">
        <v>325</v>
      </c>
      <c r="B833" s="142" t="s">
        <v>186</v>
      </c>
      <c r="C833" s="139">
        <v>123</v>
      </c>
      <c r="D833" s="139" t="s">
        <v>138</v>
      </c>
      <c r="E833" s="261">
        <v>2063016</v>
      </c>
      <c r="F833" s="261">
        <v>2063016</v>
      </c>
      <c r="G833" s="287" t="s">
        <v>570</v>
      </c>
      <c r="H833" s="152">
        <f t="shared" si="20"/>
        <v>0</v>
      </c>
      <c r="I833" s="261">
        <v>691837</v>
      </c>
      <c r="J833" s="261">
        <v>691774</v>
      </c>
      <c r="K833" s="261">
        <f t="shared" si="21"/>
        <v>63</v>
      </c>
      <c r="L833" s="261">
        <f t="shared" si="22"/>
        <v>-63</v>
      </c>
    </row>
    <row r="834" spans="1:12" ht="30.75" x14ac:dyDescent="0.25">
      <c r="A834" s="140" t="s">
        <v>277</v>
      </c>
      <c r="B834" s="142" t="s">
        <v>272</v>
      </c>
      <c r="C834" s="139">
        <v>348</v>
      </c>
      <c r="D834" s="139" t="s">
        <v>138</v>
      </c>
      <c r="E834" s="261">
        <v>30064772</v>
      </c>
      <c r="F834" s="261">
        <v>27948374</v>
      </c>
      <c r="G834" s="287" t="s">
        <v>570</v>
      </c>
      <c r="H834" s="261">
        <f t="shared" si="20"/>
        <v>2116398</v>
      </c>
      <c r="I834" s="152">
        <v>0</v>
      </c>
      <c r="J834" s="152">
        <v>0</v>
      </c>
      <c r="K834" s="152">
        <f t="shared" si="21"/>
        <v>0</v>
      </c>
      <c r="L834" s="261">
        <f t="shared" si="22"/>
        <v>2116398</v>
      </c>
    </row>
    <row r="835" spans="1:12" ht="30.75" x14ac:dyDescent="0.25">
      <c r="A835" s="140" t="s">
        <v>191</v>
      </c>
      <c r="B835" s="142" t="s">
        <v>192</v>
      </c>
      <c r="C835" s="139">
        <v>11</v>
      </c>
      <c r="D835" s="139" t="s">
        <v>138</v>
      </c>
      <c r="E835" s="261">
        <v>31593705</v>
      </c>
      <c r="F835" s="261">
        <v>31593705</v>
      </c>
      <c r="G835" s="287" t="s">
        <v>570</v>
      </c>
      <c r="H835" s="152">
        <f t="shared" si="20"/>
        <v>0</v>
      </c>
      <c r="I835" s="261">
        <v>9201086</v>
      </c>
      <c r="J835" s="261">
        <v>9191407</v>
      </c>
      <c r="K835" s="261">
        <f t="shared" si="21"/>
        <v>9679</v>
      </c>
      <c r="L835" s="261">
        <f t="shared" si="22"/>
        <v>-9679</v>
      </c>
    </row>
    <row r="836" spans="1:12" x14ac:dyDescent="0.25">
      <c r="A836" s="140" t="s">
        <v>339</v>
      </c>
      <c r="B836" s="142" t="s">
        <v>340</v>
      </c>
      <c r="C836" s="139">
        <v>79</v>
      </c>
      <c r="D836" s="139" t="s">
        <v>138</v>
      </c>
      <c r="E836" s="261">
        <v>2929406</v>
      </c>
      <c r="F836" s="261">
        <v>2929406</v>
      </c>
      <c r="G836" s="287" t="s">
        <v>570</v>
      </c>
      <c r="H836" s="152">
        <f t="shared" si="20"/>
        <v>0</v>
      </c>
      <c r="I836" s="261">
        <v>60858</v>
      </c>
      <c r="J836" s="261">
        <v>60790</v>
      </c>
      <c r="K836" s="261">
        <f t="shared" si="21"/>
        <v>68</v>
      </c>
      <c r="L836" s="261">
        <f t="shared" si="22"/>
        <v>-68</v>
      </c>
    </row>
    <row r="837" spans="1:12" ht="30.75" x14ac:dyDescent="0.25">
      <c r="A837" s="140" t="s">
        <v>327</v>
      </c>
      <c r="B837" s="142" t="s">
        <v>317</v>
      </c>
      <c r="C837" s="139">
        <v>75</v>
      </c>
      <c r="D837" s="139" t="s">
        <v>138</v>
      </c>
      <c r="E837" s="261">
        <v>7354211</v>
      </c>
      <c r="F837" s="261">
        <v>7354211</v>
      </c>
      <c r="G837" s="287" t="s">
        <v>570</v>
      </c>
      <c r="H837" s="152">
        <f t="shared" si="20"/>
        <v>0</v>
      </c>
      <c r="I837" s="261">
        <v>62469</v>
      </c>
      <c r="J837" s="261">
        <v>62179</v>
      </c>
      <c r="K837" s="261">
        <f t="shared" si="21"/>
        <v>290</v>
      </c>
      <c r="L837" s="261">
        <f t="shared" si="22"/>
        <v>-290</v>
      </c>
    </row>
    <row r="838" spans="1:12" x14ac:dyDescent="0.25">
      <c r="A838" s="140" t="s">
        <v>133</v>
      </c>
      <c r="B838" s="142" t="s">
        <v>57</v>
      </c>
      <c r="C838" s="139">
        <v>92</v>
      </c>
      <c r="D838" s="139" t="s">
        <v>138</v>
      </c>
      <c r="E838" s="261">
        <v>1774560</v>
      </c>
      <c r="F838" s="261">
        <v>1774560</v>
      </c>
      <c r="G838" s="287" t="s">
        <v>570</v>
      </c>
      <c r="H838" s="152">
        <f t="shared" si="20"/>
        <v>0</v>
      </c>
      <c r="I838" s="261">
        <v>208523</v>
      </c>
      <c r="J838" s="261">
        <v>208225</v>
      </c>
      <c r="K838" s="261">
        <f t="shared" si="21"/>
        <v>298</v>
      </c>
      <c r="L838" s="261">
        <f t="shared" si="22"/>
        <v>-298</v>
      </c>
    </row>
    <row r="839" spans="1:12" ht="30.75" x14ac:dyDescent="0.25">
      <c r="A839" s="140" t="s">
        <v>329</v>
      </c>
      <c r="B839" s="142" t="s">
        <v>330</v>
      </c>
      <c r="C839" s="139">
        <v>156</v>
      </c>
      <c r="D839" s="139" t="s">
        <v>138</v>
      </c>
      <c r="E839" s="261">
        <v>4726009</v>
      </c>
      <c r="F839" s="261">
        <v>4726009</v>
      </c>
      <c r="G839" s="287" t="s">
        <v>570</v>
      </c>
      <c r="H839" s="152">
        <f t="shared" si="20"/>
        <v>0</v>
      </c>
      <c r="I839" s="261">
        <v>86368</v>
      </c>
      <c r="J839" s="261">
        <v>86324</v>
      </c>
      <c r="K839" s="261">
        <f t="shared" si="21"/>
        <v>44</v>
      </c>
      <c r="L839" s="261">
        <f t="shared" si="22"/>
        <v>-44</v>
      </c>
    </row>
    <row r="840" spans="1:12" x14ac:dyDescent="0.25">
      <c r="A840" s="140" t="s">
        <v>341</v>
      </c>
      <c r="B840" s="142" t="s">
        <v>342</v>
      </c>
      <c r="C840" s="139">
        <v>115</v>
      </c>
      <c r="D840" s="139" t="s">
        <v>138</v>
      </c>
      <c r="E840" s="261">
        <v>562926</v>
      </c>
      <c r="F840" s="261">
        <v>562926</v>
      </c>
      <c r="G840" s="287" t="s">
        <v>570</v>
      </c>
      <c r="H840" s="152">
        <f t="shared" si="20"/>
        <v>0</v>
      </c>
      <c r="I840" s="261">
        <v>219834</v>
      </c>
      <c r="J840" s="261">
        <v>219565</v>
      </c>
      <c r="K840" s="261">
        <f t="shared" si="21"/>
        <v>269</v>
      </c>
      <c r="L840" s="261">
        <f t="shared" si="22"/>
        <v>-269</v>
      </c>
    </row>
    <row r="841" spans="1:12" ht="30.75" x14ac:dyDescent="0.25">
      <c r="A841" s="140" t="s">
        <v>277</v>
      </c>
      <c r="B841" s="142" t="s">
        <v>272</v>
      </c>
      <c r="C841" s="139">
        <v>348</v>
      </c>
      <c r="D841" s="139" t="s">
        <v>139</v>
      </c>
      <c r="E841" s="261">
        <v>28400653</v>
      </c>
      <c r="F841" s="261">
        <v>26404035</v>
      </c>
      <c r="G841" s="287" t="s">
        <v>570</v>
      </c>
      <c r="H841" s="261">
        <f t="shared" si="20"/>
        <v>1996618</v>
      </c>
      <c r="I841" s="152">
        <v>0</v>
      </c>
      <c r="J841" s="152">
        <v>0</v>
      </c>
      <c r="K841" s="152">
        <f t="shared" si="21"/>
        <v>0</v>
      </c>
      <c r="L841" s="261">
        <f t="shared" si="22"/>
        <v>1996618</v>
      </c>
    </row>
    <row r="842" spans="1:12" x14ac:dyDescent="0.25">
      <c r="A842" s="140" t="s">
        <v>133</v>
      </c>
      <c r="B842" s="142" t="s">
        <v>57</v>
      </c>
      <c r="C842" s="139">
        <v>92</v>
      </c>
      <c r="D842" s="139" t="s">
        <v>139</v>
      </c>
      <c r="E842" s="261">
        <v>1128612</v>
      </c>
      <c r="F842" s="261">
        <v>1128612</v>
      </c>
      <c r="G842" s="287" t="s">
        <v>570</v>
      </c>
      <c r="H842" s="152">
        <f t="shared" si="20"/>
        <v>0</v>
      </c>
      <c r="I842" s="261">
        <v>2880</v>
      </c>
      <c r="J842" s="261">
        <v>2634</v>
      </c>
      <c r="K842" s="261">
        <f t="shared" si="21"/>
        <v>246</v>
      </c>
      <c r="L842" s="261">
        <f t="shared" si="22"/>
        <v>-246</v>
      </c>
    </row>
    <row r="843" spans="1:12" ht="30.75" x14ac:dyDescent="0.25">
      <c r="A843" s="140" t="s">
        <v>310</v>
      </c>
      <c r="B843" s="142" t="s">
        <v>311</v>
      </c>
      <c r="C843" s="139">
        <v>151</v>
      </c>
      <c r="D843" s="139" t="s">
        <v>139</v>
      </c>
      <c r="E843" s="261">
        <v>544631</v>
      </c>
      <c r="F843" s="261">
        <v>544631</v>
      </c>
      <c r="G843" s="287" t="s">
        <v>570</v>
      </c>
      <c r="H843" s="152">
        <f t="shared" ref="H843:H861" si="23">E843-F843</f>
        <v>0</v>
      </c>
      <c r="I843" s="261">
        <v>3055</v>
      </c>
      <c r="J843" s="261">
        <v>2643</v>
      </c>
      <c r="K843" s="261">
        <f t="shared" si="21"/>
        <v>412</v>
      </c>
      <c r="L843" s="261">
        <f t="shared" si="22"/>
        <v>-412</v>
      </c>
    </row>
    <row r="844" spans="1:12" ht="30.75" x14ac:dyDescent="0.25">
      <c r="A844" s="140" t="s">
        <v>329</v>
      </c>
      <c r="B844" s="142" t="s">
        <v>330</v>
      </c>
      <c r="C844" s="139">
        <v>156</v>
      </c>
      <c r="D844" s="139" t="s">
        <v>139</v>
      </c>
      <c r="E844" s="261">
        <v>4230530</v>
      </c>
      <c r="F844" s="261">
        <v>4230530</v>
      </c>
      <c r="G844" s="287" t="s">
        <v>570</v>
      </c>
      <c r="H844" s="152">
        <f t="shared" si="23"/>
        <v>0</v>
      </c>
      <c r="I844" s="261">
        <v>73525</v>
      </c>
      <c r="J844" s="261">
        <v>73477</v>
      </c>
      <c r="K844" s="261">
        <f t="shared" si="21"/>
        <v>48</v>
      </c>
      <c r="L844" s="261">
        <f t="shared" si="22"/>
        <v>-48</v>
      </c>
    </row>
    <row r="845" spans="1:12" ht="30.75" x14ac:dyDescent="0.25">
      <c r="A845" s="140" t="s">
        <v>277</v>
      </c>
      <c r="B845" s="142" t="s">
        <v>272</v>
      </c>
      <c r="C845" s="139">
        <v>348</v>
      </c>
      <c r="D845" s="139" t="s">
        <v>343</v>
      </c>
      <c r="E845" s="261">
        <v>27596496</v>
      </c>
      <c r="F845" s="261">
        <v>25255912</v>
      </c>
      <c r="G845" s="287" t="s">
        <v>570</v>
      </c>
      <c r="H845" s="261">
        <f t="shared" si="23"/>
        <v>2340584</v>
      </c>
      <c r="I845" s="152">
        <v>0</v>
      </c>
      <c r="J845" s="152">
        <v>0</v>
      </c>
      <c r="K845" s="152">
        <f t="shared" si="21"/>
        <v>0</v>
      </c>
      <c r="L845" s="261">
        <f t="shared" si="22"/>
        <v>2340584</v>
      </c>
    </row>
    <row r="846" spans="1:12" ht="30.75" x14ac:dyDescent="0.25">
      <c r="A846" s="140" t="s">
        <v>191</v>
      </c>
      <c r="B846" s="142" t="s">
        <v>192</v>
      </c>
      <c r="C846" s="139">
        <v>11</v>
      </c>
      <c r="D846" s="139" t="s">
        <v>343</v>
      </c>
      <c r="E846" s="261">
        <v>29969495</v>
      </c>
      <c r="F846" s="261">
        <v>29969495</v>
      </c>
      <c r="G846" s="287" t="s">
        <v>570</v>
      </c>
      <c r="H846" s="152">
        <f t="shared" si="23"/>
        <v>0</v>
      </c>
      <c r="I846" s="261">
        <v>3859762</v>
      </c>
      <c r="J846" s="261">
        <v>3792203</v>
      </c>
      <c r="K846" s="261">
        <f t="shared" si="21"/>
        <v>67559</v>
      </c>
      <c r="L846" s="261">
        <f t="shared" si="22"/>
        <v>-67559</v>
      </c>
    </row>
    <row r="847" spans="1:12" x14ac:dyDescent="0.25">
      <c r="A847" s="140" t="s">
        <v>133</v>
      </c>
      <c r="B847" s="142" t="s">
        <v>57</v>
      </c>
      <c r="C847" s="139">
        <v>92</v>
      </c>
      <c r="D847" s="139" t="s">
        <v>343</v>
      </c>
      <c r="E847" s="261">
        <v>748308</v>
      </c>
      <c r="F847" s="261">
        <v>748308</v>
      </c>
      <c r="G847" s="287" t="s">
        <v>570</v>
      </c>
      <c r="H847" s="152">
        <f t="shared" si="23"/>
        <v>0</v>
      </c>
      <c r="I847" s="261">
        <v>551</v>
      </c>
      <c r="J847" s="152">
        <v>0</v>
      </c>
      <c r="K847" s="261">
        <f t="shared" si="21"/>
        <v>551</v>
      </c>
      <c r="L847" s="261">
        <f t="shared" si="22"/>
        <v>-551</v>
      </c>
    </row>
    <row r="848" spans="1:12" ht="30.75" x14ac:dyDescent="0.25">
      <c r="A848" s="140" t="s">
        <v>329</v>
      </c>
      <c r="B848" s="142" t="s">
        <v>330</v>
      </c>
      <c r="C848" s="139">
        <v>156</v>
      </c>
      <c r="D848" s="139" t="s">
        <v>343</v>
      </c>
      <c r="E848" s="261">
        <v>2184496</v>
      </c>
      <c r="F848" s="261">
        <v>2184496</v>
      </c>
      <c r="G848" s="287" t="s">
        <v>570</v>
      </c>
      <c r="H848" s="152">
        <f t="shared" si="23"/>
        <v>0</v>
      </c>
      <c r="I848" s="261">
        <v>32867</v>
      </c>
      <c r="J848" s="261">
        <v>32835</v>
      </c>
      <c r="K848" s="261">
        <f t="shared" si="21"/>
        <v>32</v>
      </c>
      <c r="L848" s="261">
        <f t="shared" si="22"/>
        <v>-32</v>
      </c>
    </row>
    <row r="849" spans="1:12" x14ac:dyDescent="0.25">
      <c r="A849" s="140" t="s">
        <v>344</v>
      </c>
      <c r="B849" s="142" t="s">
        <v>345</v>
      </c>
      <c r="C849" s="139">
        <v>114</v>
      </c>
      <c r="D849" s="139" t="s">
        <v>140</v>
      </c>
      <c r="E849" s="261">
        <v>11846195</v>
      </c>
      <c r="F849" s="261">
        <v>11846195</v>
      </c>
      <c r="G849" s="287" t="s">
        <v>570</v>
      </c>
      <c r="H849" s="152">
        <f t="shared" si="23"/>
        <v>0</v>
      </c>
      <c r="I849" s="261">
        <v>1179938</v>
      </c>
      <c r="J849" s="261">
        <v>1179552</v>
      </c>
      <c r="K849" s="261">
        <f t="shared" si="21"/>
        <v>386</v>
      </c>
      <c r="L849" s="261">
        <f t="shared" si="22"/>
        <v>-386</v>
      </c>
    </row>
    <row r="850" spans="1:12" ht="30.75" x14ac:dyDescent="0.25">
      <c r="A850" s="140" t="s">
        <v>191</v>
      </c>
      <c r="B850" s="142" t="s">
        <v>192</v>
      </c>
      <c r="C850" s="139">
        <v>11</v>
      </c>
      <c r="D850" s="139" t="s">
        <v>140</v>
      </c>
      <c r="E850" s="261">
        <v>29309462</v>
      </c>
      <c r="F850" s="261">
        <v>29309462</v>
      </c>
      <c r="G850" s="287" t="s">
        <v>570</v>
      </c>
      <c r="H850" s="152">
        <f t="shared" si="23"/>
        <v>0</v>
      </c>
      <c r="I850" s="261">
        <v>3004258</v>
      </c>
      <c r="J850" s="261">
        <v>2983106</v>
      </c>
      <c r="K850" s="261">
        <f t="shared" si="21"/>
        <v>21152</v>
      </c>
      <c r="L850" s="261">
        <f t="shared" si="22"/>
        <v>-21152</v>
      </c>
    </row>
    <row r="851" spans="1:12" x14ac:dyDescent="0.25">
      <c r="A851" s="140" t="s">
        <v>339</v>
      </c>
      <c r="B851" s="142" t="s">
        <v>340</v>
      </c>
      <c r="C851" s="139">
        <v>79</v>
      </c>
      <c r="D851" s="139" t="s">
        <v>140</v>
      </c>
      <c r="E851" s="261">
        <v>1853410</v>
      </c>
      <c r="F851" s="261">
        <v>1853410</v>
      </c>
      <c r="G851" s="287" t="s">
        <v>570</v>
      </c>
      <c r="H851" s="152">
        <f t="shared" si="23"/>
        <v>0</v>
      </c>
      <c r="I851" s="261">
        <v>654070</v>
      </c>
      <c r="J851" s="261">
        <v>649037</v>
      </c>
      <c r="K851" s="261">
        <f t="shared" si="21"/>
        <v>5033</v>
      </c>
      <c r="L851" s="261">
        <f t="shared" si="22"/>
        <v>-5033</v>
      </c>
    </row>
    <row r="852" spans="1:12" x14ac:dyDescent="0.25">
      <c r="A852" s="140" t="s">
        <v>344</v>
      </c>
      <c r="B852" s="142" t="s">
        <v>345</v>
      </c>
      <c r="C852" s="139">
        <v>114</v>
      </c>
      <c r="D852" s="139" t="s">
        <v>143</v>
      </c>
      <c r="E852" s="261">
        <v>10650345</v>
      </c>
      <c r="F852" s="261">
        <v>10650345</v>
      </c>
      <c r="G852" s="287" t="s">
        <v>570</v>
      </c>
      <c r="H852" s="152">
        <f t="shared" si="23"/>
        <v>0</v>
      </c>
      <c r="I852" s="261">
        <v>1058329</v>
      </c>
      <c r="J852" s="261">
        <v>1057915</v>
      </c>
      <c r="K852" s="261">
        <f t="shared" si="21"/>
        <v>414</v>
      </c>
      <c r="L852" s="261">
        <f t="shared" si="22"/>
        <v>-414</v>
      </c>
    </row>
    <row r="853" spans="1:12" x14ac:dyDescent="0.25">
      <c r="A853" s="140" t="s">
        <v>133</v>
      </c>
      <c r="B853" s="142" t="s">
        <v>57</v>
      </c>
      <c r="C853" s="139">
        <v>92</v>
      </c>
      <c r="D853" s="139" t="s">
        <v>143</v>
      </c>
      <c r="E853" s="261">
        <v>869812</v>
      </c>
      <c r="F853" s="261">
        <v>869812</v>
      </c>
      <c r="G853" s="287" t="s">
        <v>570</v>
      </c>
      <c r="H853" s="152">
        <f t="shared" si="23"/>
        <v>0</v>
      </c>
      <c r="I853" s="261">
        <v>302710</v>
      </c>
      <c r="J853" s="261">
        <v>302634</v>
      </c>
      <c r="K853" s="261">
        <f t="shared" si="21"/>
        <v>76</v>
      </c>
      <c r="L853" s="261">
        <f t="shared" si="22"/>
        <v>-76</v>
      </c>
    </row>
    <row r="854" spans="1:12" x14ac:dyDescent="0.25">
      <c r="A854" s="140" t="s">
        <v>344</v>
      </c>
      <c r="B854" s="142" t="s">
        <v>345</v>
      </c>
      <c r="C854" s="139">
        <v>114</v>
      </c>
      <c r="D854" s="139" t="s">
        <v>146</v>
      </c>
      <c r="E854" s="261">
        <v>9961940</v>
      </c>
      <c r="F854" s="261">
        <v>9961940</v>
      </c>
      <c r="G854" s="287" t="s">
        <v>570</v>
      </c>
      <c r="H854" s="152">
        <f t="shared" si="23"/>
        <v>0</v>
      </c>
      <c r="I854" s="261">
        <v>1019995</v>
      </c>
      <c r="J854" s="261">
        <v>1019595</v>
      </c>
      <c r="K854" s="261">
        <f t="shared" si="21"/>
        <v>400</v>
      </c>
      <c r="L854" s="261">
        <f t="shared" si="22"/>
        <v>-400</v>
      </c>
    </row>
    <row r="855" spans="1:12" x14ac:dyDescent="0.25">
      <c r="A855" s="140" t="s">
        <v>300</v>
      </c>
      <c r="B855" s="142" t="s">
        <v>210</v>
      </c>
      <c r="C855" s="139">
        <v>26</v>
      </c>
      <c r="D855" s="139" t="s">
        <v>146</v>
      </c>
      <c r="E855" s="261">
        <v>5435894</v>
      </c>
      <c r="F855" s="261">
        <v>5435894</v>
      </c>
      <c r="G855" s="287" t="s">
        <v>570</v>
      </c>
      <c r="H855" s="152">
        <f t="shared" si="23"/>
        <v>0</v>
      </c>
      <c r="I855" s="261">
        <v>2940929</v>
      </c>
      <c r="J855" s="261">
        <v>2591660</v>
      </c>
      <c r="K855" s="261">
        <f t="shared" si="21"/>
        <v>349269</v>
      </c>
      <c r="L855" s="261">
        <f t="shared" si="22"/>
        <v>-349269</v>
      </c>
    </row>
    <row r="856" spans="1:12" x14ac:dyDescent="0.25">
      <c r="A856" s="140" t="s">
        <v>344</v>
      </c>
      <c r="B856" s="142" t="s">
        <v>345</v>
      </c>
      <c r="C856" s="139">
        <v>114</v>
      </c>
      <c r="D856" s="139" t="s">
        <v>346</v>
      </c>
      <c r="E856" s="261">
        <v>9684270</v>
      </c>
      <c r="F856" s="261">
        <v>9684270</v>
      </c>
      <c r="G856" s="287" t="s">
        <v>570</v>
      </c>
      <c r="H856" s="152">
        <f t="shared" si="23"/>
        <v>0</v>
      </c>
      <c r="I856" s="261">
        <v>954100</v>
      </c>
      <c r="J856" s="261">
        <v>953623</v>
      </c>
      <c r="K856" s="261">
        <f t="shared" si="21"/>
        <v>477</v>
      </c>
      <c r="L856" s="261">
        <f t="shared" si="22"/>
        <v>-477</v>
      </c>
    </row>
    <row r="857" spans="1:12" x14ac:dyDescent="0.25">
      <c r="A857" s="140" t="s">
        <v>300</v>
      </c>
      <c r="B857" s="142" t="s">
        <v>210</v>
      </c>
      <c r="C857" s="139">
        <v>26</v>
      </c>
      <c r="D857" s="139" t="s">
        <v>346</v>
      </c>
      <c r="E857" s="261">
        <v>8260170</v>
      </c>
      <c r="F857" s="261">
        <v>8260170</v>
      </c>
      <c r="G857" s="287" t="s">
        <v>570</v>
      </c>
      <c r="H857" s="152">
        <f t="shared" si="23"/>
        <v>0</v>
      </c>
      <c r="I857" s="261">
        <v>611477</v>
      </c>
      <c r="J857" s="261">
        <v>571387</v>
      </c>
      <c r="K857" s="261">
        <f t="shared" si="21"/>
        <v>40090</v>
      </c>
      <c r="L857" s="261">
        <f t="shared" si="22"/>
        <v>-40090</v>
      </c>
    </row>
    <row r="858" spans="1:12" x14ac:dyDescent="0.25">
      <c r="A858" s="140" t="s">
        <v>344</v>
      </c>
      <c r="B858" s="142" t="s">
        <v>345</v>
      </c>
      <c r="C858" s="139">
        <v>114</v>
      </c>
      <c r="D858" s="139" t="s">
        <v>347</v>
      </c>
      <c r="E858" s="261">
        <v>8195968</v>
      </c>
      <c r="F858" s="261">
        <v>8195968</v>
      </c>
      <c r="G858" s="287" t="s">
        <v>570</v>
      </c>
      <c r="H858" s="152">
        <f t="shared" si="23"/>
        <v>0</v>
      </c>
      <c r="I858" s="261">
        <v>880183</v>
      </c>
      <c r="J858" s="261">
        <v>879682</v>
      </c>
      <c r="K858" s="261">
        <f t="shared" si="21"/>
        <v>501</v>
      </c>
      <c r="L858" s="261">
        <f>H858-K858</f>
        <v>-501</v>
      </c>
    </row>
    <row r="859" spans="1:12" x14ac:dyDescent="0.25">
      <c r="A859" s="140" t="s">
        <v>344</v>
      </c>
      <c r="B859" s="142" t="s">
        <v>345</v>
      </c>
      <c r="C859" s="139">
        <v>114</v>
      </c>
      <c r="D859" s="139" t="s">
        <v>348</v>
      </c>
      <c r="E859" s="261">
        <v>8055062</v>
      </c>
      <c r="F859" s="261">
        <v>8055062</v>
      </c>
      <c r="G859" s="287" t="s">
        <v>570</v>
      </c>
      <c r="H859" s="152">
        <f t="shared" si="23"/>
        <v>0</v>
      </c>
      <c r="I859" s="261">
        <v>803598</v>
      </c>
      <c r="J859" s="261">
        <v>803123</v>
      </c>
      <c r="K859" s="261">
        <f t="shared" si="21"/>
        <v>475</v>
      </c>
      <c r="L859" s="261">
        <f t="shared" si="22"/>
        <v>-475</v>
      </c>
    </row>
    <row r="860" spans="1:12" x14ac:dyDescent="0.25">
      <c r="A860" s="140" t="s">
        <v>344</v>
      </c>
      <c r="B860" s="142" t="s">
        <v>345</v>
      </c>
      <c r="C860" s="139">
        <v>114</v>
      </c>
      <c r="D860" s="139" t="s">
        <v>349</v>
      </c>
      <c r="E860" s="261">
        <v>7376797</v>
      </c>
      <c r="F860" s="261">
        <v>7376797</v>
      </c>
      <c r="G860" s="287" t="s">
        <v>570</v>
      </c>
      <c r="H860" s="152">
        <f t="shared" si="23"/>
        <v>0</v>
      </c>
      <c r="I860" s="261">
        <v>727817</v>
      </c>
      <c r="J860" s="261">
        <v>726917</v>
      </c>
      <c r="K860" s="261">
        <f t="shared" si="21"/>
        <v>900</v>
      </c>
      <c r="L860" s="261">
        <f t="shared" si="22"/>
        <v>-900</v>
      </c>
    </row>
    <row r="861" spans="1:12" x14ac:dyDescent="0.25">
      <c r="A861" s="140" t="s">
        <v>344</v>
      </c>
      <c r="B861" s="142" t="s">
        <v>345</v>
      </c>
      <c r="C861" s="139">
        <v>114</v>
      </c>
      <c r="D861" s="139" t="s">
        <v>350</v>
      </c>
      <c r="E861" s="261">
        <v>7513308</v>
      </c>
      <c r="F861" s="261">
        <v>7513308</v>
      </c>
      <c r="G861" s="288" t="s">
        <v>480</v>
      </c>
      <c r="H861" s="152">
        <f t="shared" si="23"/>
        <v>0</v>
      </c>
      <c r="I861" s="261">
        <v>588899</v>
      </c>
      <c r="J861" s="261">
        <v>588367</v>
      </c>
      <c r="K861" s="261">
        <f t="shared" si="21"/>
        <v>532</v>
      </c>
      <c r="L861" s="261">
        <f t="shared" si="22"/>
        <v>-532</v>
      </c>
    </row>
    <row r="862" spans="1:12" ht="18" customHeight="1" x14ac:dyDescent="0.25">
      <c r="A862" s="70" t="s">
        <v>507</v>
      </c>
      <c r="B862" s="182" t="s">
        <v>480</v>
      </c>
      <c r="C862" s="182" t="s">
        <v>480</v>
      </c>
      <c r="D862" s="182" t="s">
        <v>480</v>
      </c>
      <c r="E862" s="263">
        <f>SUBTOTAL(109,fundedschooldistricts[Program
Costs])</f>
        <v>6020380383</v>
      </c>
      <c r="F862" s="263">
        <f>SUBTOTAL(109,fundedschooldistricts[Less: Net Payments and Offsets 2])</f>
        <v>5313265454</v>
      </c>
      <c r="G862" s="182" t="s">
        <v>480</v>
      </c>
      <c r="H862" s="183">
        <f>SUBTOTAL(109,fundedschooldistricts[Account Payable
 Balance])</f>
        <v>707114929</v>
      </c>
      <c r="I862" s="263">
        <f>SUBTOTAL(109,fundedschooldistricts[Established
Account Receivable])</f>
        <v>195263044</v>
      </c>
      <c r="J862" s="263">
        <f>SUBTOTAL(109,fundedschooldistricts[Less: Recovered Amount])</f>
        <v>143557844</v>
      </c>
      <c r="K862" s="263">
        <f>SUBTOTAL(109,fundedschooldistricts[Account Receivable
Balance])</f>
        <v>51705200</v>
      </c>
      <c r="L862" s="352">
        <f>SUBTOTAL(109,fundedschooldistricts[Net
Balance])</f>
        <v>655409729</v>
      </c>
    </row>
    <row r="863" spans="1:12" x14ac:dyDescent="0.25">
      <c r="A863" s="143" t="s">
        <v>573</v>
      </c>
      <c r="B863" s="33"/>
      <c r="C863" s="293"/>
      <c r="D863" s="293"/>
      <c r="E863" s="295"/>
      <c r="F863" s="295"/>
      <c r="G863" s="294"/>
      <c r="H863" s="295"/>
      <c r="I863" s="295"/>
      <c r="J863" s="295"/>
      <c r="K863" s="295"/>
      <c r="L863" s="295"/>
    </row>
    <row r="864" spans="1:12" ht="18.75" x14ac:dyDescent="0.25">
      <c r="A864" s="144" t="s">
        <v>506</v>
      </c>
    </row>
  </sheetData>
  <hyperlinks>
    <hyperlink ref="F2" location="'Schedule B1-Schools'!A863" display="Less: Net Payments and Offsets 2"/>
  </hyperlinks>
  <printOptions horizontalCentered="1" gridLines="1"/>
  <pageMargins left="0.3" right="0.3" top="1" bottom="0.75" header="0.3" footer="0.3"/>
  <pageSetup scale="60" firstPageNumber="12" fitToHeight="0" orientation="landscape" r:id="rId1"/>
  <headerFooter>
    <oddHeader xml:space="preserve">&amp;C&amp;"Arial,Bold"&amp;12 </oddHeader>
    <oddFooter>&amp;L&amp;"Arial,Regular"&amp;12Schedule B1: Detail of Funded State-Mandated Programs by Fiscal Year
School Districts&amp;R&amp;"Arial,Regular"&amp;12Page &amp;P of &amp;N</oddFooter>
  </headerFooter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L76"/>
  <sheetViews>
    <sheetView zoomScale="85" zoomScaleNormal="85" zoomScalePageLayoutView="90" workbookViewId="0">
      <selection sqref="A1:L1"/>
    </sheetView>
  </sheetViews>
  <sheetFormatPr defaultColWidth="9.140625" defaultRowHeight="15.75" x14ac:dyDescent="0.25"/>
  <cols>
    <col min="1" max="1" width="49.85546875" style="2" customWidth="1"/>
    <col min="2" max="2" width="17.5703125" style="3" customWidth="1"/>
    <col min="3" max="3" width="13.7109375" style="4" customWidth="1"/>
    <col min="4" max="4" width="14.42578125" style="2" customWidth="1"/>
    <col min="5" max="5" width="18.85546875" style="6" customWidth="1"/>
    <col min="6" max="6" width="25.140625" style="6" customWidth="1"/>
    <col min="7" max="7" width="1.7109375" style="289" customWidth="1"/>
    <col min="8" max="8" width="21" style="6" customWidth="1"/>
    <col min="9" max="9" width="22.7109375" style="6" customWidth="1"/>
    <col min="10" max="10" width="19.28515625" style="6" customWidth="1"/>
    <col min="11" max="11" width="18.140625" style="6" customWidth="1"/>
    <col min="12" max="12" width="16" style="37" bestFit="1" customWidth="1"/>
    <col min="13" max="16384" width="9.140625" style="37"/>
  </cols>
  <sheetData>
    <row r="1" spans="1:12" s="159" customFormat="1" ht="54" x14ac:dyDescent="0.25">
      <c r="A1" s="160" t="s">
        <v>494</v>
      </c>
      <c r="B1" s="161"/>
      <c r="C1" s="161"/>
      <c r="D1" s="161"/>
      <c r="E1" s="175"/>
      <c r="F1" s="175"/>
      <c r="G1" s="176"/>
      <c r="H1" s="175"/>
      <c r="I1" s="175"/>
      <c r="J1" s="175"/>
      <c r="K1" s="175"/>
      <c r="L1" s="177"/>
    </row>
    <row r="2" spans="1:12" s="20" customFormat="1" ht="47.25" customHeight="1" x14ac:dyDescent="0.25">
      <c r="A2" s="123" t="s">
        <v>10</v>
      </c>
      <c r="B2" s="123" t="s">
        <v>0</v>
      </c>
      <c r="C2" s="123" t="s">
        <v>48</v>
      </c>
      <c r="D2" s="123" t="s">
        <v>9</v>
      </c>
      <c r="E2" s="179" t="s">
        <v>43</v>
      </c>
      <c r="F2" s="180" t="s">
        <v>505</v>
      </c>
      <c r="G2" s="286" t="s">
        <v>571</v>
      </c>
      <c r="H2" s="179" t="s">
        <v>495</v>
      </c>
      <c r="I2" s="179" t="s">
        <v>496</v>
      </c>
      <c r="J2" s="179" t="s">
        <v>50</v>
      </c>
      <c r="K2" s="179" t="s">
        <v>497</v>
      </c>
      <c r="L2" s="179" t="s">
        <v>49</v>
      </c>
    </row>
    <row r="3" spans="1:12" ht="30.75" x14ac:dyDescent="0.25">
      <c r="A3" s="140" t="s">
        <v>191</v>
      </c>
      <c r="B3" s="144" t="s">
        <v>192</v>
      </c>
      <c r="C3" s="139">
        <v>232</v>
      </c>
      <c r="D3" s="139" t="s">
        <v>38</v>
      </c>
      <c r="E3" s="261">
        <v>54721</v>
      </c>
      <c r="F3" s="261">
        <v>8356</v>
      </c>
      <c r="G3" s="288" t="s">
        <v>480</v>
      </c>
      <c r="H3" s="261">
        <f t="shared" ref="H3:H34" si="0">E3-F3</f>
        <v>46365</v>
      </c>
      <c r="I3" s="152">
        <v>0</v>
      </c>
      <c r="J3" s="152">
        <v>0</v>
      </c>
      <c r="K3" s="152">
        <f>I3-J3</f>
        <v>0</v>
      </c>
      <c r="L3" s="261">
        <f>H3-K3</f>
        <v>46365</v>
      </c>
    </row>
    <row r="4" spans="1:12" x14ac:dyDescent="0.25">
      <c r="A4" s="140" t="s">
        <v>352</v>
      </c>
      <c r="B4" s="144" t="s">
        <v>270</v>
      </c>
      <c r="C4" s="139">
        <v>267</v>
      </c>
      <c r="D4" s="139" t="s">
        <v>38</v>
      </c>
      <c r="E4" s="261">
        <v>321143</v>
      </c>
      <c r="F4" s="261">
        <v>121251</v>
      </c>
      <c r="G4" s="288" t="s">
        <v>480</v>
      </c>
      <c r="H4" s="261">
        <f t="shared" si="0"/>
        <v>199892</v>
      </c>
      <c r="I4" s="152">
        <v>0</v>
      </c>
      <c r="J4" s="152">
        <v>0</v>
      </c>
      <c r="K4" s="152">
        <f t="shared" ref="K4:K67" si="1">I4-J4</f>
        <v>0</v>
      </c>
      <c r="L4" s="261">
        <f t="shared" ref="L4:L67" si="2">H4-K4</f>
        <v>199892</v>
      </c>
    </row>
    <row r="5" spans="1:12" x14ac:dyDescent="0.25">
      <c r="A5" s="140" t="s">
        <v>353</v>
      </c>
      <c r="B5" s="144" t="s">
        <v>354</v>
      </c>
      <c r="C5" s="139">
        <v>347</v>
      </c>
      <c r="D5" s="139" t="s">
        <v>38</v>
      </c>
      <c r="E5" s="152">
        <v>0</v>
      </c>
      <c r="F5" s="152">
        <v>0</v>
      </c>
      <c r="G5" s="288" t="s">
        <v>480</v>
      </c>
      <c r="H5" s="152">
        <f t="shared" si="0"/>
        <v>0</v>
      </c>
      <c r="I5" s="261">
        <v>1000</v>
      </c>
      <c r="J5" s="152">
        <v>0</v>
      </c>
      <c r="K5" s="261">
        <f t="shared" si="1"/>
        <v>1000</v>
      </c>
      <c r="L5" s="261">
        <f t="shared" si="2"/>
        <v>-1000</v>
      </c>
    </row>
    <row r="6" spans="1:12" ht="30.75" x14ac:dyDescent="0.25">
      <c r="A6" s="140" t="s">
        <v>191</v>
      </c>
      <c r="B6" s="144" t="s">
        <v>192</v>
      </c>
      <c r="C6" s="139">
        <v>232</v>
      </c>
      <c r="D6" s="139" t="s">
        <v>53</v>
      </c>
      <c r="E6" s="261">
        <v>488941</v>
      </c>
      <c r="F6" s="261">
        <v>439154</v>
      </c>
      <c r="G6" s="288" t="s">
        <v>480</v>
      </c>
      <c r="H6" s="261">
        <f t="shared" si="0"/>
        <v>49787</v>
      </c>
      <c r="I6" s="152">
        <v>0</v>
      </c>
      <c r="J6" s="152">
        <v>0</v>
      </c>
      <c r="K6" s="152">
        <f t="shared" si="1"/>
        <v>0</v>
      </c>
      <c r="L6" s="261">
        <f t="shared" si="2"/>
        <v>49787</v>
      </c>
    </row>
    <row r="7" spans="1:12" x14ac:dyDescent="0.25">
      <c r="A7" s="140" t="s">
        <v>352</v>
      </c>
      <c r="B7" s="144" t="s">
        <v>270</v>
      </c>
      <c r="C7" s="139">
        <v>267</v>
      </c>
      <c r="D7" s="139" t="s">
        <v>53</v>
      </c>
      <c r="E7" s="261">
        <v>390536</v>
      </c>
      <c r="F7" s="261">
        <v>241191</v>
      </c>
      <c r="G7" s="288" t="s">
        <v>480</v>
      </c>
      <c r="H7" s="261">
        <f t="shared" si="0"/>
        <v>149345</v>
      </c>
      <c r="I7" s="152">
        <v>0</v>
      </c>
      <c r="J7" s="152">
        <v>0</v>
      </c>
      <c r="K7" s="152">
        <f t="shared" si="1"/>
        <v>0</v>
      </c>
      <c r="L7" s="261">
        <f t="shared" si="2"/>
        <v>149345</v>
      </c>
    </row>
    <row r="8" spans="1:12" x14ac:dyDescent="0.25">
      <c r="A8" s="140" t="s">
        <v>353</v>
      </c>
      <c r="B8" s="144" t="s">
        <v>354</v>
      </c>
      <c r="C8" s="139">
        <v>347</v>
      </c>
      <c r="D8" s="139" t="s">
        <v>53</v>
      </c>
      <c r="E8" s="152">
        <v>0</v>
      </c>
      <c r="F8" s="152">
        <v>0</v>
      </c>
      <c r="G8" s="288" t="s">
        <v>480</v>
      </c>
      <c r="H8" s="152">
        <f t="shared" si="0"/>
        <v>0</v>
      </c>
      <c r="I8" s="261">
        <v>1000</v>
      </c>
      <c r="J8" s="152">
        <v>0</v>
      </c>
      <c r="K8" s="261">
        <f t="shared" si="1"/>
        <v>1000</v>
      </c>
      <c r="L8" s="261">
        <f t="shared" si="2"/>
        <v>-1000</v>
      </c>
    </row>
    <row r="9" spans="1:12" ht="30.75" x14ac:dyDescent="0.25">
      <c r="A9" s="140" t="s">
        <v>191</v>
      </c>
      <c r="B9" s="144" t="s">
        <v>192</v>
      </c>
      <c r="C9" s="139">
        <v>232</v>
      </c>
      <c r="D9" s="139" t="s">
        <v>54</v>
      </c>
      <c r="E9" s="261">
        <v>233153</v>
      </c>
      <c r="F9" s="261">
        <v>161629</v>
      </c>
      <c r="G9" s="288" t="s">
        <v>480</v>
      </c>
      <c r="H9" s="261">
        <f t="shared" si="0"/>
        <v>71524</v>
      </c>
      <c r="I9" s="152">
        <v>0</v>
      </c>
      <c r="J9" s="152">
        <v>0</v>
      </c>
      <c r="K9" s="152">
        <f t="shared" si="1"/>
        <v>0</v>
      </c>
      <c r="L9" s="261">
        <f t="shared" si="2"/>
        <v>71524</v>
      </c>
    </row>
    <row r="10" spans="1:12" x14ac:dyDescent="0.25">
      <c r="A10" s="140" t="s">
        <v>352</v>
      </c>
      <c r="B10" s="144" t="s">
        <v>270</v>
      </c>
      <c r="C10" s="139">
        <v>267</v>
      </c>
      <c r="D10" s="139" t="s">
        <v>54</v>
      </c>
      <c r="E10" s="261">
        <v>536777</v>
      </c>
      <c r="F10" s="261">
        <v>237059</v>
      </c>
      <c r="G10" s="288" t="s">
        <v>480</v>
      </c>
      <c r="H10" s="261">
        <f t="shared" si="0"/>
        <v>299718</v>
      </c>
      <c r="I10" s="152">
        <v>0</v>
      </c>
      <c r="J10" s="152">
        <v>0</v>
      </c>
      <c r="K10" s="152">
        <f t="shared" si="1"/>
        <v>0</v>
      </c>
      <c r="L10" s="261">
        <f t="shared" si="2"/>
        <v>299718</v>
      </c>
    </row>
    <row r="11" spans="1:12" x14ac:dyDescent="0.25">
      <c r="A11" s="140" t="s">
        <v>274</v>
      </c>
      <c r="B11" s="144" t="s">
        <v>68</v>
      </c>
      <c r="C11" s="139">
        <v>320</v>
      </c>
      <c r="D11" s="139" t="s">
        <v>54</v>
      </c>
      <c r="E11" s="261">
        <v>75416</v>
      </c>
      <c r="F11" s="261">
        <v>57555</v>
      </c>
      <c r="G11" s="288" t="s">
        <v>480</v>
      </c>
      <c r="H11" s="261">
        <f t="shared" si="0"/>
        <v>17861</v>
      </c>
      <c r="I11" s="152">
        <v>0</v>
      </c>
      <c r="J11" s="152">
        <v>0</v>
      </c>
      <c r="K11" s="152">
        <f t="shared" si="1"/>
        <v>0</v>
      </c>
      <c r="L11" s="261">
        <f t="shared" si="2"/>
        <v>17861</v>
      </c>
    </row>
    <row r="12" spans="1:12" x14ac:dyDescent="0.25">
      <c r="A12" s="140" t="s">
        <v>353</v>
      </c>
      <c r="B12" s="144" t="s">
        <v>354</v>
      </c>
      <c r="C12" s="139">
        <v>347</v>
      </c>
      <c r="D12" s="139" t="s">
        <v>54</v>
      </c>
      <c r="E12" s="152">
        <v>0</v>
      </c>
      <c r="F12" s="152">
        <v>0</v>
      </c>
      <c r="G12" s="288" t="s">
        <v>480</v>
      </c>
      <c r="H12" s="152">
        <f t="shared" si="0"/>
        <v>0</v>
      </c>
      <c r="I12" s="261">
        <v>1000</v>
      </c>
      <c r="J12" s="152">
        <v>0</v>
      </c>
      <c r="K12" s="261">
        <f t="shared" si="1"/>
        <v>1000</v>
      </c>
      <c r="L12" s="261">
        <f t="shared" si="2"/>
        <v>-1000</v>
      </c>
    </row>
    <row r="13" spans="1:12" x14ac:dyDescent="0.25">
      <c r="A13" s="140" t="s">
        <v>355</v>
      </c>
      <c r="B13" s="144" t="s">
        <v>57</v>
      </c>
      <c r="C13" s="139">
        <v>238</v>
      </c>
      <c r="D13" s="139" t="s">
        <v>54</v>
      </c>
      <c r="E13" s="261">
        <v>77295</v>
      </c>
      <c r="F13" s="261">
        <v>69101</v>
      </c>
      <c r="G13" s="288" t="s">
        <v>480</v>
      </c>
      <c r="H13" s="261">
        <f t="shared" si="0"/>
        <v>8194</v>
      </c>
      <c r="I13" s="152">
        <v>0</v>
      </c>
      <c r="J13" s="152">
        <v>0</v>
      </c>
      <c r="K13" s="152">
        <f t="shared" si="1"/>
        <v>0</v>
      </c>
      <c r="L13" s="261">
        <f t="shared" si="2"/>
        <v>8194</v>
      </c>
    </row>
    <row r="14" spans="1:12" ht="30.75" x14ac:dyDescent="0.25">
      <c r="A14" s="140" t="s">
        <v>191</v>
      </c>
      <c r="B14" s="144" t="s">
        <v>192</v>
      </c>
      <c r="C14" s="139">
        <v>232</v>
      </c>
      <c r="D14" s="139" t="s">
        <v>55</v>
      </c>
      <c r="E14" s="261">
        <v>3644350</v>
      </c>
      <c r="F14" s="261">
        <v>3444323</v>
      </c>
      <c r="G14" s="288" t="s">
        <v>480</v>
      </c>
      <c r="H14" s="261">
        <f t="shared" si="0"/>
        <v>200027</v>
      </c>
      <c r="I14" s="152">
        <v>0</v>
      </c>
      <c r="J14" s="152">
        <v>0</v>
      </c>
      <c r="K14" s="152">
        <f t="shared" si="1"/>
        <v>0</v>
      </c>
      <c r="L14" s="261">
        <f t="shared" si="2"/>
        <v>200027</v>
      </c>
    </row>
    <row r="15" spans="1:12" x14ac:dyDescent="0.25">
      <c r="A15" s="140" t="s">
        <v>356</v>
      </c>
      <c r="B15" s="144" t="s">
        <v>357</v>
      </c>
      <c r="C15" s="139">
        <v>332</v>
      </c>
      <c r="D15" s="139" t="s">
        <v>55</v>
      </c>
      <c r="E15" s="261">
        <v>141970</v>
      </c>
      <c r="F15" s="261">
        <v>86745</v>
      </c>
      <c r="G15" s="288" t="s">
        <v>480</v>
      </c>
      <c r="H15" s="261">
        <f t="shared" si="0"/>
        <v>55225</v>
      </c>
      <c r="I15" s="152">
        <v>0</v>
      </c>
      <c r="J15" s="152">
        <v>0</v>
      </c>
      <c r="K15" s="152">
        <f t="shared" si="1"/>
        <v>0</v>
      </c>
      <c r="L15" s="261">
        <f t="shared" si="2"/>
        <v>55225</v>
      </c>
    </row>
    <row r="16" spans="1:12" x14ac:dyDescent="0.25">
      <c r="A16" s="140" t="s">
        <v>352</v>
      </c>
      <c r="B16" s="144" t="s">
        <v>270</v>
      </c>
      <c r="C16" s="139">
        <v>267</v>
      </c>
      <c r="D16" s="139" t="s">
        <v>55</v>
      </c>
      <c r="E16" s="261">
        <v>3224800</v>
      </c>
      <c r="F16" s="261">
        <v>2793676</v>
      </c>
      <c r="G16" s="288" t="s">
        <v>480</v>
      </c>
      <c r="H16" s="261">
        <f t="shared" si="0"/>
        <v>431124</v>
      </c>
      <c r="I16" s="152">
        <v>0</v>
      </c>
      <c r="J16" s="152">
        <v>0</v>
      </c>
      <c r="K16" s="152">
        <f t="shared" si="1"/>
        <v>0</v>
      </c>
      <c r="L16" s="261">
        <f t="shared" si="2"/>
        <v>431124</v>
      </c>
    </row>
    <row r="17" spans="1:12" x14ac:dyDescent="0.25">
      <c r="A17" s="140" t="s">
        <v>358</v>
      </c>
      <c r="B17" s="144" t="s">
        <v>359</v>
      </c>
      <c r="C17" s="139">
        <v>234</v>
      </c>
      <c r="D17" s="139" t="s">
        <v>55</v>
      </c>
      <c r="E17" s="261">
        <v>5088326</v>
      </c>
      <c r="F17" s="261">
        <v>4654500</v>
      </c>
      <c r="G17" s="288" t="s">
        <v>480</v>
      </c>
      <c r="H17" s="261">
        <f t="shared" si="0"/>
        <v>433826</v>
      </c>
      <c r="I17" s="152">
        <v>0</v>
      </c>
      <c r="J17" s="152">
        <v>0</v>
      </c>
      <c r="K17" s="152">
        <f t="shared" si="1"/>
        <v>0</v>
      </c>
      <c r="L17" s="261">
        <f t="shared" si="2"/>
        <v>433826</v>
      </c>
    </row>
    <row r="18" spans="1:12" x14ac:dyDescent="0.25">
      <c r="A18" s="140" t="s">
        <v>274</v>
      </c>
      <c r="B18" s="144" t="s">
        <v>68</v>
      </c>
      <c r="C18" s="139">
        <v>320</v>
      </c>
      <c r="D18" s="139" t="s">
        <v>55</v>
      </c>
      <c r="E18" s="261">
        <v>594187</v>
      </c>
      <c r="F18" s="261">
        <v>543655</v>
      </c>
      <c r="G18" s="288" t="s">
        <v>480</v>
      </c>
      <c r="H18" s="261">
        <f t="shared" si="0"/>
        <v>50532</v>
      </c>
      <c r="I18" s="152">
        <v>0</v>
      </c>
      <c r="J18" s="152">
        <v>0</v>
      </c>
      <c r="K18" s="152">
        <f t="shared" si="1"/>
        <v>0</v>
      </c>
      <c r="L18" s="261">
        <f t="shared" si="2"/>
        <v>50532</v>
      </c>
    </row>
    <row r="19" spans="1:12" x14ac:dyDescent="0.25">
      <c r="A19" s="140" t="s">
        <v>353</v>
      </c>
      <c r="B19" s="144" t="s">
        <v>354</v>
      </c>
      <c r="C19" s="139">
        <v>347</v>
      </c>
      <c r="D19" s="139" t="s">
        <v>55</v>
      </c>
      <c r="E19" s="261">
        <v>5570956</v>
      </c>
      <c r="F19" s="261">
        <v>3907483</v>
      </c>
      <c r="G19" s="288" t="s">
        <v>480</v>
      </c>
      <c r="H19" s="261">
        <f t="shared" si="0"/>
        <v>1663473</v>
      </c>
      <c r="I19" s="152">
        <v>0</v>
      </c>
      <c r="J19" s="152">
        <v>0</v>
      </c>
      <c r="K19" s="152">
        <f t="shared" si="1"/>
        <v>0</v>
      </c>
      <c r="L19" s="261">
        <f t="shared" si="2"/>
        <v>1663473</v>
      </c>
    </row>
    <row r="20" spans="1:12" x14ac:dyDescent="0.25">
      <c r="A20" s="140" t="s">
        <v>355</v>
      </c>
      <c r="B20" s="144" t="s">
        <v>57</v>
      </c>
      <c r="C20" s="139">
        <v>238</v>
      </c>
      <c r="D20" s="139" t="s">
        <v>55</v>
      </c>
      <c r="E20" s="261">
        <v>1362137</v>
      </c>
      <c r="F20" s="261">
        <v>1191354</v>
      </c>
      <c r="G20" s="288" t="s">
        <v>480</v>
      </c>
      <c r="H20" s="261">
        <f t="shared" si="0"/>
        <v>170783</v>
      </c>
      <c r="I20" s="152">
        <v>0</v>
      </c>
      <c r="J20" s="152">
        <v>0</v>
      </c>
      <c r="K20" s="152">
        <f t="shared" si="1"/>
        <v>0</v>
      </c>
      <c r="L20" s="261">
        <f t="shared" si="2"/>
        <v>170783</v>
      </c>
    </row>
    <row r="21" spans="1:12" x14ac:dyDescent="0.25">
      <c r="A21" s="140" t="s">
        <v>360</v>
      </c>
      <c r="B21" s="144" t="s">
        <v>208</v>
      </c>
      <c r="C21" s="139">
        <v>301</v>
      </c>
      <c r="D21" s="139" t="s">
        <v>55</v>
      </c>
      <c r="E21" s="261">
        <v>705908</v>
      </c>
      <c r="F21" s="261">
        <v>664522</v>
      </c>
      <c r="G21" s="288" t="s">
        <v>480</v>
      </c>
      <c r="H21" s="261">
        <f t="shared" si="0"/>
        <v>41386</v>
      </c>
      <c r="I21" s="152">
        <v>0</v>
      </c>
      <c r="J21" s="152">
        <v>0</v>
      </c>
      <c r="K21" s="152">
        <f t="shared" si="1"/>
        <v>0</v>
      </c>
      <c r="L21" s="261">
        <f t="shared" si="2"/>
        <v>41386</v>
      </c>
    </row>
    <row r="22" spans="1:12" ht="30.75" x14ac:dyDescent="0.25">
      <c r="A22" s="140" t="s">
        <v>191</v>
      </c>
      <c r="B22" s="144" t="s">
        <v>192</v>
      </c>
      <c r="C22" s="139">
        <v>232</v>
      </c>
      <c r="D22" s="139" t="s">
        <v>58</v>
      </c>
      <c r="E22" s="261">
        <v>3804239</v>
      </c>
      <c r="F22" s="261">
        <v>3701869</v>
      </c>
      <c r="G22" s="288" t="s">
        <v>480</v>
      </c>
      <c r="H22" s="261">
        <f t="shared" si="0"/>
        <v>102370</v>
      </c>
      <c r="I22" s="152">
        <v>0</v>
      </c>
      <c r="J22" s="152">
        <v>0</v>
      </c>
      <c r="K22" s="152">
        <f t="shared" si="1"/>
        <v>0</v>
      </c>
      <c r="L22" s="261">
        <f t="shared" si="2"/>
        <v>102370</v>
      </c>
    </row>
    <row r="23" spans="1:12" x14ac:dyDescent="0.25">
      <c r="A23" s="140" t="s">
        <v>352</v>
      </c>
      <c r="B23" s="144" t="s">
        <v>270</v>
      </c>
      <c r="C23" s="139">
        <v>267</v>
      </c>
      <c r="D23" s="139" t="s">
        <v>58</v>
      </c>
      <c r="E23" s="261">
        <v>5522032</v>
      </c>
      <c r="F23" s="261">
        <v>4696717</v>
      </c>
      <c r="G23" s="288" t="s">
        <v>480</v>
      </c>
      <c r="H23" s="261">
        <f t="shared" si="0"/>
        <v>825315</v>
      </c>
      <c r="I23" s="152">
        <v>0</v>
      </c>
      <c r="J23" s="152">
        <v>0</v>
      </c>
      <c r="K23" s="152">
        <f t="shared" si="1"/>
        <v>0</v>
      </c>
      <c r="L23" s="261">
        <f t="shared" si="2"/>
        <v>825315</v>
      </c>
    </row>
    <row r="24" spans="1:12" x14ac:dyDescent="0.25">
      <c r="A24" s="140" t="s">
        <v>361</v>
      </c>
      <c r="B24" s="144" t="s">
        <v>362</v>
      </c>
      <c r="C24" s="139">
        <v>256</v>
      </c>
      <c r="D24" s="139" t="s">
        <v>58</v>
      </c>
      <c r="E24" s="261">
        <v>292934</v>
      </c>
      <c r="F24" s="261">
        <v>269889</v>
      </c>
      <c r="G24" s="288" t="s">
        <v>480</v>
      </c>
      <c r="H24" s="261">
        <f t="shared" si="0"/>
        <v>23045</v>
      </c>
      <c r="I24" s="152">
        <v>0</v>
      </c>
      <c r="J24" s="152">
        <v>0</v>
      </c>
      <c r="K24" s="152">
        <f t="shared" si="1"/>
        <v>0</v>
      </c>
      <c r="L24" s="261">
        <f t="shared" si="2"/>
        <v>23045</v>
      </c>
    </row>
    <row r="25" spans="1:12" x14ac:dyDescent="0.25">
      <c r="A25" s="140" t="s">
        <v>67</v>
      </c>
      <c r="B25" s="144" t="s">
        <v>68</v>
      </c>
      <c r="C25" s="139">
        <v>237</v>
      </c>
      <c r="D25" s="139" t="s">
        <v>58</v>
      </c>
      <c r="E25" s="261">
        <v>676281</v>
      </c>
      <c r="F25" s="261">
        <v>650651</v>
      </c>
      <c r="G25" s="288" t="s">
        <v>480</v>
      </c>
      <c r="H25" s="261">
        <f t="shared" si="0"/>
        <v>25630</v>
      </c>
      <c r="I25" s="152">
        <v>0</v>
      </c>
      <c r="J25" s="152">
        <v>0</v>
      </c>
      <c r="K25" s="152">
        <f t="shared" si="1"/>
        <v>0</v>
      </c>
      <c r="L25" s="261">
        <f t="shared" si="2"/>
        <v>25630</v>
      </c>
    </row>
    <row r="26" spans="1:12" x14ac:dyDescent="0.25">
      <c r="A26" s="140" t="s">
        <v>353</v>
      </c>
      <c r="B26" s="144" t="s">
        <v>354</v>
      </c>
      <c r="C26" s="139">
        <v>347</v>
      </c>
      <c r="D26" s="139" t="s">
        <v>58</v>
      </c>
      <c r="E26" s="261">
        <v>5189154</v>
      </c>
      <c r="F26" s="261">
        <v>4698840</v>
      </c>
      <c r="G26" s="288" t="s">
        <v>480</v>
      </c>
      <c r="H26" s="261">
        <f t="shared" si="0"/>
        <v>490314</v>
      </c>
      <c r="I26" s="152">
        <v>0</v>
      </c>
      <c r="J26" s="152">
        <v>0</v>
      </c>
      <c r="K26" s="152">
        <f t="shared" si="1"/>
        <v>0</v>
      </c>
      <c r="L26" s="261">
        <f t="shared" si="2"/>
        <v>490314</v>
      </c>
    </row>
    <row r="27" spans="1:12" x14ac:dyDescent="0.25">
      <c r="A27" s="140" t="s">
        <v>355</v>
      </c>
      <c r="B27" s="144" t="s">
        <v>57</v>
      </c>
      <c r="C27" s="139">
        <v>238</v>
      </c>
      <c r="D27" s="139" t="s">
        <v>58</v>
      </c>
      <c r="E27" s="261">
        <v>1420015</v>
      </c>
      <c r="F27" s="261">
        <v>1398983</v>
      </c>
      <c r="G27" s="288" t="s">
        <v>480</v>
      </c>
      <c r="H27" s="261">
        <f t="shared" si="0"/>
        <v>21032</v>
      </c>
      <c r="I27" s="152">
        <v>0</v>
      </c>
      <c r="J27" s="152">
        <v>0</v>
      </c>
      <c r="K27" s="152">
        <f t="shared" si="1"/>
        <v>0</v>
      </c>
      <c r="L27" s="261">
        <f t="shared" si="2"/>
        <v>21032</v>
      </c>
    </row>
    <row r="28" spans="1:12" ht="30.75" x14ac:dyDescent="0.25">
      <c r="A28" s="140" t="s">
        <v>191</v>
      </c>
      <c r="B28" s="144" t="s">
        <v>192</v>
      </c>
      <c r="C28" s="139">
        <v>232</v>
      </c>
      <c r="D28" s="139" t="s">
        <v>37</v>
      </c>
      <c r="E28" s="261">
        <v>4586540</v>
      </c>
      <c r="F28" s="261">
        <v>4468686</v>
      </c>
      <c r="G28" s="288" t="s">
        <v>480</v>
      </c>
      <c r="H28" s="261">
        <f t="shared" si="0"/>
        <v>117854</v>
      </c>
      <c r="I28" s="261">
        <v>4602</v>
      </c>
      <c r="J28" s="152">
        <v>0</v>
      </c>
      <c r="K28" s="261">
        <f t="shared" si="1"/>
        <v>4602</v>
      </c>
      <c r="L28" s="261">
        <f t="shared" si="2"/>
        <v>113252</v>
      </c>
    </row>
    <row r="29" spans="1:12" x14ac:dyDescent="0.25">
      <c r="A29" s="140" t="s">
        <v>352</v>
      </c>
      <c r="B29" s="144" t="s">
        <v>270</v>
      </c>
      <c r="C29" s="139">
        <v>267</v>
      </c>
      <c r="D29" s="139" t="s">
        <v>37</v>
      </c>
      <c r="E29" s="261">
        <v>7294856</v>
      </c>
      <c r="F29" s="261">
        <v>6709311</v>
      </c>
      <c r="G29" s="288" t="s">
        <v>480</v>
      </c>
      <c r="H29" s="261">
        <f t="shared" si="0"/>
        <v>585545</v>
      </c>
      <c r="I29" s="261">
        <v>1598277</v>
      </c>
      <c r="J29" s="152">
        <v>0</v>
      </c>
      <c r="K29" s="261">
        <f t="shared" si="1"/>
        <v>1598277</v>
      </c>
      <c r="L29" s="261">
        <f t="shared" si="2"/>
        <v>-1012732</v>
      </c>
    </row>
    <row r="30" spans="1:12" x14ac:dyDescent="0.25">
      <c r="A30" s="140" t="s">
        <v>358</v>
      </c>
      <c r="B30" s="144" t="s">
        <v>359</v>
      </c>
      <c r="C30" s="139">
        <v>234</v>
      </c>
      <c r="D30" s="139" t="s">
        <v>37</v>
      </c>
      <c r="E30" s="261">
        <v>3066366</v>
      </c>
      <c r="F30" s="261">
        <v>3066366</v>
      </c>
      <c r="G30" s="288" t="s">
        <v>480</v>
      </c>
      <c r="H30" s="152">
        <f t="shared" si="0"/>
        <v>0</v>
      </c>
      <c r="I30" s="261">
        <v>1619834</v>
      </c>
      <c r="J30" s="261">
        <v>258603</v>
      </c>
      <c r="K30" s="261">
        <f t="shared" si="1"/>
        <v>1361231</v>
      </c>
      <c r="L30" s="261">
        <f t="shared" si="2"/>
        <v>-1361231</v>
      </c>
    </row>
    <row r="31" spans="1:12" x14ac:dyDescent="0.25">
      <c r="A31" s="140" t="s">
        <v>361</v>
      </c>
      <c r="B31" s="144" t="s">
        <v>362</v>
      </c>
      <c r="C31" s="139">
        <v>256</v>
      </c>
      <c r="D31" s="139" t="s">
        <v>37</v>
      </c>
      <c r="E31" s="261">
        <v>1006042</v>
      </c>
      <c r="F31" s="261">
        <v>922624</v>
      </c>
      <c r="G31" s="288" t="s">
        <v>480</v>
      </c>
      <c r="H31" s="261">
        <f t="shared" si="0"/>
        <v>83418</v>
      </c>
      <c r="I31" s="152">
        <v>0</v>
      </c>
      <c r="J31" s="152">
        <v>0</v>
      </c>
      <c r="K31" s="152">
        <f t="shared" si="1"/>
        <v>0</v>
      </c>
      <c r="L31" s="261">
        <f t="shared" si="2"/>
        <v>83418</v>
      </c>
    </row>
    <row r="32" spans="1:12" x14ac:dyDescent="0.25">
      <c r="A32" s="140" t="s">
        <v>67</v>
      </c>
      <c r="B32" s="144" t="s">
        <v>68</v>
      </c>
      <c r="C32" s="139">
        <v>237</v>
      </c>
      <c r="D32" s="139" t="s">
        <v>37</v>
      </c>
      <c r="E32" s="261">
        <v>684534</v>
      </c>
      <c r="F32" s="261">
        <v>664641</v>
      </c>
      <c r="G32" s="288" t="s">
        <v>480</v>
      </c>
      <c r="H32" s="261">
        <f t="shared" si="0"/>
        <v>19893</v>
      </c>
      <c r="I32" s="152">
        <v>0</v>
      </c>
      <c r="J32" s="152">
        <v>0</v>
      </c>
      <c r="K32" s="152">
        <f t="shared" si="1"/>
        <v>0</v>
      </c>
      <c r="L32" s="261">
        <f t="shared" si="2"/>
        <v>19893</v>
      </c>
    </row>
    <row r="33" spans="1:12" x14ac:dyDescent="0.25">
      <c r="A33" s="140" t="s">
        <v>353</v>
      </c>
      <c r="B33" s="144" t="s">
        <v>354</v>
      </c>
      <c r="C33" s="139">
        <v>347</v>
      </c>
      <c r="D33" s="139" t="s">
        <v>37</v>
      </c>
      <c r="E33" s="261">
        <v>4890742</v>
      </c>
      <c r="F33" s="261">
        <v>4524963</v>
      </c>
      <c r="G33" s="288" t="s">
        <v>480</v>
      </c>
      <c r="H33" s="261">
        <f t="shared" si="0"/>
        <v>365779</v>
      </c>
      <c r="I33" s="152">
        <v>0</v>
      </c>
      <c r="J33" s="152">
        <v>0</v>
      </c>
      <c r="K33" s="152">
        <f t="shared" si="1"/>
        <v>0</v>
      </c>
      <c r="L33" s="261">
        <f t="shared" si="2"/>
        <v>365779</v>
      </c>
    </row>
    <row r="34" spans="1:12" x14ac:dyDescent="0.25">
      <c r="A34" s="140" t="s">
        <v>355</v>
      </c>
      <c r="B34" s="144" t="s">
        <v>57</v>
      </c>
      <c r="C34" s="139">
        <v>238</v>
      </c>
      <c r="D34" s="139" t="s">
        <v>37</v>
      </c>
      <c r="E34" s="261">
        <v>1286379</v>
      </c>
      <c r="F34" s="261">
        <v>1266655</v>
      </c>
      <c r="G34" s="288" t="s">
        <v>480</v>
      </c>
      <c r="H34" s="261">
        <f t="shared" si="0"/>
        <v>19724</v>
      </c>
      <c r="I34" s="152">
        <v>0</v>
      </c>
      <c r="J34" s="152">
        <v>0</v>
      </c>
      <c r="K34" s="152">
        <f t="shared" si="1"/>
        <v>0</v>
      </c>
      <c r="L34" s="261">
        <f t="shared" si="2"/>
        <v>19724</v>
      </c>
    </row>
    <row r="35" spans="1:12" x14ac:dyDescent="0.25">
      <c r="A35" s="140" t="s">
        <v>363</v>
      </c>
      <c r="B35" s="144" t="s">
        <v>364</v>
      </c>
      <c r="C35" s="139">
        <v>302</v>
      </c>
      <c r="D35" s="139" t="s">
        <v>105</v>
      </c>
      <c r="E35" s="261">
        <v>23555</v>
      </c>
      <c r="F35" s="261">
        <v>21884</v>
      </c>
      <c r="G35" s="288" t="s">
        <v>480</v>
      </c>
      <c r="H35" s="261">
        <f t="shared" ref="H35:H66" si="3">E35-F35</f>
        <v>1671</v>
      </c>
      <c r="I35" s="152">
        <v>0</v>
      </c>
      <c r="J35" s="152">
        <v>0</v>
      </c>
      <c r="K35" s="152">
        <f t="shared" si="1"/>
        <v>0</v>
      </c>
      <c r="L35" s="261">
        <f t="shared" si="2"/>
        <v>1671</v>
      </c>
    </row>
    <row r="36" spans="1:12" ht="30.75" x14ac:dyDescent="0.25">
      <c r="A36" s="140" t="s">
        <v>191</v>
      </c>
      <c r="B36" s="144" t="s">
        <v>192</v>
      </c>
      <c r="C36" s="139">
        <v>232</v>
      </c>
      <c r="D36" s="139" t="s">
        <v>105</v>
      </c>
      <c r="E36" s="261">
        <v>4843233</v>
      </c>
      <c r="F36" s="261">
        <v>4708029</v>
      </c>
      <c r="G36" s="288" t="s">
        <v>480</v>
      </c>
      <c r="H36" s="261">
        <f t="shared" si="3"/>
        <v>135204</v>
      </c>
      <c r="I36" s="152">
        <v>0</v>
      </c>
      <c r="J36" s="152">
        <v>0</v>
      </c>
      <c r="K36" s="152">
        <f t="shared" si="1"/>
        <v>0</v>
      </c>
      <c r="L36" s="261">
        <f t="shared" si="2"/>
        <v>135204</v>
      </c>
    </row>
    <row r="37" spans="1:12" x14ac:dyDescent="0.25">
      <c r="A37" s="140" t="s">
        <v>352</v>
      </c>
      <c r="B37" s="144" t="s">
        <v>270</v>
      </c>
      <c r="C37" s="139">
        <v>267</v>
      </c>
      <c r="D37" s="139" t="s">
        <v>105</v>
      </c>
      <c r="E37" s="261">
        <v>9022099</v>
      </c>
      <c r="F37" s="261">
        <v>8333024</v>
      </c>
      <c r="G37" s="288" t="s">
        <v>480</v>
      </c>
      <c r="H37" s="261">
        <f t="shared" si="3"/>
        <v>689075</v>
      </c>
      <c r="I37" s="261">
        <v>1993995</v>
      </c>
      <c r="J37" s="152">
        <v>0</v>
      </c>
      <c r="K37" s="261">
        <f t="shared" si="1"/>
        <v>1993995</v>
      </c>
      <c r="L37" s="261">
        <f t="shared" si="2"/>
        <v>-1304920</v>
      </c>
    </row>
    <row r="38" spans="1:12" x14ac:dyDescent="0.25">
      <c r="A38" s="140" t="s">
        <v>358</v>
      </c>
      <c r="B38" s="144" t="s">
        <v>359</v>
      </c>
      <c r="C38" s="139">
        <v>234</v>
      </c>
      <c r="D38" s="139" t="s">
        <v>105</v>
      </c>
      <c r="E38" s="261">
        <v>2737981</v>
      </c>
      <c r="F38" s="261">
        <v>2737981</v>
      </c>
      <c r="G38" s="288" t="s">
        <v>480</v>
      </c>
      <c r="H38" s="152">
        <f t="shared" si="3"/>
        <v>0</v>
      </c>
      <c r="I38" s="261">
        <v>3372799</v>
      </c>
      <c r="J38" s="261">
        <v>384373</v>
      </c>
      <c r="K38" s="261">
        <f t="shared" si="1"/>
        <v>2988426</v>
      </c>
      <c r="L38" s="261">
        <f t="shared" si="2"/>
        <v>-2988426</v>
      </c>
    </row>
    <row r="39" spans="1:12" x14ac:dyDescent="0.25">
      <c r="A39" s="140" t="s">
        <v>361</v>
      </c>
      <c r="B39" s="144" t="s">
        <v>362</v>
      </c>
      <c r="C39" s="139">
        <v>256</v>
      </c>
      <c r="D39" s="139" t="s">
        <v>105</v>
      </c>
      <c r="E39" s="261">
        <v>1281525</v>
      </c>
      <c r="F39" s="261">
        <v>1201370</v>
      </c>
      <c r="G39" s="288" t="s">
        <v>480</v>
      </c>
      <c r="H39" s="261">
        <f t="shared" si="3"/>
        <v>80155</v>
      </c>
      <c r="I39" s="152">
        <v>0</v>
      </c>
      <c r="J39" s="152">
        <v>0</v>
      </c>
      <c r="K39" s="152">
        <f t="shared" si="1"/>
        <v>0</v>
      </c>
      <c r="L39" s="261">
        <f t="shared" si="2"/>
        <v>80155</v>
      </c>
    </row>
    <row r="40" spans="1:12" x14ac:dyDescent="0.25">
      <c r="A40" s="140" t="s">
        <v>67</v>
      </c>
      <c r="B40" s="144" t="s">
        <v>68</v>
      </c>
      <c r="C40" s="139">
        <v>237</v>
      </c>
      <c r="D40" s="139" t="s">
        <v>105</v>
      </c>
      <c r="E40" s="261">
        <v>775809</v>
      </c>
      <c r="F40" s="261">
        <v>735585</v>
      </c>
      <c r="G40" s="288" t="s">
        <v>480</v>
      </c>
      <c r="H40" s="261">
        <f t="shared" si="3"/>
        <v>40224</v>
      </c>
      <c r="I40" s="152">
        <v>0</v>
      </c>
      <c r="J40" s="152">
        <v>0</v>
      </c>
      <c r="K40" s="152">
        <f t="shared" si="1"/>
        <v>0</v>
      </c>
      <c r="L40" s="261">
        <f t="shared" si="2"/>
        <v>40224</v>
      </c>
    </row>
    <row r="41" spans="1:12" x14ac:dyDescent="0.25">
      <c r="A41" s="140" t="s">
        <v>353</v>
      </c>
      <c r="B41" s="144" t="s">
        <v>354</v>
      </c>
      <c r="C41" s="139">
        <v>347</v>
      </c>
      <c r="D41" s="139" t="s">
        <v>105</v>
      </c>
      <c r="E41" s="261">
        <v>4736363</v>
      </c>
      <c r="F41" s="261">
        <v>4301488</v>
      </c>
      <c r="G41" s="288" t="s">
        <v>480</v>
      </c>
      <c r="H41" s="261">
        <f t="shared" si="3"/>
        <v>434875</v>
      </c>
      <c r="I41" s="152">
        <v>0</v>
      </c>
      <c r="J41" s="152">
        <v>0</v>
      </c>
      <c r="K41" s="152">
        <f t="shared" si="1"/>
        <v>0</v>
      </c>
      <c r="L41" s="261">
        <f t="shared" si="2"/>
        <v>434875</v>
      </c>
    </row>
    <row r="42" spans="1:12" x14ac:dyDescent="0.25">
      <c r="A42" s="140" t="s">
        <v>355</v>
      </c>
      <c r="B42" s="144" t="s">
        <v>57</v>
      </c>
      <c r="C42" s="139">
        <v>238</v>
      </c>
      <c r="D42" s="139" t="s">
        <v>105</v>
      </c>
      <c r="E42" s="261">
        <v>1264692</v>
      </c>
      <c r="F42" s="261">
        <v>1235036</v>
      </c>
      <c r="G42" s="288" t="s">
        <v>480</v>
      </c>
      <c r="H42" s="261">
        <f t="shared" si="3"/>
        <v>29656</v>
      </c>
      <c r="I42" s="152">
        <v>0</v>
      </c>
      <c r="J42" s="152">
        <v>0</v>
      </c>
      <c r="K42" s="152">
        <f t="shared" si="1"/>
        <v>0</v>
      </c>
      <c r="L42" s="261">
        <f t="shared" si="2"/>
        <v>29656</v>
      </c>
    </row>
    <row r="43" spans="1:12" x14ac:dyDescent="0.25">
      <c r="A43" s="140" t="s">
        <v>283</v>
      </c>
      <c r="B43" s="144" t="s">
        <v>284</v>
      </c>
      <c r="C43" s="139">
        <v>270</v>
      </c>
      <c r="D43" s="139" t="s">
        <v>116</v>
      </c>
      <c r="E43" s="261">
        <v>107612</v>
      </c>
      <c r="F43" s="261">
        <v>104977</v>
      </c>
      <c r="G43" s="288" t="s">
        <v>480</v>
      </c>
      <c r="H43" s="261">
        <f t="shared" si="3"/>
        <v>2635</v>
      </c>
      <c r="I43" s="152">
        <v>0</v>
      </c>
      <c r="J43" s="152">
        <v>0</v>
      </c>
      <c r="K43" s="152">
        <f t="shared" si="1"/>
        <v>0</v>
      </c>
      <c r="L43" s="261">
        <f t="shared" si="2"/>
        <v>2635</v>
      </c>
    </row>
    <row r="44" spans="1:12" x14ac:dyDescent="0.25">
      <c r="A44" s="140" t="s">
        <v>363</v>
      </c>
      <c r="B44" s="144" t="s">
        <v>364</v>
      </c>
      <c r="C44" s="139">
        <v>302</v>
      </c>
      <c r="D44" s="139" t="s">
        <v>116</v>
      </c>
      <c r="E44" s="261">
        <v>23844</v>
      </c>
      <c r="F44" s="261">
        <v>22129</v>
      </c>
      <c r="G44" s="288" t="s">
        <v>480</v>
      </c>
      <c r="H44" s="261">
        <f t="shared" si="3"/>
        <v>1715</v>
      </c>
      <c r="I44" s="152">
        <v>0</v>
      </c>
      <c r="J44" s="152">
        <v>0</v>
      </c>
      <c r="K44" s="152">
        <f t="shared" si="1"/>
        <v>0</v>
      </c>
      <c r="L44" s="261">
        <f t="shared" si="2"/>
        <v>1715</v>
      </c>
    </row>
    <row r="45" spans="1:12" ht="30.75" x14ac:dyDescent="0.25">
      <c r="A45" s="140" t="s">
        <v>265</v>
      </c>
      <c r="B45" s="144" t="s">
        <v>266</v>
      </c>
      <c r="C45" s="139">
        <v>287</v>
      </c>
      <c r="D45" s="139" t="s">
        <v>116</v>
      </c>
      <c r="E45" s="261">
        <v>65504</v>
      </c>
      <c r="F45" s="261">
        <v>63745</v>
      </c>
      <c r="G45" s="288" t="s">
        <v>480</v>
      </c>
      <c r="H45" s="261">
        <f t="shared" si="3"/>
        <v>1759</v>
      </c>
      <c r="I45" s="152">
        <v>0</v>
      </c>
      <c r="J45" s="152">
        <v>0</v>
      </c>
      <c r="K45" s="152">
        <f t="shared" si="1"/>
        <v>0</v>
      </c>
      <c r="L45" s="261">
        <f t="shared" si="2"/>
        <v>1759</v>
      </c>
    </row>
    <row r="46" spans="1:12" ht="30.75" x14ac:dyDescent="0.25">
      <c r="A46" s="140" t="s">
        <v>191</v>
      </c>
      <c r="B46" s="144" t="s">
        <v>192</v>
      </c>
      <c r="C46" s="139">
        <v>232</v>
      </c>
      <c r="D46" s="139" t="s">
        <v>116</v>
      </c>
      <c r="E46" s="261">
        <v>5564747</v>
      </c>
      <c r="F46" s="261">
        <v>5411087</v>
      </c>
      <c r="G46" s="288" t="s">
        <v>480</v>
      </c>
      <c r="H46" s="261">
        <f t="shared" si="3"/>
        <v>153660</v>
      </c>
      <c r="I46" s="261">
        <v>87483</v>
      </c>
      <c r="J46" s="261">
        <v>87483</v>
      </c>
      <c r="K46" s="152">
        <f t="shared" si="1"/>
        <v>0</v>
      </c>
      <c r="L46" s="261">
        <f t="shared" si="2"/>
        <v>153660</v>
      </c>
    </row>
    <row r="47" spans="1:12" x14ac:dyDescent="0.25">
      <c r="A47" s="140" t="s">
        <v>352</v>
      </c>
      <c r="B47" s="144" t="s">
        <v>270</v>
      </c>
      <c r="C47" s="139">
        <v>267</v>
      </c>
      <c r="D47" s="139" t="s">
        <v>116</v>
      </c>
      <c r="E47" s="261">
        <v>6981108</v>
      </c>
      <c r="F47" s="261">
        <v>5991522</v>
      </c>
      <c r="G47" s="288" t="s">
        <v>480</v>
      </c>
      <c r="H47" s="261">
        <f t="shared" si="3"/>
        <v>989586</v>
      </c>
      <c r="I47" s="152">
        <v>0</v>
      </c>
      <c r="J47" s="152">
        <v>0</v>
      </c>
      <c r="K47" s="152">
        <f t="shared" si="1"/>
        <v>0</v>
      </c>
      <c r="L47" s="261">
        <f t="shared" si="2"/>
        <v>989586</v>
      </c>
    </row>
    <row r="48" spans="1:12" x14ac:dyDescent="0.25">
      <c r="A48" s="140" t="s">
        <v>358</v>
      </c>
      <c r="B48" s="144" t="s">
        <v>359</v>
      </c>
      <c r="C48" s="139">
        <v>234</v>
      </c>
      <c r="D48" s="139" t="s">
        <v>116</v>
      </c>
      <c r="E48" s="261">
        <v>2553039</v>
      </c>
      <c r="F48" s="261">
        <v>2553039</v>
      </c>
      <c r="G48" s="288" t="s">
        <v>480</v>
      </c>
      <c r="H48" s="152">
        <f t="shared" si="3"/>
        <v>0</v>
      </c>
      <c r="I48" s="261">
        <v>2583827</v>
      </c>
      <c r="J48" s="261">
        <v>926649</v>
      </c>
      <c r="K48" s="261">
        <f t="shared" si="1"/>
        <v>1657178</v>
      </c>
      <c r="L48" s="261">
        <f t="shared" si="2"/>
        <v>-1657178</v>
      </c>
    </row>
    <row r="49" spans="1:12" x14ac:dyDescent="0.25">
      <c r="A49" s="140" t="s">
        <v>361</v>
      </c>
      <c r="B49" s="144" t="s">
        <v>362</v>
      </c>
      <c r="C49" s="139">
        <v>256</v>
      </c>
      <c r="D49" s="139" t="s">
        <v>116</v>
      </c>
      <c r="E49" s="261">
        <v>923669</v>
      </c>
      <c r="F49" s="261">
        <v>848634</v>
      </c>
      <c r="G49" s="288" t="s">
        <v>480</v>
      </c>
      <c r="H49" s="261">
        <f t="shared" si="3"/>
        <v>75035</v>
      </c>
      <c r="I49" s="152">
        <v>0</v>
      </c>
      <c r="J49" s="152">
        <v>0</v>
      </c>
      <c r="K49" s="152">
        <f t="shared" si="1"/>
        <v>0</v>
      </c>
      <c r="L49" s="261">
        <f t="shared" si="2"/>
        <v>75035</v>
      </c>
    </row>
    <row r="50" spans="1:12" x14ac:dyDescent="0.25">
      <c r="A50" s="140" t="s">
        <v>67</v>
      </c>
      <c r="B50" s="144" t="s">
        <v>68</v>
      </c>
      <c r="C50" s="139">
        <v>237</v>
      </c>
      <c r="D50" s="139" t="s">
        <v>116</v>
      </c>
      <c r="E50" s="261">
        <v>707987</v>
      </c>
      <c r="F50" s="261">
        <v>672870</v>
      </c>
      <c r="G50" s="288" t="s">
        <v>480</v>
      </c>
      <c r="H50" s="261">
        <f t="shared" si="3"/>
        <v>35117</v>
      </c>
      <c r="I50" s="152">
        <v>0</v>
      </c>
      <c r="J50" s="152">
        <v>0</v>
      </c>
      <c r="K50" s="152">
        <f t="shared" si="1"/>
        <v>0</v>
      </c>
      <c r="L50" s="261">
        <f t="shared" si="2"/>
        <v>35117</v>
      </c>
    </row>
    <row r="51" spans="1:12" x14ac:dyDescent="0.25">
      <c r="A51" s="140" t="s">
        <v>353</v>
      </c>
      <c r="B51" s="144" t="s">
        <v>354</v>
      </c>
      <c r="C51" s="139">
        <v>347</v>
      </c>
      <c r="D51" s="139" t="s">
        <v>116</v>
      </c>
      <c r="E51" s="261">
        <v>4632603</v>
      </c>
      <c r="F51" s="261">
        <v>4204110</v>
      </c>
      <c r="G51" s="288" t="s">
        <v>480</v>
      </c>
      <c r="H51" s="261">
        <f t="shared" si="3"/>
        <v>428493</v>
      </c>
      <c r="I51" s="152">
        <v>0</v>
      </c>
      <c r="J51" s="152">
        <v>0</v>
      </c>
      <c r="K51" s="152">
        <f t="shared" si="1"/>
        <v>0</v>
      </c>
      <c r="L51" s="261">
        <f t="shared" si="2"/>
        <v>428493</v>
      </c>
    </row>
    <row r="52" spans="1:12" x14ac:dyDescent="0.25">
      <c r="A52" s="140" t="s">
        <v>355</v>
      </c>
      <c r="B52" s="144" t="s">
        <v>57</v>
      </c>
      <c r="C52" s="139">
        <v>238</v>
      </c>
      <c r="D52" s="139" t="s">
        <v>116</v>
      </c>
      <c r="E52" s="261">
        <v>1134100</v>
      </c>
      <c r="F52" s="261">
        <v>1101222</v>
      </c>
      <c r="G52" s="288" t="s">
        <v>480</v>
      </c>
      <c r="H52" s="261">
        <f t="shared" si="3"/>
        <v>32878</v>
      </c>
      <c r="I52" s="152">
        <v>0</v>
      </c>
      <c r="J52" s="152">
        <v>0</v>
      </c>
      <c r="K52" s="152">
        <f t="shared" si="1"/>
        <v>0</v>
      </c>
      <c r="L52" s="261">
        <f t="shared" si="2"/>
        <v>32878</v>
      </c>
    </row>
    <row r="53" spans="1:12" x14ac:dyDescent="0.25">
      <c r="A53" s="140" t="s">
        <v>283</v>
      </c>
      <c r="B53" s="144" t="s">
        <v>284</v>
      </c>
      <c r="C53" s="139">
        <v>270</v>
      </c>
      <c r="D53" s="139" t="s">
        <v>121</v>
      </c>
      <c r="E53" s="261">
        <v>83423</v>
      </c>
      <c r="F53" s="261">
        <v>81632</v>
      </c>
      <c r="G53" s="288" t="s">
        <v>480</v>
      </c>
      <c r="H53" s="261">
        <f t="shared" si="3"/>
        <v>1791</v>
      </c>
      <c r="I53" s="152">
        <v>0</v>
      </c>
      <c r="J53" s="152">
        <v>0</v>
      </c>
      <c r="K53" s="152">
        <f t="shared" si="1"/>
        <v>0</v>
      </c>
      <c r="L53" s="261">
        <f t="shared" si="2"/>
        <v>1791</v>
      </c>
    </row>
    <row r="54" spans="1:12" x14ac:dyDescent="0.25">
      <c r="A54" s="140" t="s">
        <v>363</v>
      </c>
      <c r="B54" s="144" t="s">
        <v>364</v>
      </c>
      <c r="C54" s="139">
        <v>302</v>
      </c>
      <c r="D54" s="139" t="s">
        <v>121</v>
      </c>
      <c r="E54" s="261">
        <v>21582</v>
      </c>
      <c r="F54" s="261">
        <v>19807</v>
      </c>
      <c r="G54" s="288" t="s">
        <v>480</v>
      </c>
      <c r="H54" s="261">
        <f t="shared" si="3"/>
        <v>1775</v>
      </c>
      <c r="I54" s="152">
        <v>0</v>
      </c>
      <c r="J54" s="152">
        <v>0</v>
      </c>
      <c r="K54" s="152">
        <f t="shared" si="1"/>
        <v>0</v>
      </c>
      <c r="L54" s="261">
        <f t="shared" si="2"/>
        <v>1775</v>
      </c>
    </row>
    <row r="55" spans="1:12" ht="30.75" x14ac:dyDescent="0.25">
      <c r="A55" s="140" t="s">
        <v>265</v>
      </c>
      <c r="B55" s="144" t="s">
        <v>266</v>
      </c>
      <c r="C55" s="139">
        <v>287</v>
      </c>
      <c r="D55" s="139" t="s">
        <v>121</v>
      </c>
      <c r="E55" s="261">
        <v>57897</v>
      </c>
      <c r="F55" s="261">
        <v>56416</v>
      </c>
      <c r="G55" s="288" t="s">
        <v>480</v>
      </c>
      <c r="H55" s="261">
        <f t="shared" si="3"/>
        <v>1481</v>
      </c>
      <c r="I55" s="152">
        <v>0</v>
      </c>
      <c r="J55" s="152">
        <v>0</v>
      </c>
      <c r="K55" s="152">
        <f t="shared" si="1"/>
        <v>0</v>
      </c>
      <c r="L55" s="261">
        <f t="shared" si="2"/>
        <v>1481</v>
      </c>
    </row>
    <row r="56" spans="1:12" x14ac:dyDescent="0.25">
      <c r="A56" s="140" t="s">
        <v>352</v>
      </c>
      <c r="B56" s="144" t="s">
        <v>270</v>
      </c>
      <c r="C56" s="139">
        <v>267</v>
      </c>
      <c r="D56" s="139" t="s">
        <v>121</v>
      </c>
      <c r="E56" s="261">
        <v>4248500</v>
      </c>
      <c r="F56" s="261">
        <v>3796742</v>
      </c>
      <c r="G56" s="288" t="s">
        <v>480</v>
      </c>
      <c r="H56" s="261">
        <f t="shared" si="3"/>
        <v>451758</v>
      </c>
      <c r="I56" s="152">
        <v>0</v>
      </c>
      <c r="J56" s="152">
        <v>0</v>
      </c>
      <c r="K56" s="152">
        <f t="shared" si="1"/>
        <v>0</v>
      </c>
      <c r="L56" s="261">
        <f t="shared" si="2"/>
        <v>451758</v>
      </c>
    </row>
    <row r="57" spans="1:12" x14ac:dyDescent="0.25">
      <c r="A57" s="140" t="s">
        <v>358</v>
      </c>
      <c r="B57" s="144" t="s">
        <v>359</v>
      </c>
      <c r="C57" s="139">
        <v>234</v>
      </c>
      <c r="D57" s="139" t="s">
        <v>121</v>
      </c>
      <c r="E57" s="261">
        <v>2117214</v>
      </c>
      <c r="F57" s="261">
        <v>2079660</v>
      </c>
      <c r="G57" s="288" t="s">
        <v>480</v>
      </c>
      <c r="H57" s="261">
        <f t="shared" si="3"/>
        <v>37554</v>
      </c>
      <c r="I57" s="261">
        <v>3094765</v>
      </c>
      <c r="J57" s="261">
        <v>2027098</v>
      </c>
      <c r="K57" s="261">
        <f t="shared" si="1"/>
        <v>1067667</v>
      </c>
      <c r="L57" s="261">
        <f t="shared" si="2"/>
        <v>-1030113</v>
      </c>
    </row>
    <row r="58" spans="1:12" x14ac:dyDescent="0.25">
      <c r="A58" s="140" t="s">
        <v>67</v>
      </c>
      <c r="B58" s="144" t="s">
        <v>68</v>
      </c>
      <c r="C58" s="139">
        <v>237</v>
      </c>
      <c r="D58" s="139" t="s">
        <v>121</v>
      </c>
      <c r="E58" s="261">
        <v>853887</v>
      </c>
      <c r="F58" s="261">
        <v>840901</v>
      </c>
      <c r="G58" s="288" t="s">
        <v>480</v>
      </c>
      <c r="H58" s="261">
        <f t="shared" si="3"/>
        <v>12986</v>
      </c>
      <c r="I58" s="152">
        <v>0</v>
      </c>
      <c r="J58" s="152">
        <v>0</v>
      </c>
      <c r="K58" s="152">
        <f t="shared" si="1"/>
        <v>0</v>
      </c>
      <c r="L58" s="261">
        <f t="shared" si="2"/>
        <v>12986</v>
      </c>
    </row>
    <row r="59" spans="1:12" x14ac:dyDescent="0.25">
      <c r="A59" s="140" t="s">
        <v>353</v>
      </c>
      <c r="B59" s="144" t="s">
        <v>354</v>
      </c>
      <c r="C59" s="139">
        <v>347</v>
      </c>
      <c r="D59" s="139" t="s">
        <v>121</v>
      </c>
      <c r="E59" s="261">
        <v>4028725</v>
      </c>
      <c r="F59" s="261">
        <v>3654701</v>
      </c>
      <c r="G59" s="288" t="s">
        <v>480</v>
      </c>
      <c r="H59" s="261">
        <f t="shared" si="3"/>
        <v>374024</v>
      </c>
      <c r="I59" s="261">
        <v>827296</v>
      </c>
      <c r="J59" s="261">
        <v>827296</v>
      </c>
      <c r="K59" s="152">
        <f t="shared" si="1"/>
        <v>0</v>
      </c>
      <c r="L59" s="261">
        <f t="shared" si="2"/>
        <v>374024</v>
      </c>
    </row>
    <row r="60" spans="1:12" x14ac:dyDescent="0.25">
      <c r="A60" s="140" t="s">
        <v>355</v>
      </c>
      <c r="B60" s="144" t="s">
        <v>57</v>
      </c>
      <c r="C60" s="139">
        <v>238</v>
      </c>
      <c r="D60" s="139" t="s">
        <v>121</v>
      </c>
      <c r="E60" s="261">
        <v>977889</v>
      </c>
      <c r="F60" s="261">
        <v>963273</v>
      </c>
      <c r="G60" s="288" t="s">
        <v>480</v>
      </c>
      <c r="H60" s="261">
        <f t="shared" si="3"/>
        <v>14616</v>
      </c>
      <c r="I60" s="152">
        <v>0</v>
      </c>
      <c r="J60" s="152">
        <v>0</v>
      </c>
      <c r="K60" s="152">
        <f t="shared" si="1"/>
        <v>0</v>
      </c>
      <c r="L60" s="261">
        <f t="shared" si="2"/>
        <v>14616</v>
      </c>
    </row>
    <row r="61" spans="1:12" x14ac:dyDescent="0.25">
      <c r="A61" s="140" t="s">
        <v>358</v>
      </c>
      <c r="B61" s="144" t="s">
        <v>359</v>
      </c>
      <c r="C61" s="139">
        <v>234</v>
      </c>
      <c r="D61" s="139" t="s">
        <v>122</v>
      </c>
      <c r="E61" s="261">
        <v>3298552</v>
      </c>
      <c r="F61" s="261">
        <v>3211845</v>
      </c>
      <c r="G61" s="288" t="s">
        <v>480</v>
      </c>
      <c r="H61" s="261">
        <f t="shared" si="3"/>
        <v>86707</v>
      </c>
      <c r="I61" s="152">
        <v>0</v>
      </c>
      <c r="J61" s="152">
        <v>0</v>
      </c>
      <c r="K61" s="152">
        <f t="shared" si="1"/>
        <v>0</v>
      </c>
      <c r="L61" s="261">
        <f t="shared" si="2"/>
        <v>86707</v>
      </c>
    </row>
    <row r="62" spans="1:12" x14ac:dyDescent="0.25">
      <c r="A62" s="140" t="s">
        <v>67</v>
      </c>
      <c r="B62" s="144" t="s">
        <v>68</v>
      </c>
      <c r="C62" s="139">
        <v>237</v>
      </c>
      <c r="D62" s="139" t="s">
        <v>122</v>
      </c>
      <c r="E62" s="261">
        <v>892507</v>
      </c>
      <c r="F62" s="261">
        <v>892507</v>
      </c>
      <c r="G62" s="288" t="s">
        <v>480</v>
      </c>
      <c r="H62" s="152">
        <f t="shared" si="3"/>
        <v>0</v>
      </c>
      <c r="I62" s="261">
        <v>159704</v>
      </c>
      <c r="J62" s="261">
        <v>145885</v>
      </c>
      <c r="K62" s="261">
        <f t="shared" si="1"/>
        <v>13819</v>
      </c>
      <c r="L62" s="261">
        <f t="shared" si="2"/>
        <v>-13819</v>
      </c>
    </row>
    <row r="63" spans="1:12" x14ac:dyDescent="0.25">
      <c r="A63" s="140" t="s">
        <v>355</v>
      </c>
      <c r="B63" s="144" t="s">
        <v>57</v>
      </c>
      <c r="C63" s="139">
        <v>238</v>
      </c>
      <c r="D63" s="139" t="s">
        <v>122</v>
      </c>
      <c r="E63" s="261">
        <v>916470</v>
      </c>
      <c r="F63" s="261">
        <v>916470</v>
      </c>
      <c r="G63" s="288" t="s">
        <v>480</v>
      </c>
      <c r="H63" s="152">
        <f t="shared" si="3"/>
        <v>0</v>
      </c>
      <c r="I63" s="261">
        <v>146531</v>
      </c>
      <c r="J63" s="261">
        <v>105462</v>
      </c>
      <c r="K63" s="261">
        <f t="shared" si="1"/>
        <v>41069</v>
      </c>
      <c r="L63" s="261">
        <f t="shared" si="2"/>
        <v>-41069</v>
      </c>
    </row>
    <row r="64" spans="1:12" x14ac:dyDescent="0.25">
      <c r="A64" s="140" t="s">
        <v>361</v>
      </c>
      <c r="B64" s="144" t="s">
        <v>362</v>
      </c>
      <c r="C64" s="139">
        <v>256</v>
      </c>
      <c r="D64" s="139" t="s">
        <v>36</v>
      </c>
      <c r="E64" s="261">
        <v>948601</v>
      </c>
      <c r="F64" s="261">
        <v>935719</v>
      </c>
      <c r="G64" s="288" t="s">
        <v>480</v>
      </c>
      <c r="H64" s="261">
        <f t="shared" si="3"/>
        <v>12882</v>
      </c>
      <c r="I64" s="261">
        <v>408288</v>
      </c>
      <c r="J64" s="261">
        <v>408288</v>
      </c>
      <c r="K64" s="152">
        <f t="shared" si="1"/>
        <v>0</v>
      </c>
      <c r="L64" s="261">
        <f t="shared" si="2"/>
        <v>12882</v>
      </c>
    </row>
    <row r="65" spans="1:12" ht="30.75" x14ac:dyDescent="0.25">
      <c r="A65" s="140" t="s">
        <v>191</v>
      </c>
      <c r="B65" s="144" t="s">
        <v>192</v>
      </c>
      <c r="C65" s="139">
        <v>232</v>
      </c>
      <c r="D65" s="139" t="s">
        <v>124</v>
      </c>
      <c r="E65" s="261">
        <v>7841169</v>
      </c>
      <c r="F65" s="261">
        <v>7841169</v>
      </c>
      <c r="G65" s="288" t="s">
        <v>480</v>
      </c>
      <c r="H65" s="152">
        <f t="shared" si="3"/>
        <v>0</v>
      </c>
      <c r="I65" s="261">
        <v>595489</v>
      </c>
      <c r="J65" s="261">
        <v>371172</v>
      </c>
      <c r="K65" s="261">
        <f t="shared" si="1"/>
        <v>224317</v>
      </c>
      <c r="L65" s="261">
        <f t="shared" si="2"/>
        <v>-224317</v>
      </c>
    </row>
    <row r="66" spans="1:12" x14ac:dyDescent="0.25">
      <c r="A66" s="140" t="s">
        <v>358</v>
      </c>
      <c r="B66" s="144" t="s">
        <v>359</v>
      </c>
      <c r="C66" s="139">
        <v>234</v>
      </c>
      <c r="D66" s="139" t="s">
        <v>124</v>
      </c>
      <c r="E66" s="261">
        <v>5439156</v>
      </c>
      <c r="F66" s="261">
        <v>5439156</v>
      </c>
      <c r="G66" s="288" t="s">
        <v>480</v>
      </c>
      <c r="H66" s="152">
        <f t="shared" si="3"/>
        <v>0</v>
      </c>
      <c r="I66" s="261">
        <v>3547273</v>
      </c>
      <c r="J66" s="261">
        <v>2826984</v>
      </c>
      <c r="K66" s="261">
        <f t="shared" si="1"/>
        <v>720289</v>
      </c>
      <c r="L66" s="261">
        <f t="shared" si="2"/>
        <v>-720289</v>
      </c>
    </row>
    <row r="67" spans="1:12" x14ac:dyDescent="0.25">
      <c r="A67" s="140" t="s">
        <v>361</v>
      </c>
      <c r="B67" s="144" t="s">
        <v>362</v>
      </c>
      <c r="C67" s="139">
        <v>256</v>
      </c>
      <c r="D67" s="139" t="s">
        <v>124</v>
      </c>
      <c r="E67" s="261">
        <v>1631298</v>
      </c>
      <c r="F67" s="261">
        <v>1621000</v>
      </c>
      <c r="G67" s="288" t="s">
        <v>480</v>
      </c>
      <c r="H67" s="261">
        <f t="shared" ref="H67:H73" si="4">E67-F67</f>
        <v>10298</v>
      </c>
      <c r="I67" s="261">
        <v>173451</v>
      </c>
      <c r="J67" s="261">
        <v>79181</v>
      </c>
      <c r="K67" s="261">
        <f t="shared" si="1"/>
        <v>94270</v>
      </c>
      <c r="L67" s="261">
        <f t="shared" si="2"/>
        <v>-83972</v>
      </c>
    </row>
    <row r="68" spans="1:12" ht="30.75" x14ac:dyDescent="0.25">
      <c r="A68" s="140" t="s">
        <v>191</v>
      </c>
      <c r="B68" s="144" t="s">
        <v>192</v>
      </c>
      <c r="C68" s="139">
        <v>232</v>
      </c>
      <c r="D68" s="139" t="s">
        <v>125</v>
      </c>
      <c r="E68" s="261">
        <v>9111555</v>
      </c>
      <c r="F68" s="261">
        <v>9111555</v>
      </c>
      <c r="G68" s="288" t="s">
        <v>480</v>
      </c>
      <c r="H68" s="152">
        <f t="shared" si="4"/>
        <v>0</v>
      </c>
      <c r="I68" s="261">
        <v>974170</v>
      </c>
      <c r="J68" s="261">
        <v>940305</v>
      </c>
      <c r="K68" s="261">
        <f t="shared" ref="K68:K73" si="5">I68-J68</f>
        <v>33865</v>
      </c>
      <c r="L68" s="261">
        <f t="shared" ref="L68:L73" si="6">H68-K68</f>
        <v>-33865</v>
      </c>
    </row>
    <row r="69" spans="1:12" x14ac:dyDescent="0.25">
      <c r="A69" s="140" t="s">
        <v>358</v>
      </c>
      <c r="B69" s="144" t="s">
        <v>359</v>
      </c>
      <c r="C69" s="139">
        <v>234</v>
      </c>
      <c r="D69" s="139" t="s">
        <v>125</v>
      </c>
      <c r="E69" s="261">
        <v>4879964</v>
      </c>
      <c r="F69" s="261">
        <v>4879964</v>
      </c>
      <c r="G69" s="288" t="s">
        <v>480</v>
      </c>
      <c r="H69" s="152">
        <f t="shared" si="4"/>
        <v>0</v>
      </c>
      <c r="I69" s="261">
        <v>1191500</v>
      </c>
      <c r="J69" s="261">
        <v>934750</v>
      </c>
      <c r="K69" s="261">
        <f t="shared" si="5"/>
        <v>256750</v>
      </c>
      <c r="L69" s="261">
        <f t="shared" si="6"/>
        <v>-256750</v>
      </c>
    </row>
    <row r="70" spans="1:12" x14ac:dyDescent="0.25">
      <c r="A70" s="140" t="s">
        <v>361</v>
      </c>
      <c r="B70" s="144" t="s">
        <v>362</v>
      </c>
      <c r="C70" s="139">
        <v>256</v>
      </c>
      <c r="D70" s="139" t="s">
        <v>125</v>
      </c>
      <c r="E70" s="261">
        <v>1574646</v>
      </c>
      <c r="F70" s="261">
        <v>1571441</v>
      </c>
      <c r="G70" s="288" t="s">
        <v>480</v>
      </c>
      <c r="H70" s="261">
        <f t="shared" si="4"/>
        <v>3205</v>
      </c>
      <c r="I70" s="261">
        <v>71971</v>
      </c>
      <c r="J70" s="261">
        <v>36921</v>
      </c>
      <c r="K70" s="261">
        <f t="shared" si="5"/>
        <v>35050</v>
      </c>
      <c r="L70" s="261">
        <f t="shared" si="6"/>
        <v>-31845</v>
      </c>
    </row>
    <row r="71" spans="1:12" x14ac:dyDescent="0.25">
      <c r="A71" s="140" t="s">
        <v>67</v>
      </c>
      <c r="B71" s="144" t="s">
        <v>68</v>
      </c>
      <c r="C71" s="139">
        <v>237</v>
      </c>
      <c r="D71" s="139" t="s">
        <v>128</v>
      </c>
      <c r="E71" s="261">
        <v>614433</v>
      </c>
      <c r="F71" s="261">
        <v>614433</v>
      </c>
      <c r="G71" s="288" t="s">
        <v>480</v>
      </c>
      <c r="H71" s="152">
        <f t="shared" si="4"/>
        <v>0</v>
      </c>
      <c r="I71" s="261">
        <v>11162</v>
      </c>
      <c r="J71" s="261">
        <v>9987</v>
      </c>
      <c r="K71" s="261">
        <f t="shared" si="5"/>
        <v>1175</v>
      </c>
      <c r="L71" s="261">
        <f t="shared" si="6"/>
        <v>-1175</v>
      </c>
    </row>
    <row r="72" spans="1:12" x14ac:dyDescent="0.25">
      <c r="A72" s="140" t="s">
        <v>67</v>
      </c>
      <c r="B72" s="144" t="s">
        <v>68</v>
      </c>
      <c r="C72" s="139">
        <v>237</v>
      </c>
      <c r="D72" s="139" t="s">
        <v>129</v>
      </c>
      <c r="E72" s="261">
        <v>28469</v>
      </c>
      <c r="F72" s="261">
        <v>28469</v>
      </c>
      <c r="G72" s="288" t="s">
        <v>480</v>
      </c>
      <c r="H72" s="152">
        <f t="shared" si="4"/>
        <v>0</v>
      </c>
      <c r="I72" s="261">
        <v>17658</v>
      </c>
      <c r="J72" s="261">
        <v>8829</v>
      </c>
      <c r="K72" s="261">
        <f t="shared" si="5"/>
        <v>8829</v>
      </c>
      <c r="L72" s="261">
        <f t="shared" si="6"/>
        <v>-8829</v>
      </c>
    </row>
    <row r="73" spans="1:12" x14ac:dyDescent="0.25">
      <c r="A73" s="140" t="s">
        <v>352</v>
      </c>
      <c r="B73" s="144" t="s">
        <v>270</v>
      </c>
      <c r="C73" s="139">
        <v>267</v>
      </c>
      <c r="D73" s="139" t="s">
        <v>132</v>
      </c>
      <c r="E73" s="261">
        <v>3447372</v>
      </c>
      <c r="F73" s="261">
        <v>3447372</v>
      </c>
      <c r="G73" s="288" t="s">
        <v>480</v>
      </c>
      <c r="H73" s="152">
        <f t="shared" si="4"/>
        <v>0</v>
      </c>
      <c r="I73" s="261">
        <v>2446054</v>
      </c>
      <c r="J73" s="261">
        <v>1758445</v>
      </c>
      <c r="K73" s="261">
        <f t="shared" si="5"/>
        <v>687609</v>
      </c>
      <c r="L73" s="261">
        <f t="shared" si="6"/>
        <v>-687609</v>
      </c>
    </row>
    <row r="74" spans="1:12" ht="15.95" customHeight="1" x14ac:dyDescent="0.25">
      <c r="A74" s="353" t="s">
        <v>508</v>
      </c>
      <c r="B74" s="354" t="s">
        <v>480</v>
      </c>
      <c r="C74" s="354" t="s">
        <v>480</v>
      </c>
      <c r="D74" s="354" t="s">
        <v>480</v>
      </c>
      <c r="E74" s="263">
        <f>SUBTOTAL(109,fundedcolleges[Program
Costs])</f>
        <v>162623509</v>
      </c>
      <c r="F74" s="263">
        <f>SUBTOTAL(109,fundedcolleges[Less: Net Payments and Offsets 2])</f>
        <v>151913713</v>
      </c>
      <c r="G74" s="354" t="s">
        <v>480</v>
      </c>
      <c r="H74" s="183">
        <f>SUBTOTAL(109,fundedcolleges[Account Payable
 Balance])</f>
        <v>10709796</v>
      </c>
      <c r="I74" s="263">
        <f>SUBTOTAL(109,fundedcolleges[Established
Account Receivable])</f>
        <v>24929129</v>
      </c>
      <c r="J74" s="263">
        <f>SUBTOTAL(109,fundedcolleges[Less: Recovered Amount])</f>
        <v>12137711</v>
      </c>
      <c r="K74" s="263">
        <f>SUBTOTAL(109,fundedcolleges[Account Receivable
Balance])</f>
        <v>12791418</v>
      </c>
      <c r="L74" s="352">
        <f>SUBTOTAL(109,fundedcolleges[Net
Balance])</f>
        <v>-2081622</v>
      </c>
    </row>
    <row r="75" spans="1:12" ht="15.75" customHeight="1" x14ac:dyDescent="0.25">
      <c r="A75" s="145" t="s">
        <v>572</v>
      </c>
      <c r="B75" s="144"/>
      <c r="C75" s="139"/>
      <c r="D75" s="139"/>
      <c r="E75" s="152"/>
      <c r="F75" s="152"/>
      <c r="G75" s="288"/>
      <c r="H75" s="152"/>
      <c r="I75" s="152"/>
      <c r="J75" s="152"/>
      <c r="K75" s="152"/>
      <c r="L75" s="152"/>
    </row>
    <row r="76" spans="1:12" ht="18.75" x14ac:dyDescent="0.25">
      <c r="A76" s="134" t="s">
        <v>506</v>
      </c>
    </row>
  </sheetData>
  <hyperlinks>
    <hyperlink ref="F2" location="'Schedule B1-Colleges'!A75" display="Less: Net Payments and Offsets 2"/>
  </hyperlinks>
  <printOptions horizontalCentered="1" gridLines="1"/>
  <pageMargins left="0.3" right="0.3" top="1" bottom="0.75" header="0.3" footer="0.3"/>
  <pageSetup scale="56" firstPageNumber="39" fitToHeight="0" orientation="landscape" r:id="rId1"/>
  <headerFooter>
    <oddHeader xml:space="preserve">&amp;C&amp;"Arial,Bold"&amp;12 </oddHeader>
    <oddFooter>&amp;L&amp;"Arial,Regular"&amp;12Schedule B1: Detail of Funded State-Mandated Programs by Fiscal Year 
Community College Districts&amp;R&amp;"Arial,Regular"&amp;12Page &amp;P of &amp;N</oddFooter>
  </headerFooter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19</vt:i4>
      </vt:variant>
    </vt:vector>
  </HeadingPairs>
  <TitlesOfParts>
    <vt:vector size="30" baseType="lpstr">
      <vt:lpstr>Cover Page</vt:lpstr>
      <vt:lpstr>Table of Contents</vt:lpstr>
      <vt:lpstr>Schedule A-Summary </vt:lpstr>
      <vt:lpstr>Schedule A1-Local Agencies</vt:lpstr>
      <vt:lpstr>Schedule A1-Schools </vt:lpstr>
      <vt:lpstr>Schedule B-Summary</vt:lpstr>
      <vt:lpstr>Schedule B1-Local Agencies</vt:lpstr>
      <vt:lpstr>Schedule B1-Schools</vt:lpstr>
      <vt:lpstr>Schedule B1-Colleges</vt:lpstr>
      <vt:lpstr>Schedule B2-Local Agencies</vt:lpstr>
      <vt:lpstr>Schedule C-IRC</vt:lpstr>
      <vt:lpstr>'Cover Page'!Print_Area</vt:lpstr>
      <vt:lpstr>'Schedule A1-Local Agencies'!Print_Area</vt:lpstr>
      <vt:lpstr>'Schedule A1-Schools '!Print_Area</vt:lpstr>
      <vt:lpstr>'Schedule A-Summary '!Print_Area</vt:lpstr>
      <vt:lpstr>'Schedule B1-Colleges'!Print_Area</vt:lpstr>
      <vt:lpstr>'Schedule B1-Local Agencies'!Print_Area</vt:lpstr>
      <vt:lpstr>'Schedule B1-Schools'!Print_Area</vt:lpstr>
      <vt:lpstr>'Schedule B2-Local Agencies'!Print_Area</vt:lpstr>
      <vt:lpstr>'Schedule B-Summary'!Print_Area</vt:lpstr>
      <vt:lpstr>'Schedule C-IRC'!Print_Area</vt:lpstr>
      <vt:lpstr>'Table of Contents'!Print_Area</vt:lpstr>
      <vt:lpstr>'Schedule A1-Local Agencies'!Print_Titles</vt:lpstr>
      <vt:lpstr>'Schedule A1-Schools '!Print_Titles</vt:lpstr>
      <vt:lpstr>'Schedule B1-Colleges'!Print_Titles</vt:lpstr>
      <vt:lpstr>'Schedule B1-Local Agencies'!Print_Titles</vt:lpstr>
      <vt:lpstr>'Schedule B1-Schools'!Print_Titles</vt:lpstr>
      <vt:lpstr>'Schedule B2-Local Agencies'!Print_Titles</vt:lpstr>
      <vt:lpstr>'Schedule B-Summary'!Print_Titles</vt:lpstr>
      <vt:lpstr>'Schedule C-IRC'!Print_Titles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Apgar, Lili</dc:creator>
  <cp:lastModifiedBy>Mar, Darryl</cp:lastModifiedBy>
  <cp:lastPrinted>2024-10-30T02:52:58Z</cp:lastPrinted>
  <dcterms:created xsi:type="dcterms:W3CDTF">2021-09-07T20:25:09Z</dcterms:created>
  <dcterms:modified xsi:type="dcterms:W3CDTF">2024-10-30T22:46:32Z</dcterms:modified>
</cp:coreProperties>
</file>