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omments2.xml" ContentType="application/vnd.openxmlformats-officedocument.spreadsheetml.comments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omments3.xml" ContentType="application/vnd.openxmlformats-officedocument.spreadsheetml.comments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comments4.xml" ContentType="application/vnd.openxmlformats-officedocument.spreadsheetml.comments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comments5.xml" ContentType="application/vnd.openxmlformats-officedocument.spreadsheetml.comments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comments6.xml" ContentType="application/vnd.openxmlformats-officedocument.spreadsheetml.comments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AD.SCONET.CA.GOV\Data\LGPSD\Group\Local Reimb\Reporting\Mandated Reports\Annual Reports\AB3000 Report (Oct)\AB3000-2020\Final\ADA Compliance\"/>
    </mc:Choice>
  </mc:AlternateContent>
  <bookViews>
    <workbookView xWindow="0" yWindow="0" windowWidth="20520" windowHeight="9690" tabRatio="787"/>
  </bookViews>
  <sheets>
    <sheet name="Cover Page" sheetId="18" r:id="rId1"/>
    <sheet name="Table of Contents" sheetId="17" r:id="rId2"/>
    <sheet name="Schedule A-Summary" sheetId="16" r:id="rId3"/>
    <sheet name="Schedule A1-Local Agencies" sheetId="14" r:id="rId4"/>
    <sheet name="Schedule A1-Schools " sheetId="13" r:id="rId5"/>
    <sheet name="Schedule B-Summary" sheetId="5" r:id="rId6"/>
    <sheet name="Schedule B1-Local Agencies" sheetId="6" r:id="rId7"/>
    <sheet name="Schedule B1-Schools" sheetId="7" r:id="rId8"/>
    <sheet name="Schedule B1-Colleges" sheetId="8" r:id="rId9"/>
    <sheet name="Schedule B2-Local Agencies" sheetId="9" r:id="rId10"/>
    <sheet name="Schedule B2-Schools" sheetId="10" r:id="rId11"/>
    <sheet name="Schedule B2-Colleges" sheetId="11" r:id="rId12"/>
    <sheet name="Schedule C-IRC" sheetId="19" r:id="rId13"/>
  </sheets>
  <externalReferences>
    <externalReference r:id="rId14"/>
    <externalReference r:id="rId15"/>
  </externalReferences>
  <definedNames>
    <definedName name="_xlnm._FilterDatabase" localSheetId="3" hidden="1">'Schedule A1-Local Agencies'!#REF!</definedName>
    <definedName name="_xlnm._FilterDatabase" localSheetId="8" hidden="1">'Schedule B1-Colleges'!$A$2:$L$142</definedName>
    <definedName name="_xlnm._FilterDatabase" localSheetId="6" hidden="1">'Schedule B1-Local Agencies'!$A$1:$L$237</definedName>
    <definedName name="_xlnm._FilterDatabase" localSheetId="7" hidden="1">'Schedule B1-Schools'!$A$1:$L$864</definedName>
    <definedName name="_xlnm._FilterDatabase" localSheetId="9" hidden="1">'Schedule B2-Local Agencies'!$A$2:$K$209</definedName>
    <definedName name="_xlnm._FilterDatabase" localSheetId="12" hidden="1">'Schedule C-IRC'!$A$2:$L$2</definedName>
    <definedName name="a" localSheetId="3">'[1]Analysis (2)'!#REF!</definedName>
    <definedName name="a" localSheetId="4">'[1]Analysis (2)'!#REF!</definedName>
    <definedName name="a" localSheetId="2">'[1]Analysis (2)'!#REF!</definedName>
    <definedName name="a" localSheetId="8">'[1]Analysis (2)'!#REF!</definedName>
    <definedName name="a" localSheetId="6">'[1]Analysis (2)'!#REF!</definedName>
    <definedName name="a" localSheetId="7">'[1]Analysis (2)'!#REF!</definedName>
    <definedName name="a" localSheetId="11">'[1]Analysis (2)'!#REF!</definedName>
    <definedName name="a" localSheetId="9">'[1]Analysis (2)'!#REF!</definedName>
    <definedName name="a" localSheetId="10">'[1]Analysis (2)'!#REF!</definedName>
    <definedName name="a" localSheetId="5">'[1]Analysis (2)'!#REF!</definedName>
    <definedName name="a" localSheetId="12">'[1]Analysis (2)'!#REF!</definedName>
    <definedName name="a" localSheetId="1">'[1]Analysis (2)'!#REF!</definedName>
    <definedName name="a">'[1]Analysis (2)'!#REF!</definedName>
    <definedName name="NO">'[1]Analysis (2)'!#REF!</definedName>
    <definedName name="OLE_LINK1" localSheetId="12">'Schedule C-IRC'!#REF!</definedName>
    <definedName name="OLE_LINK2" localSheetId="12">'Schedule C-IRC'!#REF!</definedName>
    <definedName name="_xlnm.Print_Area" localSheetId="3">'Schedule A1-Local Agencies'!$A$2:$I$116</definedName>
    <definedName name="_xlnm.Print_Area" localSheetId="4">'Schedule A1-Schools '!$A$2:$I$41</definedName>
    <definedName name="_xlnm.Print_Area" localSheetId="2">'Schedule A-Summary'!$A$2:$O$48</definedName>
    <definedName name="_xlnm.Print_Area" localSheetId="8">'Schedule B1-Colleges'!$A$2:$L$170</definedName>
    <definedName name="_xlnm.Print_Area" localSheetId="6">'Schedule B1-Local Agencies'!$A$2:$L$270</definedName>
    <definedName name="_xlnm.Print_Area" localSheetId="7">'Schedule B1-Schools'!$A$2:$L$904</definedName>
    <definedName name="_xlnm.Print_Area" localSheetId="11">'Schedule B2-Colleges'!$A$2:$K$14</definedName>
    <definedName name="_xlnm.Print_Area" localSheetId="9">'Schedule B2-Local Agencies'!$A$2:$K$229</definedName>
    <definedName name="_xlnm.Print_Area" localSheetId="10">'Schedule B2-Schools'!$A$2:$K$9</definedName>
    <definedName name="_xlnm.Print_Area" localSheetId="5">'Schedule B-Summary'!$A$2:$O$49</definedName>
    <definedName name="_xlnm.Print_Area" localSheetId="12">schedulec[#All]</definedName>
    <definedName name="_xlnm.Print_Titles" localSheetId="4">'Schedule A1-Schools '!#REF!</definedName>
    <definedName name="_xlnm.Print_Titles" localSheetId="12">'Schedule C-IRC'!$2:$2</definedName>
    <definedName name="Z_46A5F4C4_D6EC_4577_9252_7F0135FFA4BE_.wvu.FilterData" localSheetId="12" hidden="1">'Schedule C-IRC'!$A$2:$L$2</definedName>
    <definedName name="Z_46A5F4C4_D6EC_4577_9252_7F0135FFA4BE_.wvu.PrintTitles" localSheetId="12" hidden="1">'Schedule C-IRC'!$2:$2</definedName>
    <definedName name="Z_85542589_1418_4924_A03E_DB2C0542A892_.wvu.FilterData" localSheetId="12" hidden="1">'Schedule C-IRC'!$A$2:$L$2</definedName>
    <definedName name="Z_85542589_1418_4924_A03E_DB2C0542A892_.wvu.PrintTitles" localSheetId="12" hidden="1">'Schedule C-IRC'!$2:$2</definedName>
    <definedName name="Z_92652916_34E3_4B04_B100_8F20056C4A1B_.wvu.FilterData" localSheetId="12" hidden="1">'Schedule C-IRC'!$A$2:$L$2</definedName>
    <definedName name="Z_92652916_34E3_4B04_B100_8F20056C4A1B_.wvu.PrintTitles" localSheetId="12" hidden="1">'Schedule C-IRC'!$2:$2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" i="19" l="1"/>
  <c r="K14" i="11"/>
  <c r="J14" i="11"/>
  <c r="I14" i="11"/>
  <c r="H14" i="11"/>
  <c r="G14" i="11"/>
  <c r="F14" i="11"/>
  <c r="E14" i="11"/>
  <c r="K8" i="11"/>
  <c r="J8" i="11"/>
  <c r="I8" i="11"/>
  <c r="H8" i="11"/>
  <c r="G8" i="11"/>
  <c r="F8" i="11"/>
  <c r="E8" i="11"/>
  <c r="K4" i="11"/>
  <c r="J4" i="11"/>
  <c r="I4" i="11"/>
  <c r="H4" i="11"/>
  <c r="G4" i="11"/>
  <c r="F4" i="11"/>
  <c r="E4" i="11"/>
  <c r="K9" i="10"/>
  <c r="J9" i="10"/>
  <c r="I9" i="10"/>
  <c r="H9" i="10"/>
  <c r="G9" i="10"/>
  <c r="F9" i="10"/>
  <c r="E9" i="10"/>
  <c r="K5" i="10"/>
  <c r="J5" i="10"/>
  <c r="I5" i="10"/>
  <c r="H5" i="10"/>
  <c r="G5" i="10"/>
  <c r="F5" i="10"/>
  <c r="E5" i="10"/>
  <c r="K229" i="9"/>
  <c r="J229" i="9"/>
  <c r="I229" i="9"/>
  <c r="H229" i="9"/>
  <c r="G229" i="9"/>
  <c r="F229" i="9"/>
  <c r="E229" i="9"/>
  <c r="K210" i="9"/>
  <c r="J210" i="9"/>
  <c r="I210" i="9"/>
  <c r="H210" i="9"/>
  <c r="G210" i="9"/>
  <c r="F210" i="9"/>
  <c r="E210" i="9"/>
  <c r="K196" i="9"/>
  <c r="J196" i="9"/>
  <c r="I196" i="9"/>
  <c r="H196" i="9"/>
  <c r="G196" i="9"/>
  <c r="F196" i="9"/>
  <c r="E196" i="9"/>
  <c r="K182" i="9"/>
  <c r="J182" i="9"/>
  <c r="I182" i="9"/>
  <c r="H182" i="9"/>
  <c r="G182" i="9"/>
  <c r="F182" i="9"/>
  <c r="E182" i="9"/>
  <c r="K162" i="9"/>
  <c r="J162" i="9"/>
  <c r="I162" i="9"/>
  <c r="H162" i="9"/>
  <c r="G162" i="9"/>
  <c r="F162" i="9"/>
  <c r="E162" i="9"/>
  <c r="K156" i="9"/>
  <c r="J156" i="9"/>
  <c r="I156" i="9"/>
  <c r="H156" i="9"/>
  <c r="G156" i="9"/>
  <c r="F156" i="9"/>
  <c r="E156" i="9"/>
  <c r="K142" i="9"/>
  <c r="J142" i="9"/>
  <c r="I142" i="9"/>
  <c r="H142" i="9"/>
  <c r="G142" i="9"/>
  <c r="F142" i="9"/>
  <c r="E142" i="9"/>
  <c r="K132" i="9"/>
  <c r="J132" i="9"/>
  <c r="I132" i="9"/>
  <c r="H132" i="9"/>
  <c r="G132" i="9"/>
  <c r="F132" i="9"/>
  <c r="E132" i="9"/>
  <c r="K119" i="9"/>
  <c r="J119" i="9"/>
  <c r="I119" i="9"/>
  <c r="H119" i="9"/>
  <c r="G119" i="9"/>
  <c r="F119" i="9"/>
  <c r="E119" i="9"/>
  <c r="K98" i="9"/>
  <c r="J98" i="9"/>
  <c r="I98" i="9"/>
  <c r="H98" i="9"/>
  <c r="G98" i="9"/>
  <c r="F98" i="9"/>
  <c r="E98" i="9"/>
  <c r="K93" i="9"/>
  <c r="J93" i="9"/>
  <c r="I93" i="9"/>
  <c r="H93" i="9"/>
  <c r="G93" i="9"/>
  <c r="F93" i="9"/>
  <c r="E93" i="9"/>
  <c r="K74" i="9"/>
  <c r="J74" i="9"/>
  <c r="I74" i="9"/>
  <c r="H74" i="9"/>
  <c r="G74" i="9"/>
  <c r="F74" i="9"/>
  <c r="E74" i="9"/>
  <c r="K60" i="9"/>
  <c r="J60" i="9"/>
  <c r="I60" i="9"/>
  <c r="H60" i="9"/>
  <c r="G60" i="9"/>
  <c r="F60" i="9"/>
  <c r="E60" i="9"/>
  <c r="K47" i="9"/>
  <c r="J47" i="9"/>
  <c r="I47" i="9"/>
  <c r="H47" i="9"/>
  <c r="G47" i="9"/>
  <c r="F47" i="9"/>
  <c r="E47" i="9"/>
  <c r="K32" i="9"/>
  <c r="J32" i="9"/>
  <c r="I32" i="9"/>
  <c r="H32" i="9"/>
  <c r="G32" i="9"/>
  <c r="F32" i="9"/>
  <c r="E32" i="9"/>
  <c r="K19" i="9"/>
  <c r="J19" i="9"/>
  <c r="I19" i="9"/>
  <c r="H19" i="9"/>
  <c r="G19" i="9"/>
  <c r="F19" i="9"/>
  <c r="E19" i="9"/>
  <c r="K5" i="9"/>
  <c r="J5" i="9"/>
  <c r="I5" i="9"/>
  <c r="H5" i="9"/>
  <c r="G5" i="9"/>
  <c r="F5" i="9"/>
  <c r="E5" i="9"/>
  <c r="L168" i="8"/>
  <c r="K168" i="8"/>
  <c r="J168" i="8"/>
  <c r="I168" i="8"/>
  <c r="H168" i="8"/>
  <c r="F168" i="8"/>
  <c r="E168" i="8"/>
  <c r="L162" i="8"/>
  <c r="K162" i="8"/>
  <c r="J162" i="8"/>
  <c r="I162" i="8"/>
  <c r="H162" i="8"/>
  <c r="F162" i="8"/>
  <c r="E162" i="8"/>
  <c r="L143" i="8"/>
  <c r="K143" i="8"/>
  <c r="J143" i="8"/>
  <c r="I143" i="8"/>
  <c r="H143" i="8"/>
  <c r="F143" i="8"/>
  <c r="E143" i="8"/>
  <c r="L139" i="8"/>
  <c r="K139" i="8"/>
  <c r="J139" i="8"/>
  <c r="I139" i="8"/>
  <c r="H139" i="8"/>
  <c r="F139" i="8"/>
  <c r="E139" i="8"/>
  <c r="L135" i="8"/>
  <c r="K135" i="8"/>
  <c r="J135" i="8"/>
  <c r="I135" i="8"/>
  <c r="H135" i="8"/>
  <c r="F135" i="8"/>
  <c r="E135" i="8"/>
  <c r="L131" i="8"/>
  <c r="K131" i="8"/>
  <c r="J131" i="8"/>
  <c r="I131" i="8"/>
  <c r="H131" i="8"/>
  <c r="F131" i="8"/>
  <c r="E131" i="8"/>
  <c r="L125" i="8"/>
  <c r="K125" i="8"/>
  <c r="J125" i="8"/>
  <c r="I125" i="8"/>
  <c r="H125" i="8"/>
  <c r="F125" i="8"/>
  <c r="E125" i="8"/>
  <c r="L119" i="8"/>
  <c r="K119" i="8"/>
  <c r="J119" i="8"/>
  <c r="I119" i="8"/>
  <c r="H119" i="8"/>
  <c r="F119" i="8"/>
  <c r="E119" i="8"/>
  <c r="L115" i="8"/>
  <c r="K115" i="8"/>
  <c r="J115" i="8"/>
  <c r="I115" i="8"/>
  <c r="H115" i="8"/>
  <c r="F115" i="8"/>
  <c r="E115" i="8"/>
  <c r="L109" i="8"/>
  <c r="K109" i="8"/>
  <c r="J109" i="8"/>
  <c r="I109" i="8"/>
  <c r="H109" i="8"/>
  <c r="F109" i="8"/>
  <c r="E109" i="8"/>
  <c r="L98" i="8"/>
  <c r="K98" i="8"/>
  <c r="J98" i="8"/>
  <c r="I98" i="8"/>
  <c r="H98" i="8"/>
  <c r="F98" i="8"/>
  <c r="E98" i="8"/>
  <c r="L80" i="8"/>
  <c r="K80" i="8"/>
  <c r="J80" i="8"/>
  <c r="I80" i="8"/>
  <c r="H80" i="8"/>
  <c r="F80" i="8"/>
  <c r="E80" i="8"/>
  <c r="L65" i="8"/>
  <c r="K65" i="8"/>
  <c r="J65" i="8"/>
  <c r="I65" i="8"/>
  <c r="H65" i="8"/>
  <c r="F65" i="8"/>
  <c r="E65" i="8"/>
  <c r="L51" i="8"/>
  <c r="K51" i="8"/>
  <c r="J51" i="8"/>
  <c r="I51" i="8"/>
  <c r="H51" i="8"/>
  <c r="F51" i="8"/>
  <c r="E51" i="8"/>
  <c r="L36" i="8"/>
  <c r="K36" i="8"/>
  <c r="J36" i="8"/>
  <c r="I36" i="8"/>
  <c r="H36" i="8"/>
  <c r="F36" i="8"/>
  <c r="E36" i="8"/>
  <c r="L22" i="8"/>
  <c r="K22" i="8"/>
  <c r="J22" i="8"/>
  <c r="I22" i="8"/>
  <c r="H22" i="8"/>
  <c r="F22" i="8"/>
  <c r="E22" i="8"/>
  <c r="L13" i="8"/>
  <c r="K13" i="8"/>
  <c r="J13" i="8"/>
  <c r="I13" i="8"/>
  <c r="H13" i="8"/>
  <c r="F13" i="8"/>
  <c r="E13" i="8"/>
  <c r="L6" i="8"/>
  <c r="K6" i="8"/>
  <c r="J6" i="8"/>
  <c r="I6" i="8"/>
  <c r="H6" i="8"/>
  <c r="F6" i="8"/>
  <c r="E6" i="8"/>
  <c r="L902" i="7"/>
  <c r="K902" i="7"/>
  <c r="J902" i="7"/>
  <c r="I902" i="7"/>
  <c r="H902" i="7"/>
  <c r="F902" i="7"/>
  <c r="E902" i="7"/>
  <c r="L865" i="7"/>
  <c r="K865" i="7"/>
  <c r="J865" i="7"/>
  <c r="I865" i="7"/>
  <c r="H865" i="7"/>
  <c r="F865" i="7"/>
  <c r="E865" i="7"/>
  <c r="L861" i="7"/>
  <c r="K861" i="7"/>
  <c r="J861" i="7"/>
  <c r="I861" i="7"/>
  <c r="H861" i="7"/>
  <c r="F861" i="7"/>
  <c r="E861" i="7"/>
  <c r="L857" i="7"/>
  <c r="K857" i="7"/>
  <c r="J857" i="7"/>
  <c r="I857" i="7"/>
  <c r="H857" i="7"/>
  <c r="F857" i="7"/>
  <c r="E857" i="7"/>
  <c r="L853" i="7"/>
  <c r="K853" i="7"/>
  <c r="J853" i="7"/>
  <c r="I853" i="7"/>
  <c r="H853" i="7"/>
  <c r="F853" i="7"/>
  <c r="E853" i="7"/>
  <c r="L849" i="7"/>
  <c r="K849" i="7"/>
  <c r="J849" i="7"/>
  <c r="I849" i="7"/>
  <c r="H849" i="7"/>
  <c r="F849" i="7"/>
  <c r="E849" i="7"/>
  <c r="L844" i="7"/>
  <c r="K844" i="7"/>
  <c r="J844" i="7"/>
  <c r="I844" i="7"/>
  <c r="H844" i="7"/>
  <c r="F844" i="7"/>
  <c r="E844" i="7"/>
  <c r="L839" i="7"/>
  <c r="K839" i="7"/>
  <c r="J839" i="7"/>
  <c r="I839" i="7"/>
  <c r="H839" i="7"/>
  <c r="F839" i="7"/>
  <c r="E839" i="7"/>
  <c r="L834" i="7"/>
  <c r="K834" i="7"/>
  <c r="J834" i="7"/>
  <c r="I834" i="7"/>
  <c r="H834" i="7"/>
  <c r="F834" i="7"/>
  <c r="E834" i="7"/>
  <c r="L828" i="7"/>
  <c r="K828" i="7"/>
  <c r="J828" i="7"/>
  <c r="I828" i="7"/>
  <c r="H828" i="7"/>
  <c r="F828" i="7"/>
  <c r="E828" i="7"/>
  <c r="L821" i="7"/>
  <c r="K821" i="7"/>
  <c r="J821" i="7"/>
  <c r="I821" i="7"/>
  <c r="H821" i="7"/>
  <c r="F821" i="7"/>
  <c r="E821" i="7"/>
  <c r="L814" i="7"/>
  <c r="K814" i="7"/>
  <c r="J814" i="7"/>
  <c r="I814" i="7"/>
  <c r="H814" i="7"/>
  <c r="F814" i="7"/>
  <c r="E814" i="7"/>
  <c r="L803" i="7"/>
  <c r="K803" i="7"/>
  <c r="J803" i="7"/>
  <c r="I803" i="7"/>
  <c r="H803" i="7"/>
  <c r="F803" i="7"/>
  <c r="E803" i="7"/>
  <c r="L795" i="7"/>
  <c r="K795" i="7"/>
  <c r="J795" i="7"/>
  <c r="I795" i="7"/>
  <c r="H795" i="7"/>
  <c r="F795" i="7"/>
  <c r="E795" i="7"/>
  <c r="L786" i="7"/>
  <c r="K786" i="7"/>
  <c r="J786" i="7"/>
  <c r="I786" i="7"/>
  <c r="H786" i="7"/>
  <c r="F786" i="7"/>
  <c r="E786" i="7"/>
  <c r="L777" i="7"/>
  <c r="K777" i="7"/>
  <c r="J777" i="7"/>
  <c r="I777" i="7"/>
  <c r="H777" i="7"/>
  <c r="F777" i="7"/>
  <c r="E777" i="7"/>
  <c r="L763" i="7"/>
  <c r="K763" i="7"/>
  <c r="J763" i="7"/>
  <c r="I763" i="7"/>
  <c r="H763" i="7"/>
  <c r="F763" i="7"/>
  <c r="E763" i="7"/>
  <c r="L739" i="7"/>
  <c r="K739" i="7"/>
  <c r="J739" i="7"/>
  <c r="I739" i="7"/>
  <c r="H739" i="7"/>
  <c r="F739" i="7"/>
  <c r="E739" i="7"/>
  <c r="L705" i="7"/>
  <c r="K705" i="7"/>
  <c r="J705" i="7"/>
  <c r="I705" i="7"/>
  <c r="H705" i="7"/>
  <c r="F705" i="7"/>
  <c r="E705" i="7"/>
  <c r="L688" i="7"/>
  <c r="K688" i="7"/>
  <c r="J688" i="7"/>
  <c r="I688" i="7"/>
  <c r="H688" i="7"/>
  <c r="F688" i="7"/>
  <c r="E688" i="7"/>
  <c r="L669" i="7"/>
  <c r="K669" i="7"/>
  <c r="J669" i="7"/>
  <c r="I669" i="7"/>
  <c r="H669" i="7"/>
  <c r="F669" i="7"/>
  <c r="E669" i="7"/>
  <c r="L626" i="7"/>
  <c r="K626" i="7"/>
  <c r="J626" i="7"/>
  <c r="I626" i="7"/>
  <c r="H626" i="7"/>
  <c r="F626" i="7"/>
  <c r="E626" i="7"/>
  <c r="L577" i="7"/>
  <c r="K577" i="7"/>
  <c r="J577" i="7"/>
  <c r="I577" i="7"/>
  <c r="H577" i="7"/>
  <c r="F577" i="7"/>
  <c r="E577" i="7"/>
  <c r="L524" i="7"/>
  <c r="K524" i="7"/>
  <c r="J524" i="7"/>
  <c r="I524" i="7"/>
  <c r="H524" i="7"/>
  <c r="F524" i="7"/>
  <c r="E524" i="7"/>
  <c r="L472" i="7"/>
  <c r="K472" i="7"/>
  <c r="J472" i="7"/>
  <c r="I472" i="7"/>
  <c r="H472" i="7"/>
  <c r="F472" i="7"/>
  <c r="E472" i="7"/>
  <c r="L422" i="7"/>
  <c r="K422" i="7"/>
  <c r="J422" i="7"/>
  <c r="I422" i="7"/>
  <c r="H422" i="7"/>
  <c r="F422" i="7"/>
  <c r="E422" i="7"/>
  <c r="L375" i="7"/>
  <c r="K375" i="7"/>
  <c r="J375" i="7"/>
  <c r="I375" i="7"/>
  <c r="H375" i="7"/>
  <c r="F375" i="7"/>
  <c r="E375" i="7"/>
  <c r="L323" i="7"/>
  <c r="K323" i="7"/>
  <c r="J323" i="7"/>
  <c r="I323" i="7"/>
  <c r="H323" i="7"/>
  <c r="F323" i="7"/>
  <c r="E323" i="7"/>
  <c r="L276" i="7"/>
  <c r="K276" i="7"/>
  <c r="J276" i="7"/>
  <c r="I276" i="7"/>
  <c r="H276" i="7"/>
  <c r="F276" i="7"/>
  <c r="E276" i="7"/>
  <c r="L229" i="7"/>
  <c r="K229" i="7"/>
  <c r="J229" i="7"/>
  <c r="I229" i="7"/>
  <c r="H229" i="7"/>
  <c r="F229" i="7"/>
  <c r="E229" i="7"/>
  <c r="L184" i="7"/>
  <c r="K184" i="7"/>
  <c r="J184" i="7"/>
  <c r="I184" i="7"/>
  <c r="H184" i="7"/>
  <c r="F184" i="7"/>
  <c r="E184" i="7"/>
  <c r="L141" i="7"/>
  <c r="K141" i="7"/>
  <c r="J141" i="7"/>
  <c r="I141" i="7"/>
  <c r="H141" i="7"/>
  <c r="F141" i="7"/>
  <c r="E141" i="7"/>
  <c r="L105" i="7"/>
  <c r="K105" i="7"/>
  <c r="J105" i="7"/>
  <c r="I105" i="7"/>
  <c r="H105" i="7"/>
  <c r="F105" i="7"/>
  <c r="E105" i="7"/>
  <c r="L69" i="7"/>
  <c r="K69" i="7"/>
  <c r="J69" i="7"/>
  <c r="I69" i="7"/>
  <c r="H69" i="7"/>
  <c r="F69" i="7"/>
  <c r="E69" i="7"/>
  <c r="L34" i="7"/>
  <c r="K34" i="7"/>
  <c r="J34" i="7"/>
  <c r="I34" i="7"/>
  <c r="H34" i="7"/>
  <c r="F34" i="7"/>
  <c r="E34" i="7"/>
  <c r="L268" i="6"/>
  <c r="K268" i="6"/>
  <c r="J268" i="6"/>
  <c r="I268" i="6"/>
  <c r="H268" i="6"/>
  <c r="F268" i="6"/>
  <c r="E268" i="6"/>
  <c r="L238" i="6"/>
  <c r="K238" i="6"/>
  <c r="J238" i="6"/>
  <c r="I238" i="6"/>
  <c r="H238" i="6"/>
  <c r="F238" i="6"/>
  <c r="E238" i="6"/>
  <c r="L232" i="6"/>
  <c r="K232" i="6"/>
  <c r="J232" i="6"/>
  <c r="I232" i="6"/>
  <c r="H232" i="6"/>
  <c r="F232" i="6"/>
  <c r="E232" i="6"/>
  <c r="L227" i="6"/>
  <c r="K227" i="6"/>
  <c r="J227" i="6"/>
  <c r="I227" i="6"/>
  <c r="H227" i="6"/>
  <c r="F227" i="6"/>
  <c r="E227" i="6"/>
  <c r="L223" i="6"/>
  <c r="K223" i="6"/>
  <c r="J223" i="6"/>
  <c r="I223" i="6"/>
  <c r="H223" i="6"/>
  <c r="F223" i="6"/>
  <c r="E223" i="6"/>
  <c r="L218" i="6"/>
  <c r="K218" i="6"/>
  <c r="J218" i="6"/>
  <c r="I218" i="6"/>
  <c r="H218" i="6"/>
  <c r="F218" i="6"/>
  <c r="E218" i="6"/>
  <c r="L214" i="6"/>
  <c r="K214" i="6"/>
  <c r="J214" i="6"/>
  <c r="I214" i="6"/>
  <c r="H214" i="6"/>
  <c r="F214" i="6"/>
  <c r="E214" i="6"/>
  <c r="L209" i="6"/>
  <c r="K209" i="6"/>
  <c r="J209" i="6"/>
  <c r="I209" i="6"/>
  <c r="H209" i="6"/>
  <c r="F209" i="6"/>
  <c r="E209" i="6"/>
  <c r="L203" i="6"/>
  <c r="K203" i="6"/>
  <c r="J203" i="6"/>
  <c r="I203" i="6"/>
  <c r="H203" i="6"/>
  <c r="F203" i="6"/>
  <c r="E203" i="6"/>
  <c r="L196" i="6"/>
  <c r="K196" i="6"/>
  <c r="J196" i="6"/>
  <c r="I196" i="6"/>
  <c r="H196" i="6"/>
  <c r="F196" i="6"/>
  <c r="E196" i="6"/>
  <c r="L192" i="6"/>
  <c r="K192" i="6"/>
  <c r="J192" i="6"/>
  <c r="I192" i="6"/>
  <c r="H192" i="6"/>
  <c r="F192" i="6"/>
  <c r="E192" i="6"/>
  <c r="L185" i="6"/>
  <c r="K185" i="6"/>
  <c r="J185" i="6"/>
  <c r="I185" i="6"/>
  <c r="H185" i="6"/>
  <c r="F185" i="6"/>
  <c r="E185" i="6"/>
  <c r="L180" i="6"/>
  <c r="K180" i="6"/>
  <c r="J180" i="6"/>
  <c r="I180" i="6"/>
  <c r="H180" i="6"/>
  <c r="F180" i="6"/>
  <c r="E180" i="6"/>
  <c r="L175" i="6"/>
  <c r="K175" i="6"/>
  <c r="J175" i="6"/>
  <c r="I175" i="6"/>
  <c r="H175" i="6"/>
  <c r="F175" i="6"/>
  <c r="E175" i="6"/>
  <c r="L166" i="6"/>
  <c r="K166" i="6"/>
  <c r="J166" i="6"/>
  <c r="I166" i="6"/>
  <c r="H166" i="6"/>
  <c r="F166" i="6"/>
  <c r="E166" i="6"/>
  <c r="L156" i="6"/>
  <c r="K156" i="6"/>
  <c r="J156" i="6"/>
  <c r="I156" i="6"/>
  <c r="H156" i="6"/>
  <c r="F156" i="6"/>
  <c r="E156" i="6"/>
  <c r="L142" i="6"/>
  <c r="K142" i="6"/>
  <c r="J142" i="6"/>
  <c r="I142" i="6"/>
  <c r="H142" i="6"/>
  <c r="F142" i="6"/>
  <c r="E142" i="6"/>
  <c r="L113" i="6"/>
  <c r="K113" i="6"/>
  <c r="J113" i="6"/>
  <c r="I113" i="6"/>
  <c r="H113" i="6"/>
  <c r="F113" i="6"/>
  <c r="E113" i="6"/>
  <c r="L87" i="6"/>
  <c r="K87" i="6"/>
  <c r="J87" i="6"/>
  <c r="I87" i="6"/>
  <c r="H87" i="6"/>
  <c r="F87" i="6"/>
  <c r="E87" i="6"/>
  <c r="L59" i="6"/>
  <c r="K59" i="6"/>
  <c r="J59" i="6"/>
  <c r="I59" i="6"/>
  <c r="H59" i="6"/>
  <c r="F59" i="6"/>
  <c r="E59" i="6"/>
  <c r="L48" i="6"/>
  <c r="K48" i="6"/>
  <c r="J48" i="6"/>
  <c r="I48" i="6"/>
  <c r="H48" i="6"/>
  <c r="F48" i="6"/>
  <c r="E48" i="6"/>
  <c r="L43" i="6"/>
  <c r="K43" i="6"/>
  <c r="J43" i="6"/>
  <c r="I43" i="6"/>
  <c r="H43" i="6"/>
  <c r="F43" i="6"/>
  <c r="E43" i="6"/>
  <c r="L39" i="6"/>
  <c r="K39" i="6"/>
  <c r="J39" i="6"/>
  <c r="I39" i="6"/>
  <c r="H39" i="6"/>
  <c r="F39" i="6"/>
  <c r="E39" i="6"/>
  <c r="L34" i="6"/>
  <c r="K34" i="6"/>
  <c r="J34" i="6"/>
  <c r="I34" i="6"/>
  <c r="H34" i="6"/>
  <c r="F34" i="6"/>
  <c r="E34" i="6"/>
  <c r="L30" i="6"/>
  <c r="K30" i="6"/>
  <c r="J30" i="6"/>
  <c r="I30" i="6"/>
  <c r="H30" i="6"/>
  <c r="F30" i="6"/>
  <c r="E30" i="6"/>
  <c r="L26" i="6"/>
  <c r="K26" i="6"/>
  <c r="J26" i="6"/>
  <c r="I26" i="6"/>
  <c r="H26" i="6"/>
  <c r="F26" i="6"/>
  <c r="E26" i="6"/>
  <c r="L20" i="6"/>
  <c r="K20" i="6"/>
  <c r="J20" i="6"/>
  <c r="I20" i="6"/>
  <c r="H20" i="6"/>
  <c r="F20" i="6"/>
  <c r="E20" i="6"/>
  <c r="L11" i="6"/>
  <c r="K11" i="6"/>
  <c r="J11" i="6"/>
  <c r="I11" i="6"/>
  <c r="H11" i="6"/>
  <c r="F11" i="6"/>
  <c r="E11" i="6"/>
  <c r="O40" i="5"/>
  <c r="M40" i="5"/>
  <c r="L40" i="5"/>
  <c r="J40" i="5"/>
  <c r="H40" i="5"/>
  <c r="F40" i="5"/>
  <c r="E40" i="5"/>
  <c r="O39" i="5"/>
  <c r="M39" i="5"/>
  <c r="L39" i="5"/>
  <c r="J39" i="5"/>
  <c r="H39" i="5"/>
  <c r="F39" i="5"/>
  <c r="E39" i="5"/>
  <c r="O38" i="5"/>
  <c r="M38" i="5"/>
  <c r="L38" i="5"/>
  <c r="J38" i="5"/>
  <c r="H38" i="5"/>
  <c r="F38" i="5"/>
  <c r="E38" i="5"/>
  <c r="O37" i="5"/>
  <c r="M37" i="5"/>
  <c r="L37" i="5"/>
  <c r="J37" i="5"/>
  <c r="H37" i="5"/>
  <c r="F37" i="5"/>
  <c r="E37" i="5"/>
  <c r="O34" i="5"/>
  <c r="M34" i="5"/>
  <c r="L34" i="5"/>
  <c r="J34" i="5"/>
  <c r="H34" i="5"/>
  <c r="F34" i="5"/>
  <c r="E34" i="5"/>
  <c r="O28" i="5"/>
  <c r="M28" i="5"/>
  <c r="L28" i="5"/>
  <c r="J28" i="5"/>
  <c r="H28" i="5"/>
  <c r="F28" i="5"/>
  <c r="E28" i="5"/>
  <c r="O22" i="5"/>
  <c r="M22" i="5"/>
  <c r="L22" i="5"/>
  <c r="J22" i="5"/>
  <c r="H22" i="5"/>
  <c r="F22" i="5"/>
  <c r="E22" i="5"/>
  <c r="O17" i="5"/>
  <c r="M17" i="5"/>
  <c r="L17" i="5"/>
  <c r="J17" i="5"/>
  <c r="H17" i="5"/>
  <c r="F17" i="5"/>
  <c r="E17" i="5"/>
  <c r="O11" i="5"/>
  <c r="M11" i="5"/>
  <c r="L11" i="5"/>
  <c r="J11" i="5"/>
  <c r="H11" i="5"/>
  <c r="F11" i="5"/>
  <c r="E11" i="5"/>
  <c r="O5" i="5"/>
  <c r="M5" i="5"/>
  <c r="L5" i="5"/>
  <c r="J5" i="5"/>
  <c r="H5" i="5"/>
  <c r="F5" i="5"/>
  <c r="E5" i="5"/>
  <c r="I39" i="13"/>
  <c r="H39" i="13"/>
  <c r="G39" i="13"/>
  <c r="I34" i="13"/>
  <c r="H34" i="13"/>
  <c r="G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I7" i="13"/>
  <c r="I6" i="13"/>
  <c r="I5" i="13"/>
  <c r="I4" i="13"/>
  <c r="I3" i="13"/>
  <c r="I116" i="14"/>
  <c r="H116" i="14"/>
  <c r="G116" i="14"/>
  <c r="I106" i="14"/>
  <c r="H106" i="14"/>
  <c r="G106" i="14"/>
  <c r="I105" i="14"/>
  <c r="I102" i="14"/>
  <c r="H102" i="14"/>
  <c r="G102" i="14"/>
  <c r="I101" i="14"/>
  <c r="I98" i="14"/>
  <c r="H98" i="14"/>
  <c r="G98" i="14"/>
  <c r="I97" i="14"/>
  <c r="I94" i="14"/>
  <c r="H94" i="14"/>
  <c r="G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2" i="14"/>
  <c r="H72" i="14"/>
  <c r="G72" i="14"/>
  <c r="I71" i="14"/>
  <c r="I70" i="14"/>
  <c r="I69" i="14"/>
  <c r="I66" i="14"/>
  <c r="H66" i="14"/>
  <c r="G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6" i="14"/>
  <c r="H26" i="14"/>
  <c r="G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I4" i="14"/>
  <c r="I3" i="14"/>
  <c r="O43" i="16"/>
  <c r="N43" i="16"/>
  <c r="L43" i="16"/>
  <c r="K43" i="16"/>
  <c r="I43" i="16"/>
  <c r="G43" i="16"/>
  <c r="F43" i="16"/>
  <c r="O35" i="16"/>
  <c r="N35" i="16"/>
  <c r="L35" i="16"/>
  <c r="K35" i="16"/>
  <c r="I35" i="16"/>
  <c r="G35" i="16"/>
  <c r="F35" i="16"/>
  <c r="O33" i="16"/>
  <c r="O32" i="16"/>
  <c r="O31" i="16"/>
  <c r="O28" i="16"/>
  <c r="N28" i="16"/>
  <c r="L28" i="16"/>
  <c r="K28" i="16"/>
  <c r="I28" i="16"/>
  <c r="G28" i="16"/>
  <c r="F28" i="16"/>
  <c r="O27" i="16"/>
  <c r="O26" i="16"/>
  <c r="O25" i="16"/>
  <c r="O24" i="16"/>
  <c r="O21" i="16"/>
  <c r="N21" i="16"/>
  <c r="L21" i="16"/>
  <c r="K21" i="16"/>
  <c r="I21" i="16"/>
  <c r="G21" i="16"/>
  <c r="F21" i="16"/>
  <c r="O20" i="16"/>
  <c r="O19" i="16"/>
  <c r="O18" i="16"/>
  <c r="O17" i="16"/>
  <c r="O14" i="16"/>
  <c r="N14" i="16"/>
  <c r="L14" i="16"/>
  <c r="K14" i="16"/>
  <c r="I14" i="16"/>
  <c r="G14" i="16"/>
  <c r="F14" i="16"/>
  <c r="O13" i="16"/>
  <c r="O12" i="16"/>
  <c r="O11" i="16"/>
  <c r="L11" i="16"/>
  <c r="O10" i="16"/>
  <c r="L10" i="16"/>
  <c r="O7" i="16"/>
  <c r="N7" i="16"/>
  <c r="L7" i="16"/>
  <c r="K7" i="16"/>
  <c r="I7" i="16"/>
  <c r="G7" i="16"/>
  <c r="F7" i="16"/>
  <c r="O6" i="16"/>
  <c r="L6" i="16"/>
  <c r="O5" i="16"/>
  <c r="L5" i="16"/>
  <c r="O4" i="16"/>
  <c r="L4" i="16"/>
  <c r="O3" i="16"/>
  <c r="L3" i="16"/>
</calcChain>
</file>

<file path=xl/comments1.xml><?xml version="1.0" encoding="utf-8"?>
<comments xmlns="http://schemas.openxmlformats.org/spreadsheetml/2006/main">
  <authors>
    <author>Joseph, Angelo</author>
  </authors>
  <commentList>
    <comment ref="G2" authorId="0" shapeId="0">
      <text>
        <r>
          <rPr>
            <sz val="9"/>
            <color indexed="81"/>
            <rFont val="Tahoma"/>
            <family val="2"/>
          </rPr>
          <t>Footnote 1.</t>
        </r>
      </text>
    </comment>
    <comment ref="I4" authorId="0" shapeId="0">
      <text>
        <r>
          <rPr>
            <sz val="9"/>
            <color indexed="81"/>
            <rFont val="Tahoma"/>
            <family val="2"/>
          </rPr>
          <t>Footnote 3.</t>
        </r>
      </text>
    </comment>
    <comment ref="L4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I34" authorId="0" shapeId="0">
      <text>
        <r>
          <rPr>
            <sz val="9"/>
            <color indexed="81"/>
            <rFont val="Tahoma"/>
            <family val="2"/>
          </rPr>
          <t>Footnote 4.</t>
        </r>
      </text>
    </comment>
  </commentList>
</comments>
</file>

<file path=xl/comments2.xml><?xml version="1.0" encoding="utf-8"?>
<comments xmlns="http://schemas.openxmlformats.org/spreadsheetml/2006/main">
  <authors>
    <author>Joseph, Angelo</author>
  </authors>
  <commentList>
    <comment ref="A39" authorId="0" shapeId="0">
      <text>
        <r>
          <rPr>
            <sz val="9"/>
            <color indexed="81"/>
            <rFont val="Tahoma"/>
            <family val="2"/>
          </rPr>
          <t>Footnote 5.</t>
        </r>
      </text>
    </comment>
  </commentList>
</comments>
</file>

<file path=xl/comments3.xml><?xml version="1.0" encoding="utf-8"?>
<comments xmlns="http://schemas.openxmlformats.org/spreadsheetml/2006/main">
  <authors>
    <author>Joseph, Angelo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Footnote 4.</t>
        </r>
      </text>
    </comment>
    <comment ref="J2" authorId="0" shapeId="0">
      <text>
        <r>
          <rPr>
            <sz val="9"/>
            <color indexed="81"/>
            <rFont val="Tahoma"/>
            <family val="2"/>
          </rPr>
          <t>Footnote 5.</t>
        </r>
      </text>
    </comment>
    <comment ref="M2" authorId="0" shapeId="0">
      <text>
        <r>
          <rPr>
            <sz val="9"/>
            <color indexed="81"/>
            <rFont val="Tahoma"/>
            <family val="2"/>
          </rPr>
          <t>Footnote 6.</t>
        </r>
      </text>
    </comment>
    <comment ref="O2" authorId="0" shapeId="0">
      <text>
        <r>
          <rPr>
            <sz val="9"/>
            <color indexed="81"/>
            <rFont val="Tahoma"/>
            <family val="2"/>
          </rPr>
          <t>Footnote 7.</t>
        </r>
      </text>
    </comment>
    <comment ref="F4" authorId="0" shapeId="0">
      <text>
        <r>
          <rPr>
            <sz val="9"/>
            <color indexed="81"/>
            <rFont val="Tahoma"/>
            <family val="2"/>
          </rPr>
          <t>Footnote 1.</t>
        </r>
      </text>
    </comment>
    <comment ref="F9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F10" authorId="0" shapeId="0">
      <text>
        <r>
          <rPr>
            <sz val="9"/>
            <color indexed="81"/>
            <rFont val="Tahoma"/>
            <family val="2"/>
          </rPr>
          <t>Footnote 3.</t>
        </r>
      </text>
    </comment>
    <comment ref="A17" authorId="0" shapeId="0">
      <text>
        <r>
          <rPr>
            <sz val="9"/>
            <color indexed="81"/>
            <rFont val="Tahoma"/>
            <family val="2"/>
          </rPr>
          <t>Footnote 8.</t>
        </r>
      </text>
    </comment>
    <comment ref="A34" authorId="0" shapeId="0">
      <text>
        <r>
          <rPr>
            <sz val="9"/>
            <color indexed="81"/>
            <rFont val="Tahoma"/>
            <family val="2"/>
          </rPr>
          <t>Footnote 8.</t>
        </r>
      </text>
    </comment>
  </commentList>
</comments>
</file>

<file path=xl/comments4.xml><?xml version="1.0" encoding="utf-8"?>
<comments xmlns="http://schemas.openxmlformats.org/spreadsheetml/2006/main">
  <authors>
    <author>Luc, Everett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9.</t>
        </r>
      </text>
    </comment>
  </commentList>
</comments>
</file>

<file path=xl/comments5.xml><?xml version="1.0" encoding="utf-8"?>
<comments xmlns="http://schemas.openxmlformats.org/spreadsheetml/2006/main">
  <authors>
    <author>Joseph, Angelo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10.</t>
        </r>
      </text>
    </comment>
  </commentList>
</comments>
</file>

<file path=xl/comments6.xml><?xml version="1.0" encoding="utf-8"?>
<comments xmlns="http://schemas.openxmlformats.org/spreadsheetml/2006/main">
  <authors>
    <author>Joseph, Angelo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11.</t>
        </r>
      </text>
    </comment>
  </commentList>
</comments>
</file>

<file path=xl/sharedStrings.xml><?xml version="1.0" encoding="utf-8"?>
<sst xmlns="http://schemas.openxmlformats.org/spreadsheetml/2006/main" count="8466" uniqueCount="669">
  <si>
    <t>Appropriation
Number</t>
  </si>
  <si>
    <t>Legal
Reference
(Ch./Year)</t>
  </si>
  <si>
    <t>Fiscal Year of
Claims Paid</t>
  </si>
  <si>
    <t>Reversion Date</t>
  </si>
  <si>
    <t>Original
Appropriation
Amount</t>
  </si>
  <si>
    <t>Add: Receipts
and Recovered Amounts</t>
  </si>
  <si>
    <t>Local Agencies</t>
  </si>
  <si>
    <t>0001-8885-2019-295-98</t>
  </si>
  <si>
    <t>Ch. 23,55,80/19</t>
  </si>
  <si>
    <t>2017-18 and prior</t>
  </si>
  <si>
    <t>0001-8885-2018-295-98</t>
  </si>
  <si>
    <t>Ch. 29,30,449/18</t>
  </si>
  <si>
    <t>0001-8885-2017-295-98</t>
  </si>
  <si>
    <t>Ch. 14,22,54/17</t>
  </si>
  <si>
    <t>2015-16</t>
  </si>
  <si>
    <t>0044-8885-2019-295-98</t>
  </si>
  <si>
    <t>2017-18</t>
  </si>
  <si>
    <t>0044-8885-2018-295-98</t>
  </si>
  <si>
    <t>2016-17</t>
  </si>
  <si>
    <t>0044-8885-2017-295-98</t>
  </si>
  <si>
    <t>0106-8885-2019-295-98</t>
  </si>
  <si>
    <t>0106-8885-2018-295-98</t>
  </si>
  <si>
    <t>0106-8885-2017-295-98</t>
  </si>
  <si>
    <t>Total Local Agencies</t>
  </si>
  <si>
    <t>School Districts</t>
  </si>
  <si>
    <t>0001-6100-2019-295-98</t>
  </si>
  <si>
    <t>0001-6100-2018-295-98</t>
  </si>
  <si>
    <t>0001-6100-2017-295-98</t>
  </si>
  <si>
    <t>Community College Districts</t>
  </si>
  <si>
    <t>0001-6870-2019-295-98</t>
  </si>
  <si>
    <t>Ch. 23/19</t>
  </si>
  <si>
    <t>0001-6870-2018-295-98</t>
  </si>
  <si>
    <t>0001-6870-2017-295-98</t>
  </si>
  <si>
    <t>Total School Districts and Community College Districts</t>
  </si>
  <si>
    <t>Grand Total Local Agencies, School Districts, and Community College Districts</t>
  </si>
  <si>
    <t>Fiscal 
Year</t>
  </si>
  <si>
    <t>Program 
Name</t>
  </si>
  <si>
    <t>Interest
Payments and Offsets</t>
  </si>
  <si>
    <t>Total 
Payments</t>
  </si>
  <si>
    <t>Allocation of Property Tax Revenues</t>
  </si>
  <si>
    <t>Ch. 697/92</t>
  </si>
  <si>
    <t>Custody of Minors – Child Abduction and Recovery</t>
  </si>
  <si>
    <t>Ch. 1399/76</t>
  </si>
  <si>
    <t>Crime Victim's Domestic Violence Incident Reports</t>
  </si>
  <si>
    <t>Ch. 1022/99</t>
  </si>
  <si>
    <t>Domestic Violence Arrest Policies and Standards</t>
  </si>
  <si>
    <t>Ch. 246/95</t>
  </si>
  <si>
    <t>Domestic Violence Arrests and Victim Assistance</t>
  </si>
  <si>
    <t>Ch. 698/98</t>
  </si>
  <si>
    <t>Domestic Violence Treatment Services – Authorization and Case Management</t>
  </si>
  <si>
    <t>Ch. 183/92</t>
  </si>
  <si>
    <t>Health Benefits for Survivors of Peace Officers and Firefighters</t>
  </si>
  <si>
    <t>Ch. 1120/96</t>
  </si>
  <si>
    <t>Local Agency Ethics</t>
  </si>
  <si>
    <t>Ch. 700/05</t>
  </si>
  <si>
    <t>Medi-Cal Beneficiary Probate</t>
  </si>
  <si>
    <t>Ch. 102/81</t>
  </si>
  <si>
    <t>Medi-Cal Eligibility of Juvenile Offenders</t>
  </si>
  <si>
    <t>Ch. 657/06</t>
  </si>
  <si>
    <t>Peace Officers Personnel Records: Unfounded Complaints and Discovery</t>
  </si>
  <si>
    <t>Ch. 630/78</t>
  </si>
  <si>
    <t>Rape Victims Counseling Center Notice</t>
  </si>
  <si>
    <t>Ch. 999/91</t>
  </si>
  <si>
    <t>State Authorized Risk Assessment Tool for Sex Offenders</t>
  </si>
  <si>
    <t>Ch. 336/06</t>
  </si>
  <si>
    <t>Sexually Violent Predators</t>
  </si>
  <si>
    <t>Ch. 762/95</t>
  </si>
  <si>
    <t>Tuberculosis Control</t>
  </si>
  <si>
    <t>Ch. 676/93</t>
  </si>
  <si>
    <t>Countywide Tax Rates</t>
  </si>
  <si>
    <t>Ch. 921/87</t>
  </si>
  <si>
    <t>2002-03</t>
  </si>
  <si>
    <t>Binding Arbitration</t>
  </si>
  <si>
    <t>Ch. 906/00</t>
  </si>
  <si>
    <t>2001-02</t>
  </si>
  <si>
    <t>2000-01</t>
  </si>
  <si>
    <t>2008-09</t>
  </si>
  <si>
    <t>Fire Safety Inspections of Care Facilities</t>
  </si>
  <si>
    <t>Ch. 993/89</t>
  </si>
  <si>
    <t>2007-08</t>
  </si>
  <si>
    <t>2006-07</t>
  </si>
  <si>
    <t>2005-06</t>
  </si>
  <si>
    <t>2004-05</t>
  </si>
  <si>
    <t>2003-04</t>
  </si>
  <si>
    <t>2010-11</t>
  </si>
  <si>
    <t>Local Recreational Areas: Background Screenings</t>
  </si>
  <si>
    <t>Ch. 777/01</t>
  </si>
  <si>
    <t>2009-10</t>
  </si>
  <si>
    <t>Racial Profiling: Law Enforcement Training</t>
  </si>
  <si>
    <t>Ch. 684/00</t>
  </si>
  <si>
    <t>0001-8885-2019-295-98 Total</t>
  </si>
  <si>
    <t>0001-8885-2018-295-98 Total</t>
  </si>
  <si>
    <t>0001-8885-2017-295-98 Total</t>
  </si>
  <si>
    <t>Administrative License Suspension</t>
  </si>
  <si>
    <t>Ch. 1460/89</t>
  </si>
  <si>
    <t>0044-8885-2019-295-98 Total</t>
  </si>
  <si>
    <t>Pesticide Use Reports</t>
  </si>
  <si>
    <t>Ch. 1200/89</t>
  </si>
  <si>
    <t>Fiscal
Year</t>
  </si>
  <si>
    <t>Program
Name</t>
  </si>
  <si>
    <t>Total
Payments</t>
  </si>
  <si>
    <t>AIDS Instruction and AIDS Prevention Instruction</t>
  </si>
  <si>
    <t>Ch. 818/91</t>
  </si>
  <si>
    <t>Consolidation of Annual Parent Notification/Schoolsite Discipline Rules/Alternative Schools</t>
  </si>
  <si>
    <t>Ch. 448/75</t>
  </si>
  <si>
    <t>California Assessment of Student Performance and Progress (CAASPP)</t>
  </si>
  <si>
    <t>Ch. 489/13</t>
  </si>
  <si>
    <t>Cal Grant: Opt-Out Notice and Grade Point Average Submission</t>
  </si>
  <si>
    <t>Ch. 679/14</t>
  </si>
  <si>
    <t>Caregiver Affidavits to Establish Residence for School Attendance</t>
  </si>
  <si>
    <t>Ch. 98/94</t>
  </si>
  <si>
    <t>Consolidated Suspensions, Expulsions, and Expulsion Appeals</t>
  </si>
  <si>
    <t>Ch. 1253/75</t>
  </si>
  <si>
    <t>County Office of Education Fiscal Accountability Reporting</t>
  </si>
  <si>
    <t>Ch. 917/87</t>
  </si>
  <si>
    <t>Collective Bargaining and Collective Bargaining Agreement Disclosure</t>
  </si>
  <si>
    <t>Ch. 961/75</t>
  </si>
  <si>
    <t>Comprehensive School Safety Plans I and II</t>
  </si>
  <si>
    <t>Ch. 736/97</t>
  </si>
  <si>
    <t>Criminal Background Checks I</t>
  </si>
  <si>
    <t>Ch. 588/97</t>
  </si>
  <si>
    <t>Criminal Background Checks II</t>
  </si>
  <si>
    <t>Ch. 594/98</t>
  </si>
  <si>
    <t>Financial and Compliance Audits</t>
  </si>
  <si>
    <t>Ch. 36/77</t>
  </si>
  <si>
    <t>Graduation Requirements (On or after 1/1/2005)</t>
  </si>
  <si>
    <t>Ch. 498/83</t>
  </si>
  <si>
    <t>Habitual Truants</t>
  </si>
  <si>
    <t>Ch. 1184/75</t>
  </si>
  <si>
    <t>Immunization Records – Mumps, Rubella, and Hepatitis B</t>
  </si>
  <si>
    <t>Ch. 325/78</t>
  </si>
  <si>
    <t>Immunization Records – Pertussis</t>
  </si>
  <si>
    <t>Ch. 434/10</t>
  </si>
  <si>
    <t>Immunization Records</t>
  </si>
  <si>
    <t>Ch. 1176/77</t>
  </si>
  <si>
    <t>Intradistrict Attendance</t>
  </si>
  <si>
    <t>Ch. 161/93</t>
  </si>
  <si>
    <t>Juvenile Court Notices II</t>
  </si>
  <si>
    <t>Ch. 1423/84</t>
  </si>
  <si>
    <t>Consolidation of Law Enforcement Agency Notifications (LEAN) and Missing Children Reports (MCR)</t>
  </si>
  <si>
    <t>Ch. 249/86</t>
  </si>
  <si>
    <t>Notification of Truancy</t>
  </si>
  <si>
    <t>Consolidation of Notification to Teachers: Pupils Subject to Suspension or Expulsion and Pupil Discipline Records, Notification to Teachers: Pupils Subject to Suspension or Expulsion II</t>
  </si>
  <si>
    <t>Ch. 1306/89</t>
  </si>
  <si>
    <t>Parental Involvement Programs</t>
  </si>
  <si>
    <t>Ch. 1400/90</t>
  </si>
  <si>
    <t>Physical Performance Tests</t>
  </si>
  <si>
    <t>Ch. 975/95</t>
  </si>
  <si>
    <t>Pupil Promotion and Retention</t>
  </si>
  <si>
    <t>Ch. 100/81</t>
  </si>
  <si>
    <t>School Accountability Report Cards</t>
  </si>
  <si>
    <t>Ch. 1463/89</t>
  </si>
  <si>
    <t>School District Fiscal Accountability Reporting and Employee Benefits Disclosure</t>
  </si>
  <si>
    <t>The Stull Act</t>
  </si>
  <si>
    <t>Training for School Employee Mandated Reporters</t>
  </si>
  <si>
    <t>Ch. 797/14</t>
  </si>
  <si>
    <t>Williams Case Implementation I, II, and III</t>
  </si>
  <si>
    <t>Ch. 900/04</t>
  </si>
  <si>
    <t>Total School Districts</t>
  </si>
  <si>
    <t>0001-8885-2020-295-98</t>
  </si>
  <si>
    <t>0044-8885-2020-295-98</t>
  </si>
  <si>
    <t>0106-8885-2020-295-98</t>
  </si>
  <si>
    <t>0001-6100-2020-295-98</t>
  </si>
  <si>
    <t>0001-6870-2020-295-98</t>
  </si>
  <si>
    <t>Appropriation Balances
as of 8/31/2020</t>
  </si>
  <si>
    <t>2018-19</t>
  </si>
  <si>
    <t>Local Agency Employee Organizations: Impasse Procedures II</t>
  </si>
  <si>
    <t>Ch. 314/12</t>
  </si>
  <si>
    <t>U Visa 918 Form, Victims of Crime: Nonimmigrant Status</t>
  </si>
  <si>
    <t>Ch. 721/15</t>
  </si>
  <si>
    <t>2018-19 and prior</t>
  </si>
  <si>
    <t>Handicapped and Disabled Students, Handicapped and Disabled Students II, and Seriously Emotionally Disturbed (SED) Pupils: Out of State Mental Health Services</t>
  </si>
  <si>
    <t>Ch. 1747/84</t>
  </si>
  <si>
    <t>California Public Records Act</t>
  </si>
  <si>
    <t>Ch. 463/92</t>
  </si>
  <si>
    <t>Post Election Manual Tally</t>
  </si>
  <si>
    <t>Title 2</t>
  </si>
  <si>
    <t xml:space="preserve">2016-17 and prior </t>
  </si>
  <si>
    <t>2013-14 and prior</t>
  </si>
  <si>
    <t>0044-8885-2020-295-98 Total</t>
  </si>
  <si>
    <t>Uniform Complaint Procedures (K-12)</t>
  </si>
  <si>
    <t>Ch. 1117/82</t>
  </si>
  <si>
    <t>Ch. 6/20</t>
  </si>
  <si>
    <t>2013-14</t>
  </si>
  <si>
    <t>2012-13</t>
  </si>
  <si>
    <t>2011-12</t>
  </si>
  <si>
    <t>Program
Category</t>
  </si>
  <si>
    <t>Schedules</t>
  </si>
  <si>
    <t>Program
Costs</t>
  </si>
  <si>
    <t>Less: Recovered
Amount</t>
  </si>
  <si>
    <t>General Government</t>
  </si>
  <si>
    <t>2018-19 and Prior</t>
  </si>
  <si>
    <t>Education</t>
  </si>
  <si>
    <t>2014-15 and Prior</t>
  </si>
  <si>
    <t xml:space="preserve">  </t>
  </si>
  <si>
    <t>Program Number</t>
  </si>
  <si>
    <t>Net
Balance</t>
  </si>
  <si>
    <t>Less: Recovered Amount</t>
  </si>
  <si>
    <t>Peace Officers Procedural Bill of Rights</t>
  </si>
  <si>
    <t>Ch. 465/76</t>
  </si>
  <si>
    <t>Threats Against Peace Officers</t>
  </si>
  <si>
    <t>Ch. 1249/92</t>
  </si>
  <si>
    <t>2018-19 Total</t>
  </si>
  <si>
    <t>2017-18 Total</t>
  </si>
  <si>
    <t>2016-17 Total</t>
  </si>
  <si>
    <t>2015-16 Total</t>
  </si>
  <si>
    <t>2014-15</t>
  </si>
  <si>
    <t>2014-15 Total</t>
  </si>
  <si>
    <t>2013-14 Total</t>
  </si>
  <si>
    <t>2012-13 Total</t>
  </si>
  <si>
    <t>Open Meetings Act/Brown Act Reform</t>
  </si>
  <si>
    <t>Ch. 641/86</t>
  </si>
  <si>
    <t>2011-12 Total</t>
  </si>
  <si>
    <t>Absentee Ballots</t>
  </si>
  <si>
    <t>Ch. 77/78</t>
  </si>
  <si>
    <t>Absentee Ballots: Tabulation by Precinct</t>
  </si>
  <si>
    <t>Ch. 697/99</t>
  </si>
  <si>
    <t>In-Home Supportive Services II</t>
  </si>
  <si>
    <t>Ch. 90/99</t>
  </si>
  <si>
    <t>Mandate Reimbursement Process I</t>
  </si>
  <si>
    <t>Ch. 486/75</t>
  </si>
  <si>
    <t>Voter Registration Procedures</t>
  </si>
  <si>
    <t>Ch. 704/75</t>
  </si>
  <si>
    <t>2010-11 Total</t>
  </si>
  <si>
    <t>Animal Adoption</t>
  </si>
  <si>
    <t>Ch. 752/98</t>
  </si>
  <si>
    <t>Conservatorship: Developmentally Disabled Adults</t>
  </si>
  <si>
    <t>Ch. 1304/80</t>
  </si>
  <si>
    <t>Coroner's Costs</t>
  </si>
  <si>
    <t>Ch. 498/77</t>
  </si>
  <si>
    <t>Crime Victims' Rights</t>
  </si>
  <si>
    <t>Ch. 411/95</t>
  </si>
  <si>
    <t>Developmentally Disabled: Attorneys' Services</t>
  </si>
  <si>
    <t>Ch. 694/75</t>
  </si>
  <si>
    <t>Local Agency Formation Commissions (LAFCO)</t>
  </si>
  <si>
    <t>Ch. 761/00</t>
  </si>
  <si>
    <t>Mentally Disordered Offenders' Extended Commitment Proceedings</t>
  </si>
  <si>
    <t>Ch. 1418/85</t>
  </si>
  <si>
    <t>Mentally Disordered Sex Offenders: Extended Commitment Proceedings</t>
  </si>
  <si>
    <t>Ch. 1036/78</t>
  </si>
  <si>
    <t>Mentally Retarded Defendants: Diversion</t>
  </si>
  <si>
    <t>Ch. 1253/80</t>
  </si>
  <si>
    <t>Not Guilty by Reason of Insanity</t>
  </si>
  <si>
    <t>Ch. 1114/79</t>
  </si>
  <si>
    <t>Pacific Beach Safety: Water Quality and Closures</t>
  </si>
  <si>
    <t>Ch. 961/92</t>
  </si>
  <si>
    <t>Perinatal Services</t>
  </si>
  <si>
    <t>Ch. 1603/90</t>
  </si>
  <si>
    <t>Permanent Absent Voters</t>
  </si>
  <si>
    <t>Ch. 1422/82</t>
  </si>
  <si>
    <t>Photographic Record of Evidence</t>
  </si>
  <si>
    <t>Ch. 875/85</t>
  </si>
  <si>
    <t>Post Conviction: DNA Court Proceedings</t>
  </si>
  <si>
    <t>Ch. 821/00</t>
  </si>
  <si>
    <t>Search Warrant: AIDS</t>
  </si>
  <si>
    <t>Ch. 1088/88</t>
  </si>
  <si>
    <t>Stolen Vehicle Notification</t>
  </si>
  <si>
    <t>Ch. 337/90</t>
  </si>
  <si>
    <t>2009-10 Total</t>
  </si>
  <si>
    <t>DNA Database</t>
  </si>
  <si>
    <t>Ch. 822/00</t>
  </si>
  <si>
    <t>False Reports of Police Misconduct</t>
  </si>
  <si>
    <t>Ch. 590/95</t>
  </si>
  <si>
    <t>Judicial Proceedings For Mentally Retarded Persons</t>
  </si>
  <si>
    <t>Ch. 644/80</t>
  </si>
  <si>
    <t>Postmortem Examinations: Unidentified Bodies, Human Remains</t>
  </si>
  <si>
    <t>Ch. 284/00</t>
  </si>
  <si>
    <t>Senior Citizens Property Tax Postponement</t>
  </si>
  <si>
    <t>Ch. 1242/77</t>
  </si>
  <si>
    <t>2008-09 Total</t>
  </si>
  <si>
    <t>Firefighters' Cancer Presumption</t>
  </si>
  <si>
    <t>Ch. 1568/82</t>
  </si>
  <si>
    <t>Peace Officers Cancer Presumption</t>
  </si>
  <si>
    <t>Ch. 1171/89</t>
  </si>
  <si>
    <t>2007-08 Total</t>
  </si>
  <si>
    <t>2006-07 Total</t>
  </si>
  <si>
    <t>2005-06 Total</t>
  </si>
  <si>
    <t>2004-05 Total</t>
  </si>
  <si>
    <t>2003-04 Total</t>
  </si>
  <si>
    <t>2002-03 Total</t>
  </si>
  <si>
    <t>Investment Reports</t>
  </si>
  <si>
    <t>Ch. 783/95</t>
  </si>
  <si>
    <t>2001-02 Total</t>
  </si>
  <si>
    <t>2000-01 Total</t>
  </si>
  <si>
    <t>1999-00</t>
  </si>
  <si>
    <t>SIDS Training for Firefighters</t>
  </si>
  <si>
    <t>Ch. 1111/89</t>
  </si>
  <si>
    <t>1999-00 Total</t>
  </si>
  <si>
    <t>1998-99</t>
  </si>
  <si>
    <t>Open Meetings Act</t>
  </si>
  <si>
    <t>Regional Housing Need Determination</t>
  </si>
  <si>
    <t>Ch. 1143/80</t>
  </si>
  <si>
    <t>1998-99 Total</t>
  </si>
  <si>
    <t>1997-98</t>
  </si>
  <si>
    <t>1997-98 Total</t>
  </si>
  <si>
    <t>1996-97</t>
  </si>
  <si>
    <t>1996-97 Total</t>
  </si>
  <si>
    <t>1995-96</t>
  </si>
  <si>
    <t>1995-96 Total</t>
  </si>
  <si>
    <t>1994-95</t>
  </si>
  <si>
    <t>1994-95 Total</t>
  </si>
  <si>
    <t>1992-93</t>
  </si>
  <si>
    <t>Personal Alarm Devices</t>
  </si>
  <si>
    <t>Title 8</t>
  </si>
  <si>
    <t>1992-93 Total</t>
  </si>
  <si>
    <t>1991-92</t>
  </si>
  <si>
    <t>Structural and Wildland Firefighter Safety Clothing and Equipment</t>
  </si>
  <si>
    <t xml:space="preserve">Title 8 </t>
  </si>
  <si>
    <t>1991-92 Total</t>
  </si>
  <si>
    <t>Charter Schools I, II, and III</t>
  </si>
  <si>
    <t>Ch. 781/92</t>
  </si>
  <si>
    <t>Pupil Health Screenings (For Fiscal Year 2004-2005 and Subsequent Years)</t>
  </si>
  <si>
    <t>Ch. 1208/76</t>
  </si>
  <si>
    <t>Academic Performance Index</t>
  </si>
  <si>
    <t>Ch. 3/99</t>
  </si>
  <si>
    <t>Child Abuse and Neglect Reporting</t>
  </si>
  <si>
    <t>Ch. 640/87</t>
  </si>
  <si>
    <t>Expulsion of Pupils: Transcript Cost for Appeals</t>
  </si>
  <si>
    <t>High School Exit Examination</t>
  </si>
  <si>
    <t>Ch. 1/99</t>
  </si>
  <si>
    <t>Interdistrict Attendance Permits</t>
  </si>
  <si>
    <t>Ch. 172/86</t>
  </si>
  <si>
    <t>Pupil Safety Notices</t>
  </si>
  <si>
    <t>School District Reorganization</t>
  </si>
  <si>
    <t>Ch. 1192/80</t>
  </si>
  <si>
    <t>Student Records</t>
  </si>
  <si>
    <t>Ch. 593/89</t>
  </si>
  <si>
    <t>California Public Records Act (CPRA)</t>
  </si>
  <si>
    <t>California State Teachers' Retirement System (CalSTRS) Service Credit</t>
  </si>
  <si>
    <t>Ch. 603/94</t>
  </si>
  <si>
    <t>Charter Schools IV</t>
  </si>
  <si>
    <t>Ch. 1058/02</t>
  </si>
  <si>
    <t>Race to the Top</t>
  </si>
  <si>
    <t>Title 5</t>
  </si>
  <si>
    <t>Behavioral Intervention Plans (On or after 7/1/2012)</t>
  </si>
  <si>
    <t xml:space="preserve">Title 5 </t>
  </si>
  <si>
    <t>Immunization Records – Hepatitis B</t>
  </si>
  <si>
    <t>Mandate Reimbursement Process I and II</t>
  </si>
  <si>
    <t>Public Contracts (K-14)</t>
  </si>
  <si>
    <t>Ch. 1073/85</t>
  </si>
  <si>
    <t>Behavioral Intervention Plans (7/1/1993 to 6/30/2012)</t>
  </si>
  <si>
    <t>Prevailing Wage Rate</t>
  </si>
  <si>
    <t>Ch. 1249/78</t>
  </si>
  <si>
    <t>Pupil Expulsions II, Pupil Suspensions II, and Educational Services Plan for Expelled Pupils (7/1/2001 to 6/30/2012)</t>
  </si>
  <si>
    <t>Ch. 972/95</t>
  </si>
  <si>
    <t>Pupil Suspensions, Expulsions, and Expulsion Appeals</t>
  </si>
  <si>
    <t>Agency Fee Arrangements</t>
  </si>
  <si>
    <t>Ch. 893/00</t>
  </si>
  <si>
    <t>Developer Fees</t>
  </si>
  <si>
    <t>Ch. 955/77</t>
  </si>
  <si>
    <t>Physical Education Reports</t>
  </si>
  <si>
    <t>Ch. 640/97</t>
  </si>
  <si>
    <t>Removal of Chemicals</t>
  </si>
  <si>
    <t>Ch. 1107/84</t>
  </si>
  <si>
    <t>Scoliosis Screening</t>
  </si>
  <si>
    <t>Ch. 1347/80</t>
  </si>
  <si>
    <t>Pupil Residency Verification and Appeals</t>
  </si>
  <si>
    <t>Ch. 309/95</t>
  </si>
  <si>
    <t>Comprehensive School Safety Plans</t>
  </si>
  <si>
    <t>National Norm-Referenced Achievement Test (formerly Standardized Testing and Reporting (STAR))</t>
  </si>
  <si>
    <t>Ch. 828/97</t>
  </si>
  <si>
    <t>Consolidation of Pupil Discipline Records and Notification to Teachers: Pupils Subject to Suspension or Expulsion II</t>
  </si>
  <si>
    <t>Ch. 345/00</t>
  </si>
  <si>
    <t>Graduation Requirements</t>
  </si>
  <si>
    <t>Notification to Teachers: Pupils Subject to Suspension or Expulsion</t>
  </si>
  <si>
    <t>Charter Schools II</t>
  </si>
  <si>
    <t>Ch. 34/98</t>
  </si>
  <si>
    <t>Charter Schools III</t>
  </si>
  <si>
    <t>Differential Pay and Reemployment</t>
  </si>
  <si>
    <t>Ch. 30/98</t>
  </si>
  <si>
    <t>Law Enforcement Agency Notifications</t>
  </si>
  <si>
    <t>Ch. 1117/89</t>
  </si>
  <si>
    <t>Missing Children Reports</t>
  </si>
  <si>
    <t>Pupil Classroom Suspension: Counseling</t>
  </si>
  <si>
    <t>Ch. 965/77</t>
  </si>
  <si>
    <t>Pupil Expulsions from School: Additional Hearing Costs for Mandatory Recommendations for Expulsion</t>
  </si>
  <si>
    <t>American Government Course Document Requirements</t>
  </si>
  <si>
    <t>Ch. 778/96</t>
  </si>
  <si>
    <t>Annual Parent Notification (7/1/1999 through 6/30/2001)</t>
  </si>
  <si>
    <t>Emergency Procedures, Earthquake Procedures, and Disasters and Comprehensive School Safety Plans</t>
  </si>
  <si>
    <t>Ch. 1659/84</t>
  </si>
  <si>
    <t>Graduation Requirements (7/1/2004 to 12/31/2004)</t>
  </si>
  <si>
    <t>Pupil Exclusions</t>
  </si>
  <si>
    <t>Ch. 668/78</t>
  </si>
  <si>
    <t>Pupil Health Screenings (7/1/2003 and Prior)</t>
  </si>
  <si>
    <t>School District Fiscal Accountability Reporting</t>
  </si>
  <si>
    <t>Graduation Requirements (7/1/1995 to 6/30/2004)</t>
  </si>
  <si>
    <t>Standardized Testing and Reporting</t>
  </si>
  <si>
    <t>AIDS Prevention Instruction</t>
  </si>
  <si>
    <t>Charter Schools</t>
  </si>
  <si>
    <t>Emergency Procedures: Earthquakes and Disasters</t>
  </si>
  <si>
    <t>Open Meetings Act II</t>
  </si>
  <si>
    <t>School District of Choice: Transfers and Appeals</t>
  </si>
  <si>
    <t>Ch. 160/93</t>
  </si>
  <si>
    <t>Schoolsite Discipline Rules</t>
  </si>
  <si>
    <t>Ch. 87/86</t>
  </si>
  <si>
    <t>Pupil Expulsions II, Pupil Suspensions II, and Educational Services Plan (7/1/1999 to 6/30/2001)</t>
  </si>
  <si>
    <t>Ch. 332/99</t>
  </si>
  <si>
    <t>School Bus Safety I and II</t>
  </si>
  <si>
    <t>Ch. 624/92</t>
  </si>
  <si>
    <t>School Bus Safety</t>
  </si>
  <si>
    <t>Interdistrict Transfer Requests: Parent's Employment</t>
  </si>
  <si>
    <t>Credential Monitoring</t>
  </si>
  <si>
    <t>Ch. 1376/87</t>
  </si>
  <si>
    <t>School Testing – Physical Fitness</t>
  </si>
  <si>
    <t>Ch. 1675/84</t>
  </si>
  <si>
    <t>1993-94</t>
  </si>
  <si>
    <t>1993-94 Total</t>
  </si>
  <si>
    <t>Civic Center Act</t>
  </si>
  <si>
    <t>Ch. 49/84</t>
  </si>
  <si>
    <t>1990-91</t>
  </si>
  <si>
    <t>1990-91 Total</t>
  </si>
  <si>
    <t>1989-90</t>
  </si>
  <si>
    <t>1989-90 Total</t>
  </si>
  <si>
    <t>1988-89</t>
  </si>
  <si>
    <t>1988-89 Total</t>
  </si>
  <si>
    <t>1987-88</t>
  </si>
  <si>
    <t>1987-88 Total</t>
  </si>
  <si>
    <t>1986-87</t>
  </si>
  <si>
    <t>1986-87 Total</t>
  </si>
  <si>
    <t>1985-86</t>
  </si>
  <si>
    <t>1985-86 Total</t>
  </si>
  <si>
    <t>Enrollment Fee Collection and Waivers</t>
  </si>
  <si>
    <t>Minimum Conditions for State Aid</t>
  </si>
  <si>
    <t>Ch. 973/88</t>
  </si>
  <si>
    <t>Open Meetings/Brown Act Reform</t>
  </si>
  <si>
    <t>Community College Construction</t>
  </si>
  <si>
    <t>Ch. 910/80</t>
  </si>
  <si>
    <t>Discrimination Complaint Procedures (Equal Employment Opportunity Program – Set 3)</t>
  </si>
  <si>
    <t>Health Fee Elimination (On or after 7/1/1994)</t>
  </si>
  <si>
    <t>Ch. 1/84</t>
  </si>
  <si>
    <t>Tuition Fee Waivers</t>
  </si>
  <si>
    <t>Integrated Waste Management</t>
  </si>
  <si>
    <t>Ch. 1116/92</t>
  </si>
  <si>
    <t>Sexual Assault Response Procedures</t>
  </si>
  <si>
    <t>Ch. 423/90</t>
  </si>
  <si>
    <t>Cal Grants</t>
  </si>
  <si>
    <t>Ch. 403/00</t>
  </si>
  <si>
    <t>Reporting Improper Governmental Activities</t>
  </si>
  <si>
    <t>Ch. 416/01</t>
  </si>
  <si>
    <t>Total Community College Districts</t>
  </si>
  <si>
    <t>Total Funded Mandates</t>
  </si>
  <si>
    <t>Less: Net Payments and Offsets</t>
  </si>
  <si>
    <t>California Fire Incident Reporting System (CFIRS)</t>
  </si>
  <si>
    <t>Ch. 345/87</t>
  </si>
  <si>
    <t>California Fire Incident Reporting System (CFIRS) Total</t>
  </si>
  <si>
    <t>Crime Statistics Reports for the Department of Justice</t>
  </si>
  <si>
    <t>Ch. 1172/89</t>
  </si>
  <si>
    <t>Crime Statistics Reports for the Department of Justice Total</t>
  </si>
  <si>
    <t>Crime Victims' Domestic Violence Incident Reports II</t>
  </si>
  <si>
    <t>Ch. 483/01</t>
  </si>
  <si>
    <t>Crime Victims' Domestic Violence Incident Reports II Total</t>
  </si>
  <si>
    <t>Domestic Violence Background Checks</t>
  </si>
  <si>
    <t>Ch. 713/01</t>
  </si>
  <si>
    <t>Domestic Violence Background Checks Total</t>
  </si>
  <si>
    <t>Firearm Hearings for Discharged Inpatients</t>
  </si>
  <si>
    <t>Ch. 578/99</t>
  </si>
  <si>
    <t>Firearm Hearings for Discharged Inpatients Total</t>
  </si>
  <si>
    <t>Identity Theft</t>
  </si>
  <si>
    <t>Ch. 956/00</t>
  </si>
  <si>
    <t>Identity Theft Total</t>
  </si>
  <si>
    <t>Interagency Child Abuse and Neglect Investigation Reports</t>
  </si>
  <si>
    <t>Ch. 958/77</t>
  </si>
  <si>
    <t>Interagency Child Abuse and Neglect Investigation Reports Total</t>
  </si>
  <si>
    <t>Local Elections: Consolidation</t>
  </si>
  <si>
    <t>Ch. 1013/81</t>
  </si>
  <si>
    <t>Local Elections: Consolidation Total</t>
  </si>
  <si>
    <t>Local Government Employee Relations</t>
  </si>
  <si>
    <t>Ch. 901/00</t>
  </si>
  <si>
    <t>Local Government Employee Relations Total</t>
  </si>
  <si>
    <t>Mentally Disordered Offenders: Treatment as a Condition of Parole</t>
  </si>
  <si>
    <t>Ch. 1419/85</t>
  </si>
  <si>
    <t>Mentally Disordered Offenders: Treatment as a Condition of Parole Total</t>
  </si>
  <si>
    <t>Modified Primary Election</t>
  </si>
  <si>
    <t>Ch. 898/00</t>
  </si>
  <si>
    <t>Modified Primary Election Total</t>
  </si>
  <si>
    <t>Municipal Storm Water and Urban Runoff Discharges</t>
  </si>
  <si>
    <t>Municipal Storm Water and Urban Runoff Discharges Total</t>
  </si>
  <si>
    <t>Peace Officer Training: Mental Health/Crisis Intervention</t>
  </si>
  <si>
    <t>Ch. 469/15</t>
  </si>
  <si>
    <t>Peace Officer Training: Mental Health/Crisis Intervention Total</t>
  </si>
  <si>
    <t>Peace Officers Procedural Bill of Rights II</t>
  </si>
  <si>
    <t>Peace Officers Procedural Bill of Rights II Total</t>
  </si>
  <si>
    <t>Permanent Absent Voters II</t>
  </si>
  <si>
    <t>Ch. 922/01</t>
  </si>
  <si>
    <t>Permanent Absent Voters II Total</t>
  </si>
  <si>
    <t>Voter Identification Procedures</t>
  </si>
  <si>
    <t>Ch. 260/00</t>
  </si>
  <si>
    <t>Voter Identification Procedures Total</t>
  </si>
  <si>
    <t>Public School Restrooms: Feminine Hygiene Products</t>
  </si>
  <si>
    <t>Ch. 687/17</t>
  </si>
  <si>
    <t>Public School Restrooms: Feminine Hygiene Products Total</t>
  </si>
  <si>
    <t>Student Records Total</t>
  </si>
  <si>
    <t>Total Unfunded Mandates</t>
  </si>
  <si>
    <t>Budget Adjustments</t>
  </si>
  <si>
    <t>Less: Appropriations for Reversion</t>
  </si>
  <si>
    <t>State Controller's Office
Schedule A: Summary of State-Mandated Program Appropriations, Receipts, and Payments 
As of August 31, 2020</t>
  </si>
  <si>
    <t>Program Category
 and Fund</t>
  </si>
  <si>
    <t>Local Agencies-General Fund</t>
  </si>
  <si>
    <t>Total Local Agencies-General Fund</t>
  </si>
  <si>
    <t>N/A</t>
  </si>
  <si>
    <t>Less: Mandated Program Payments, Offsets, and Interest
(see Schedule A1)</t>
  </si>
  <si>
    <t>Motor Vehicle Account-Non-General Fund</t>
  </si>
  <si>
    <t>Total Motor Vehicle Account-Non-General Fund</t>
  </si>
  <si>
    <t>Pesticide Regulation-Non-General Fund</t>
  </si>
  <si>
    <t>Total Pesticide Regulation-Non-General Fund</t>
  </si>
  <si>
    <t>School Districts-General Fund</t>
  </si>
  <si>
    <t>Total School Districts-General Fund</t>
  </si>
  <si>
    <t>Please continue to next table.</t>
  </si>
  <si>
    <t>Community College Districts-General Fund</t>
  </si>
  <si>
    <t>Total Community College Districts-General Fund</t>
  </si>
  <si>
    <t>Grand Total</t>
  </si>
  <si>
    <t>Program Category
and Type of Payment</t>
  </si>
  <si>
    <t>Appropriation 
Number</t>
  </si>
  <si>
    <t>Legal 
Reference
(Ch./Year)</t>
  </si>
  <si>
    <t>Program
 Number</t>
  </si>
  <si>
    <t>Program 
Payments and Offsets</t>
  </si>
  <si>
    <t>State Controller's Office
Schedule A1: Detail of State-Mandated Program Payments by Fiscal Year
As of August 31, 2020</t>
  </si>
  <si>
    <t>Local Agencies-Motor Vehicle</t>
  </si>
  <si>
    <t>Local Agencies-Pesticide</t>
  </si>
  <si>
    <t>Annual Claim Payments Total</t>
  </si>
  <si>
    <t>0106-8885-2020-295-98 Total</t>
  </si>
  <si>
    <t>School District-Annual Claim</t>
  </si>
  <si>
    <r>
      <rPr>
        <vertAlign val="superscript"/>
        <sz val="12"/>
        <color theme="1"/>
        <rFont val="Arial"/>
        <family val="2"/>
      </rPr>
      <t>5</t>
    </r>
    <r>
      <rPr>
        <sz val="12"/>
        <color theme="1"/>
        <rFont val="Arial"/>
        <family val="2"/>
      </rPr>
      <t xml:space="preserve"> All community college districts participate in the block grant program. Therefore, no payments are made to community colleges.</t>
    </r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</si>
  <si>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As of 08/31/2019, except for the Budget Act of 2020 appropriations as of 07/01/2020.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</si>
  <si>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Interest payments (see Schedule A1 for detail).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</si>
  <si>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Transferred from the 2018 budget appropriation to the 2019 budget appropriation to ensure all claims were paid for four expired and repealed mandates.</t>
    </r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</si>
  <si>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Per Item 0001-6870-2019-488, Schedule (6) of the Budget Act of 2019, $13,000 was reappropriated from Item 0001-6870-2017-295 of the Budget Act of 2017.</t>
    </r>
  </si>
  <si>
    <t>Accounts Payable
Balance</t>
  </si>
  <si>
    <t>Established
Accounts Receivable</t>
  </si>
  <si>
    <t>Accounts Receivable
Balance</t>
  </si>
  <si>
    <t>State Controller's Office
Schedule B1: Detail of Funded State-Mandated Programs by Fiscal Year
As of August 31, 2020</t>
  </si>
  <si>
    <t>Comment</t>
  </si>
  <si>
    <r>
      <t xml:space="preserve">Less: Net Payments and Offsets </t>
    </r>
    <r>
      <rPr>
        <b/>
        <vertAlign val="superscript"/>
        <sz val="12"/>
        <color theme="1"/>
        <rFont val="Arial"/>
        <family val="2"/>
      </rPr>
      <t>10</t>
    </r>
  </si>
  <si>
    <r>
      <rPr>
        <vertAlign val="superscript"/>
        <sz val="12"/>
        <color theme="1"/>
        <rFont val="Arial"/>
        <family val="2"/>
      </rPr>
      <t xml:space="preserve">9 </t>
    </r>
    <r>
      <rPr>
        <sz val="12"/>
        <color theme="1"/>
        <rFont val="Arial"/>
        <family val="2"/>
      </rPr>
      <t>Local Agencies do not receive one-time funding offsets.</t>
    </r>
  </si>
  <si>
    <r>
      <rPr>
        <vertAlign val="superscript"/>
        <sz val="12"/>
        <color theme="1"/>
        <rFont val="Arial"/>
        <family val="2"/>
      </rPr>
      <t>10</t>
    </r>
    <r>
      <rPr>
        <sz val="12"/>
        <color theme="1"/>
        <rFont val="Arial"/>
        <family val="2"/>
      </rPr>
      <t xml:space="preserve"> School districts did not receive one-time funding offsets this year. This amount includes offsets applied from prior years.</t>
    </r>
  </si>
  <si>
    <t>School Districts Total</t>
  </si>
  <si>
    <r>
      <t xml:space="preserve">Less: Net Payments and Offsets </t>
    </r>
    <r>
      <rPr>
        <b/>
        <vertAlign val="superscript"/>
        <sz val="12"/>
        <color theme="1"/>
        <rFont val="Arial"/>
        <family val="2"/>
      </rPr>
      <t>11</t>
    </r>
  </si>
  <si>
    <r>
      <rPr>
        <vertAlign val="superscript"/>
        <sz val="12"/>
        <color theme="1"/>
        <rFont val="Arial"/>
        <family val="2"/>
      </rPr>
      <t>11</t>
    </r>
    <r>
      <rPr>
        <sz val="12"/>
        <color theme="1"/>
        <rFont val="Arial"/>
        <family val="2"/>
      </rPr>
      <t xml:space="preserve"> Community college districts did not receive one-time funding offsets this year. This amount includes offsets applied from prior years.</t>
    </r>
  </si>
  <si>
    <t>State Controller's Office
Schedule B2: Detail of Unfunded State-Mandated Programs
As of August 31, 2020</t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</si>
  <si>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Local agencies do not receive one-time funding offsets.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</si>
  <si>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Community college districts did not receive one-time funding offsets this year. This amount includes offsets applied from prior years.</t>
    </r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</si>
  <si>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Amount due to local agencies, school districts, and community college districts.</t>
    </r>
  </si>
  <si>
    <r>
      <rPr>
        <vertAlign val="superscript"/>
        <sz val="12"/>
        <color theme="1"/>
        <rFont val="Arial"/>
        <family val="2"/>
      </rPr>
      <t>5</t>
    </r>
    <r>
      <rPr>
        <sz val="12"/>
        <color theme="1"/>
        <rFont val="Arial"/>
        <family val="2"/>
      </rPr>
      <t xml:space="preserve"> Total accounts receivable established due to desk review and field audit claim adjustments.</t>
    </r>
  </si>
  <si>
    <t>Comment1</t>
  </si>
  <si>
    <r>
      <t xml:space="preserve">Net
Balance </t>
    </r>
    <r>
      <rPr>
        <b/>
        <vertAlign val="superscript"/>
        <sz val="12"/>
        <color theme="1"/>
        <rFont val="Arial"/>
        <family val="2"/>
      </rPr>
      <t xml:space="preserve">7 </t>
    </r>
  </si>
  <si>
    <r>
      <t xml:space="preserve">Accounts Receivable
Balance </t>
    </r>
    <r>
      <rPr>
        <b/>
        <vertAlign val="superscript"/>
        <sz val="12"/>
        <color theme="1"/>
        <rFont val="Arial"/>
        <family val="2"/>
      </rPr>
      <t>6</t>
    </r>
  </si>
  <si>
    <r>
      <t xml:space="preserve">Established
Accounts 
Receivable </t>
    </r>
    <r>
      <rPr>
        <b/>
        <vertAlign val="superscript"/>
        <sz val="12"/>
        <color theme="1"/>
        <rFont val="Arial"/>
        <family val="2"/>
      </rPr>
      <t>5</t>
    </r>
  </si>
  <si>
    <r>
      <t xml:space="preserve">Accounts Payable
Balance </t>
    </r>
    <r>
      <rPr>
        <b/>
        <vertAlign val="superscript"/>
        <sz val="12"/>
        <color theme="1"/>
        <rFont val="Arial"/>
        <family val="2"/>
      </rPr>
      <t>4</t>
    </r>
  </si>
  <si>
    <t>State Controller's Office
Schedule B: Summary of Funded and Unfunded State-Mandated Programs
As of August 31, 2020</t>
  </si>
  <si>
    <t xml:space="preserve"> N/A </t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</si>
  <si>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School districts did not receive one-time funding offsets this year. This amount includes offsets applied from prior years.</t>
    </r>
  </si>
  <si>
    <r>
      <rPr>
        <vertAlign val="superscript"/>
        <sz val="12"/>
        <color theme="1"/>
        <rFont val="Arial"/>
        <family val="2"/>
      </rPr>
      <t>6</t>
    </r>
    <r>
      <rPr>
        <sz val="12"/>
        <color theme="1"/>
        <rFont val="Arial"/>
        <family val="2"/>
      </rPr>
      <t xml:space="preserve"> Amount due from local agencies, school districts (includes ineligible charter schools), and community college districts.</t>
    </r>
  </si>
  <si>
    <r>
      <rPr>
        <vertAlign val="superscript"/>
        <sz val="12"/>
        <color theme="1"/>
        <rFont val="Arial"/>
        <family val="2"/>
      </rPr>
      <t>8</t>
    </r>
    <r>
      <rPr>
        <sz val="12"/>
        <color theme="1"/>
        <rFont val="Arial"/>
        <family val="2"/>
      </rPr>
      <t xml:space="preserve"> State-mandated programs appropriated for payments in the Budget Act (funded) and programs without appropriations (unfunded).</t>
    </r>
  </si>
  <si>
    <t>B1-Funded</t>
  </si>
  <si>
    <t>B2-Unfunded</t>
  </si>
  <si>
    <t>Comment: School districts did not receive one-time funding offsets this year. This amount includes offsets applied from prior years.</t>
  </si>
  <si>
    <t>Comment: Community college districts did not receive one-time funding offsets this year. This amount includes offsets applied from prior years.</t>
  </si>
  <si>
    <t>Comment: Amount due to local agencies, school districts, and community college districts.</t>
  </si>
  <si>
    <t>Comment: Total accounts receivable established due to desk review and field audit claim adjustments.</t>
  </si>
  <si>
    <t>Comment: Amount due from local agencies, school districts (includes ineligible charter schools), and community college districts.</t>
  </si>
  <si>
    <r>
      <rPr>
        <vertAlign val="superscript"/>
        <sz val="12"/>
        <color theme="1"/>
        <rFont val="Arial"/>
        <family val="2"/>
      </rPr>
      <t>7</t>
    </r>
    <r>
      <rPr>
        <sz val="12"/>
        <color theme="1"/>
        <rFont val="Arial"/>
        <family val="2"/>
      </rPr>
      <t xml:space="preserve"> Net amount of deficiencies and surpluses. A/P Balance less A/R Balance equals Net Balance.</t>
    </r>
  </si>
  <si>
    <t>Comment: State-mandated programs appropriated for payments in the Budget Act (funded) and programs without appropriations (unfunded).</t>
  </si>
  <si>
    <t>Local Agencies-Annual Claim</t>
  </si>
  <si>
    <t>Comment: As of 08/31/2019, except for the Budget Act of 2020 appropriations as of 07/01/2020.</t>
  </si>
  <si>
    <t>Comment: Transferred from the 2018 budget appropriation to the 2019 budget appropriation to ensure all claims were paid for four expired and repealed mandates.</t>
  </si>
  <si>
    <t>Comment: Interest payments (see Schedule A1 for detail).</t>
  </si>
  <si>
    <t>Comment2</t>
  </si>
  <si>
    <t>Comment3</t>
  </si>
  <si>
    <r>
      <t xml:space="preserve">Appropriation Balances </t>
    </r>
    <r>
      <rPr>
        <b/>
        <vertAlign val="superscript"/>
        <sz val="12"/>
        <color theme="1"/>
        <rFont val="Arial"/>
        <family val="2"/>
      </rPr>
      <t xml:space="preserve">1 </t>
    </r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</si>
  <si>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H2, J4, and M4.)</t>
    </r>
  </si>
  <si>
    <r>
      <t xml:space="preserve">Appropriation Balances </t>
    </r>
    <r>
      <rPr>
        <b/>
        <vertAlign val="superscript"/>
        <sz val="12"/>
        <rFont val="Arial"/>
        <family val="2"/>
      </rPr>
      <t>1</t>
    </r>
  </si>
  <si>
    <t>Comment: All community college districts participate in the block grant program. Therefore, no payments are made to community colleges.</t>
  </si>
  <si>
    <r>
      <t>Footnote:</t>
    </r>
    <r>
      <rPr>
        <sz val="12"/>
        <color theme="0"/>
        <rFont val="Arial"/>
        <family val="2"/>
      </rPr>
      <t xml:space="preserve"> (For those using screen readers this footnote is identical to comment referenced in cell B39.)</t>
    </r>
  </si>
  <si>
    <r>
      <t xml:space="preserve">Grand Total Local Agencies and School Districts </t>
    </r>
    <r>
      <rPr>
        <b/>
        <vertAlign val="superscript"/>
        <sz val="12"/>
        <rFont val="Arial"/>
        <family val="2"/>
      </rPr>
      <t>5</t>
    </r>
  </si>
  <si>
    <r>
      <t xml:space="preserve">Less: Net Payments and Offsets </t>
    </r>
    <r>
      <rPr>
        <b/>
        <vertAlign val="superscript"/>
        <sz val="12"/>
        <rFont val="Arial"/>
        <family val="2"/>
      </rPr>
      <t>10</t>
    </r>
  </si>
  <si>
    <r>
      <t xml:space="preserve">Less: Net Payments and Offsets </t>
    </r>
    <r>
      <rPr>
        <b/>
        <vertAlign val="superscript"/>
        <sz val="12"/>
        <rFont val="Arial"/>
        <family val="2"/>
      </rPr>
      <t>9</t>
    </r>
  </si>
  <si>
    <t>Comment: Local Agencies do not receive one-time funding offsets.</t>
  </si>
  <si>
    <r>
      <t>Footnote:</t>
    </r>
    <r>
      <rPr>
        <sz val="12"/>
        <color theme="0"/>
        <rFont val="Arial"/>
        <family val="2"/>
      </rPr>
      <t xml:space="preserve"> (For those using screen readers this footnote is identical to comment referenced in cell G2.)</t>
    </r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</si>
  <si>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G2.)</t>
    </r>
  </si>
  <si>
    <r>
      <t xml:space="preserve">Less: Net Payments and Offsets </t>
    </r>
    <r>
      <rPr>
        <b/>
        <vertAlign val="superscript"/>
        <sz val="12"/>
        <rFont val="Arial"/>
        <family val="2"/>
      </rPr>
      <t>11</t>
    </r>
  </si>
  <si>
    <r>
      <t xml:space="preserve">Established
Accounts 
Receivable </t>
    </r>
    <r>
      <rPr>
        <b/>
        <vertAlign val="superscript"/>
        <sz val="12"/>
        <rFont val="Arial"/>
        <family val="2"/>
      </rPr>
      <t>5</t>
    </r>
  </si>
  <si>
    <r>
      <t xml:space="preserve">Net
Balance </t>
    </r>
    <r>
      <rPr>
        <b/>
        <vertAlign val="superscript"/>
        <sz val="12"/>
        <rFont val="Arial"/>
        <family val="2"/>
      </rPr>
      <t>7</t>
    </r>
    <r>
      <rPr>
        <b/>
        <sz val="12"/>
        <rFont val="Arial"/>
        <family val="2"/>
      </rPr>
      <t xml:space="preserve"> </t>
    </r>
  </si>
  <si>
    <t>Comment4</t>
  </si>
  <si>
    <t>CONTENTS</t>
  </si>
  <si>
    <t>FOR LOCAL AGENCIES, SCHOOL DISTRICTS, AND COMMUNITY COLLEGE DISTRICTS</t>
  </si>
  <si>
    <t>SCHEDULE A:</t>
  </si>
  <si>
    <t>SUMMARY OF STATE-MANDATED PROGRAM APPROPRIATIONS, RECEIPTS, AND PAYMENTS</t>
  </si>
  <si>
    <t>Page 3</t>
  </si>
  <si>
    <r>
      <t>SCHEDULE A1:</t>
    </r>
    <r>
      <rPr>
        <sz val="14"/>
        <color theme="1"/>
        <rFont val="Arial"/>
        <family val="2"/>
      </rPr>
      <t xml:space="preserve"> </t>
    </r>
  </si>
  <si>
    <t>DETAIL OF STATE-MANDATED PROGRAM PAYMENTS BY FISCAL YEAR</t>
  </si>
  <si>
    <t>Page 5</t>
  </si>
  <si>
    <t>For 2018-19 and Prior Fiscal Years</t>
  </si>
  <si>
    <t>SCHEDULE B:</t>
  </si>
  <si>
    <t>SUMMARY OF FUNDED AND UNFUNDED STATE-MANDATED PROGRAMS</t>
  </si>
  <si>
    <t>SCHEDULE B1:</t>
  </si>
  <si>
    <t>DETAIL OF FUNDED STATE-MANDATED PROGRAMS BY FISCAL YEAR</t>
  </si>
  <si>
    <t>SCHEDULE B2:</t>
  </si>
  <si>
    <t>DETAIL OF UNFUNDED STATE-MANDATED PROGRAMS</t>
  </si>
  <si>
    <t xml:space="preserve"> State of California</t>
  </si>
  <si>
    <t>State-Mandated Program Cost Report</t>
  </si>
  <si>
    <t>Image on Office of the Controller, State of California Seal</t>
  </si>
  <si>
    <t>BETTY T. YEE</t>
  </si>
  <si>
    <t>California State Controller’s Office</t>
  </si>
  <si>
    <t>(AB 3000)</t>
  </si>
  <si>
    <t>(Government Code section 17562(b)(1))</t>
  </si>
  <si>
    <t>As of August 31, 2020</t>
  </si>
  <si>
    <t>STATE-MANDATED PROGRAM COST REPORT (AB 3000)</t>
  </si>
  <si>
    <t>For the Budget Acts of 2017-18, 2018-19, 2019-20, and 2020-21</t>
  </si>
  <si>
    <t>SCHEDULE C:</t>
  </si>
  <si>
    <t>Filed with Commission on State Mandates</t>
  </si>
  <si>
    <t>OUTSTANDING INCORRECT REDUCTION CLAIMS</t>
  </si>
  <si>
    <t>Schedule C: Outstanding Incorrect Reduction Claims
Filed with the Commission on State Mandates
As of August 31, 2020</t>
  </si>
  <si>
    <t>Number</t>
  </si>
  <si>
    <t>Revised
(R)</t>
  </si>
  <si>
    <t>File
Number</t>
  </si>
  <si>
    <t>Filing
Date</t>
  </si>
  <si>
    <t>Date
 Comments Filed</t>
  </si>
  <si>
    <t>Record Closed</t>
  </si>
  <si>
    <t>Claimant</t>
  </si>
  <si>
    <t>Amount
of Claim</t>
  </si>
  <si>
    <t>Name</t>
  </si>
  <si>
    <t>Type</t>
  </si>
  <si>
    <t>Tentative 
Hearing Date</t>
  </si>
  <si>
    <t>17-0130-I-01</t>
  </si>
  <si>
    <t>12/22/17 (SCO)</t>
  </si>
  <si>
    <t>Yes</t>
  </si>
  <si>
    <t>City of Monrovia</t>
  </si>
  <si>
    <t>2010-2011</t>
  </si>
  <si>
    <t>Local</t>
  </si>
  <si>
    <t>17-0240-I-01</t>
  </si>
  <si>
    <t>1/22/18 (SCO)</t>
  </si>
  <si>
    <t>City of San Marcos</t>
  </si>
  <si>
    <t>2001-2002, 2002-2003, 2003-2004, 2004-2005, 2005-2006, 2006-2007, 2007-2008, 2008-2009, 2009-2010, 2010-2011</t>
  </si>
  <si>
    <t>Crime Statistics Reports for the Department of Justice (DOJ)</t>
  </si>
  <si>
    <t>18-0304-I-01</t>
  </si>
  <si>
    <t>10/21/19 (SCO)</t>
  </si>
  <si>
    <t>City of Bellflower</t>
  </si>
  <si>
    <t>2002-2003, 2003-2004, 2004-2005, 2005-2006, 2006-2007, 2007-2008, 2008-2009, 2009-2010</t>
  </si>
  <si>
    <t>19-9825-I-03</t>
  </si>
  <si>
    <t>7/10/20 (SCO)
8/10/20 (Claimant)</t>
  </si>
  <si>
    <t>Fairfield-Suisun Unified School District</t>
  </si>
  <si>
    <t>2005-2006, 2006-2007, 2007-2008, 2010-2011, 2011-2012, 2012-2013</t>
  </si>
  <si>
    <t>School</t>
  </si>
  <si>
    <t>19-0304-I-02</t>
  </si>
  <si>
    <t>(None)</t>
  </si>
  <si>
    <t>No</t>
  </si>
  <si>
    <t>City of Norwalk</t>
  </si>
  <si>
    <t>2002-2003, 2003-2004, 2004-2005, 2005-2006, 2006-2007, 2007-2008, 2008-2009, 2009-2010, 2010-2011, 2011-2012, 2012-2013</t>
  </si>
  <si>
    <t>19-0304-I-03</t>
  </si>
  <si>
    <t>City of Arcadia</t>
  </si>
  <si>
    <t>2002-2003, 2003-2004, 2004-2005, 2005-2006, 2006-2007, 2007-2008, 2008-2009</t>
  </si>
  <si>
    <t>19-0304-I-04</t>
  </si>
  <si>
    <t>City of Downey</t>
  </si>
  <si>
    <t>2002-2003, 2003-2004, 2004-2005, 2005-2006</t>
  </si>
  <si>
    <t>19-0304-I-05</t>
  </si>
  <si>
    <t>City of La Puente</t>
  </si>
  <si>
    <t>2002-2003, 2003-2004, 2004-2005, 2005-2006, 2006-2007, 2007-2008, 2008-2009, 2009-2010, 2010-2011, 2011-2012</t>
  </si>
  <si>
    <t>Total Outstanding Incorrect Reduction Claims Filed with the Commission on State Mandates</t>
  </si>
  <si>
    <t>Page 9</t>
  </si>
  <si>
    <t>Page 11</t>
  </si>
  <si>
    <r>
      <t xml:space="preserve">Total Schedule B1: Funded Mandates </t>
    </r>
    <r>
      <rPr>
        <b/>
        <vertAlign val="superscript"/>
        <sz val="12"/>
        <rFont val="Arial"/>
        <family val="2"/>
      </rPr>
      <t>8</t>
    </r>
  </si>
  <si>
    <r>
      <t xml:space="preserve">Total Schedule B2: Unfunded Mandates </t>
    </r>
    <r>
      <rPr>
        <b/>
        <vertAlign val="superscript"/>
        <sz val="12"/>
        <rFont val="Arial"/>
        <family val="2"/>
      </rPr>
      <t>8</t>
    </r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</si>
  <si>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B17, B34, I2, K2, and N2.)</t>
    </r>
  </si>
  <si>
    <t>Page 50</t>
  </si>
  <si>
    <t>Page 57</t>
  </si>
  <si>
    <r>
      <t xml:space="preserve">Accounts Payable
Balance </t>
    </r>
    <r>
      <rPr>
        <b/>
        <vertAlign val="superscript"/>
        <sz val="12"/>
        <rFont val="Arial"/>
        <family val="2"/>
      </rPr>
      <t>4</t>
    </r>
  </si>
  <si>
    <r>
      <t xml:space="preserve">Accounts Receivable
Balance </t>
    </r>
    <r>
      <rPr>
        <b/>
        <vertAlign val="superscript"/>
        <sz val="12"/>
        <rFont val="Arial"/>
        <family val="2"/>
      </rPr>
      <t>6</t>
    </r>
  </si>
  <si>
    <t>Comment: Per Item 0001-6870-2019-488, Schedule (6) of the Budget Act of 2019, $13,000 was reappropriated from Item 0001-6870-2017-295 of the Budget Act of 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</si>
</sst>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&quot;$&quot;#,##0"/>
    <numFmt numFmtId="167" formatCode="m/d/yy;@"/>
  </numFmts>
  <fonts count="32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vertAlign val="superscript"/>
      <sz val="12"/>
      <name val="Arial"/>
      <family val="2"/>
    </font>
    <font>
      <sz val="9"/>
      <color indexed="81"/>
      <name val="Tahoma"/>
      <family val="2"/>
    </font>
    <font>
      <b/>
      <sz val="12"/>
      <color theme="1"/>
      <name val="Arial"/>
      <family val="2"/>
    </font>
    <font>
      <b/>
      <sz val="12"/>
      <color theme="1"/>
      <name val="Arial"/>
    </font>
    <font>
      <b/>
      <sz val="12"/>
      <color theme="0"/>
      <name val="Arial"/>
    </font>
    <font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sz val="24"/>
      <name val="Arial"/>
      <family val="2"/>
    </font>
    <font>
      <b/>
      <sz val="36"/>
      <name val="Arial"/>
      <family val="2"/>
    </font>
    <font>
      <b/>
      <sz val="36"/>
      <name val="Franklin Gothic Medium Cond"/>
      <family val="2"/>
    </font>
    <font>
      <b/>
      <sz val="32"/>
      <name val="Arial"/>
      <family val="2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indexed="64"/>
      </left>
      <right/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/>
      <right style="hair">
        <color theme="0" tint="-0.499984740745262"/>
      </right>
      <top/>
      <bottom/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/>
      <top/>
      <bottom/>
      <diagonal/>
    </border>
    <border>
      <left style="thin">
        <color indexed="64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thin">
        <color indexed="64"/>
      </left>
      <right style="hair">
        <color theme="0" tint="-0.499984740745262"/>
      </right>
      <top style="thin">
        <color auto="1"/>
      </top>
      <bottom style="thin">
        <color auto="1"/>
      </bottom>
      <diagonal/>
    </border>
    <border>
      <left style="hair">
        <color theme="0" tint="-0.499984740745262"/>
      </left>
      <right/>
      <top style="thin">
        <color auto="1"/>
      </top>
      <bottom style="thin">
        <color auto="1"/>
      </bottom>
      <diagonal/>
    </border>
    <border>
      <left style="hair">
        <color theme="0" tint="-0.499984740745262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theme="0" tint="-0.499984740745262"/>
      </left>
      <right style="thin">
        <color indexed="64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/>
      <diagonal/>
    </border>
    <border>
      <left style="hair">
        <color theme="0" tint="-0.499984740745262"/>
      </left>
      <right style="thin">
        <color indexed="64"/>
      </right>
      <top/>
      <bottom/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</cellStyleXfs>
  <cellXfs count="465">
    <xf numFmtId="0" fontId="0" fillId="0" borderId="0" xfId="0"/>
    <xf numFmtId="0" fontId="4" fillId="0" borderId="0" xfId="0" applyFont="1"/>
    <xf numFmtId="0" fontId="6" fillId="0" borderId="0" xfId="0" applyFont="1" applyAlignment="1">
      <alignment horizontal="center" wrapText="1"/>
    </xf>
    <xf numFmtId="0" fontId="8" fillId="0" borderId="0" xfId="0" applyFont="1"/>
    <xf numFmtId="0" fontId="8" fillId="0" borderId="5" xfId="0" applyFont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4" xfId="0" applyFont="1" applyBorder="1" applyAlignment="1">
      <alignment horizontal="center"/>
    </xf>
    <xf numFmtId="14" fontId="8" fillId="0" borderId="4" xfId="0" applyNumberFormat="1" applyFont="1" applyBorder="1" applyAlignment="1">
      <alignment horizontal="center"/>
    </xf>
    <xf numFmtId="164" fontId="8" fillId="0" borderId="4" xfId="2" applyNumberFormat="1" applyFont="1" applyBorder="1" applyAlignment="1">
      <alignment horizontal="left"/>
    </xf>
    <xf numFmtId="164" fontId="8" fillId="0" borderId="6" xfId="2" applyNumberFormat="1" applyFont="1" applyBorder="1" applyAlignment="1">
      <alignment horizontal="left"/>
    </xf>
    <xf numFmtId="164" fontId="8" fillId="0" borderId="8" xfId="2" applyNumberFormat="1" applyFont="1" applyFill="1" applyBorder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6" xfId="0" applyFont="1" applyFill="1" applyBorder="1" applyAlignment="1">
      <alignment horizontal="center"/>
    </xf>
    <xf numFmtId="14" fontId="8" fillId="0" borderId="6" xfId="0" applyNumberFormat="1" applyFont="1" applyFill="1" applyBorder="1" applyAlignment="1">
      <alignment horizontal="center"/>
    </xf>
    <xf numFmtId="42" fontId="8" fillId="0" borderId="6" xfId="0" applyNumberFormat="1" applyFont="1" applyFill="1" applyBorder="1" applyAlignment="1">
      <alignment horizontal="left"/>
    </xf>
    <xf numFmtId="42" fontId="8" fillId="0" borderId="21" xfId="0" applyNumberFormat="1" applyFont="1" applyFill="1" applyBorder="1" applyAlignment="1">
      <alignment horizontal="left"/>
    </xf>
    <xf numFmtId="164" fontId="8" fillId="0" borderId="6" xfId="2" applyNumberFormat="1" applyFont="1" applyFill="1" applyBorder="1" applyAlignment="1">
      <alignment horizontal="left"/>
    </xf>
    <xf numFmtId="42" fontId="8" fillId="0" borderId="0" xfId="0" applyNumberFormat="1" applyFont="1" applyFill="1" applyAlignment="1"/>
    <xf numFmtId="164" fontId="8" fillId="0" borderId="0" xfId="0" applyNumberFormat="1" applyFont="1"/>
    <xf numFmtId="0" fontId="8" fillId="0" borderId="0" xfId="0" applyFont="1" applyFill="1"/>
    <xf numFmtId="0" fontId="6" fillId="0" borderId="0" xfId="0" applyFont="1"/>
    <xf numFmtId="0" fontId="8" fillId="0" borderId="5" xfId="0" applyFont="1" applyFill="1" applyBorder="1" applyProtection="1">
      <protection locked="0"/>
    </xf>
    <xf numFmtId="42" fontId="8" fillId="0" borderId="6" xfId="1" applyNumberFormat="1" applyFont="1" applyFill="1" applyBorder="1" applyAlignment="1">
      <alignment horizontal="left"/>
    </xf>
    <xf numFmtId="14" fontId="8" fillId="0" borderId="6" xfId="0" applyNumberFormat="1" applyFont="1" applyBorder="1" applyAlignment="1">
      <alignment horizontal="center"/>
    </xf>
    <xf numFmtId="42" fontId="8" fillId="0" borderId="6" xfId="1" applyNumberFormat="1" applyFont="1" applyBorder="1" applyAlignment="1">
      <alignment horizontal="left"/>
    </xf>
    <xf numFmtId="42" fontId="8" fillId="0" borderId="6" xfId="0" applyNumberFormat="1" applyFont="1" applyBorder="1" applyAlignment="1">
      <alignment horizontal="left"/>
    </xf>
    <xf numFmtId="42" fontId="8" fillId="0" borderId="6" xfId="0" applyNumberFormat="1" applyFont="1" applyFill="1" applyBorder="1" applyAlignment="1" applyProtection="1">
      <alignment horizontal="left"/>
      <protection locked="0"/>
    </xf>
    <xf numFmtId="0" fontId="8" fillId="0" borderId="9" xfId="0" applyFont="1" applyFill="1" applyBorder="1" applyProtection="1">
      <protection locked="0"/>
    </xf>
    <xf numFmtId="42" fontId="8" fillId="0" borderId="10" xfId="0" applyNumberFormat="1" applyFont="1" applyFill="1" applyBorder="1" applyAlignment="1">
      <alignment horizontal="left"/>
    </xf>
    <xf numFmtId="14" fontId="8" fillId="0" borderId="10" xfId="0" applyNumberFormat="1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8" fillId="0" borderId="4" xfId="0" applyFont="1" applyFill="1" applyBorder="1" applyAlignment="1">
      <alignment horizontal="center" vertical="center" wrapText="1"/>
    </xf>
    <xf numFmtId="42" fontId="8" fillId="0" borderId="13" xfId="0" applyNumberFormat="1" applyFont="1" applyFill="1" applyBorder="1" applyAlignment="1">
      <alignment horizontal="left"/>
    </xf>
    <xf numFmtId="42" fontId="8" fillId="0" borderId="4" xfId="0" applyNumberFormat="1" applyFont="1" applyFill="1" applyBorder="1" applyAlignment="1">
      <alignment horizontal="left" vertical="center"/>
    </xf>
    <xf numFmtId="42" fontId="8" fillId="0" borderId="4" xfId="0" applyNumberFormat="1" applyFont="1" applyFill="1" applyBorder="1" applyAlignment="1" applyProtection="1">
      <alignment horizontal="left"/>
      <protection locked="0"/>
    </xf>
    <xf numFmtId="14" fontId="8" fillId="0" borderId="4" xfId="0" applyNumberFormat="1" applyFont="1" applyFill="1" applyBorder="1" applyAlignment="1">
      <alignment horizontal="center"/>
    </xf>
    <xf numFmtId="42" fontId="8" fillId="0" borderId="4" xfId="0" applyNumberFormat="1" applyFont="1" applyBorder="1" applyAlignment="1">
      <alignment horizontal="left" vertical="center"/>
    </xf>
    <xf numFmtId="0" fontId="8" fillId="0" borderId="14" xfId="0" applyFont="1" applyBorder="1" applyAlignment="1">
      <alignment horizontal="left"/>
    </xf>
    <xf numFmtId="42" fontId="8" fillId="0" borderId="13" xfId="0" applyNumberFormat="1" applyFont="1" applyFill="1" applyBorder="1" applyAlignment="1" applyProtection="1">
      <alignment horizontal="left"/>
      <protection locked="0"/>
    </xf>
    <xf numFmtId="14" fontId="8" fillId="0" borderId="13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/>
    <xf numFmtId="166" fontId="8" fillId="0" borderId="6" xfId="2" applyNumberFormat="1" applyFont="1" applyBorder="1" applyAlignment="1">
      <alignment horizontal="right"/>
    </xf>
    <xf numFmtId="0" fontId="8" fillId="0" borderId="0" xfId="0" applyFont="1" applyBorder="1" applyAlignment="1" applyProtection="1">
      <alignment horizontal="left"/>
      <protection locked="0"/>
    </xf>
    <xf numFmtId="0" fontId="6" fillId="0" borderId="19" xfId="0" applyFont="1" applyBorder="1" applyAlignment="1" applyProtection="1">
      <alignment horizontal="center" wrapText="1"/>
      <protection locked="0"/>
    </xf>
    <xf numFmtId="0" fontId="6" fillId="0" borderId="17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164" fontId="6" fillId="0" borderId="18" xfId="0" applyNumberFormat="1" applyFont="1" applyBorder="1" applyAlignment="1" applyProtection="1">
      <alignment horizontal="center" wrapText="1"/>
      <protection locked="0"/>
    </xf>
    <xf numFmtId="0" fontId="6" fillId="0" borderId="18" xfId="0" applyFont="1" applyFill="1" applyBorder="1" applyAlignment="1" applyProtection="1">
      <alignment horizontal="center" wrapText="1"/>
      <protection locked="0"/>
    </xf>
    <xf numFmtId="164" fontId="6" fillId="0" borderId="18" xfId="0" applyNumberFormat="1" applyFont="1" applyBorder="1" applyAlignment="1">
      <alignment horizontal="center" wrapText="1"/>
    </xf>
    <xf numFmtId="49" fontId="6" fillId="0" borderId="18" xfId="0" applyNumberFormat="1" applyFont="1" applyFill="1" applyBorder="1" applyAlignment="1">
      <alignment horizontal="center" wrapText="1"/>
    </xf>
    <xf numFmtId="164" fontId="6" fillId="0" borderId="19" xfId="0" applyNumberFormat="1" applyFont="1" applyBorder="1" applyAlignment="1" applyProtection="1">
      <alignment horizontal="center" wrapText="1"/>
      <protection locked="0"/>
    </xf>
    <xf numFmtId="42" fontId="8" fillId="0" borderId="25" xfId="2" applyNumberFormat="1" applyFont="1" applyFill="1" applyBorder="1" applyAlignment="1">
      <alignment horizontal="left"/>
    </xf>
    <xf numFmtId="42" fontId="8" fillId="0" borderId="25" xfId="0" applyNumberFormat="1" applyFont="1" applyFill="1" applyBorder="1" applyAlignment="1">
      <alignment horizontal="left"/>
    </xf>
    <xf numFmtId="42" fontId="8" fillId="0" borderId="24" xfId="2" applyNumberFormat="1" applyFont="1" applyFill="1" applyBorder="1" applyAlignment="1">
      <alignment horizontal="left"/>
    </xf>
    <xf numFmtId="42" fontId="8" fillId="0" borderId="27" xfId="0" applyNumberFormat="1" applyFont="1" applyFill="1" applyBorder="1" applyAlignment="1">
      <alignment horizontal="left"/>
    </xf>
    <xf numFmtId="166" fontId="8" fillId="0" borderId="25" xfId="2" applyNumberFormat="1" applyFont="1" applyBorder="1" applyAlignment="1">
      <alignment horizontal="right"/>
    </xf>
    <xf numFmtId="0" fontId="10" fillId="0" borderId="0" xfId="0" applyFont="1"/>
    <xf numFmtId="0" fontId="11" fillId="0" borderId="0" xfId="0" applyFont="1"/>
    <xf numFmtId="42" fontId="12" fillId="0" borderId="28" xfId="0" applyNumberFormat="1" applyFont="1" applyFill="1" applyBorder="1" applyAlignment="1">
      <alignment horizontal="left"/>
    </xf>
    <xf numFmtId="42" fontId="6" fillId="0" borderId="0" xfId="0" applyNumberFormat="1" applyFont="1"/>
    <xf numFmtId="0" fontId="7" fillId="0" borderId="29" xfId="0" applyNumberFormat="1" applyFont="1" applyFill="1" applyBorder="1" applyAlignment="1">
      <alignment horizontal="center"/>
    </xf>
    <xf numFmtId="166" fontId="6" fillId="0" borderId="0" xfId="0" applyNumberFormat="1" applyFont="1"/>
    <xf numFmtId="0" fontId="11" fillId="0" borderId="20" xfId="0" applyFont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1" fillId="0" borderId="26" xfId="0" applyFont="1" applyFill="1" applyBorder="1" applyAlignment="1">
      <alignment horizontal="center"/>
    </xf>
    <xf numFmtId="166" fontId="6" fillId="0" borderId="29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left"/>
    </xf>
    <xf numFmtId="0" fontId="8" fillId="0" borderId="30" xfId="0" applyFont="1" applyFill="1" applyBorder="1" applyAlignment="1">
      <alignment horizontal="left"/>
    </xf>
    <xf numFmtId="0" fontId="8" fillId="0" borderId="25" xfId="0" applyFont="1" applyFill="1" applyBorder="1" applyAlignment="1">
      <alignment horizontal="left"/>
    </xf>
    <xf numFmtId="14" fontId="8" fillId="0" borderId="25" xfId="0" applyNumberFormat="1" applyFont="1" applyFill="1" applyBorder="1" applyAlignment="1">
      <alignment horizontal="center"/>
    </xf>
    <xf numFmtId="0" fontId="10" fillId="0" borderId="25" xfId="0" applyFont="1" applyBorder="1" applyAlignment="1">
      <alignment horizontal="left"/>
    </xf>
    <xf numFmtId="0" fontId="6" fillId="0" borderId="2" xfId="0" applyFont="1" applyBorder="1" applyAlignment="1" applyProtection="1">
      <alignment horizontal="left"/>
      <protection locked="0"/>
    </xf>
    <xf numFmtId="0" fontId="11" fillId="0" borderId="31" xfId="0" applyFont="1" applyBorder="1" applyAlignment="1">
      <alignment horizontal="left"/>
    </xf>
    <xf numFmtId="0" fontId="11" fillId="0" borderId="2" xfId="0" applyFont="1" applyBorder="1"/>
    <xf numFmtId="0" fontId="11" fillId="0" borderId="15" xfId="0" applyFont="1" applyFill="1" applyBorder="1" applyAlignment="1">
      <alignment horizontal="center"/>
    </xf>
    <xf numFmtId="42" fontId="6" fillId="0" borderId="15" xfId="0" applyNumberFormat="1" applyFont="1" applyFill="1" applyBorder="1" applyAlignment="1">
      <alignment horizontal="left"/>
    </xf>
    <xf numFmtId="166" fontId="6" fillId="0" borderId="2" xfId="0" applyNumberFormat="1" applyFont="1" applyBorder="1"/>
    <xf numFmtId="42" fontId="6" fillId="0" borderId="2" xfId="0" applyNumberFormat="1" applyFont="1" applyBorder="1"/>
    <xf numFmtId="164" fontId="6" fillId="0" borderId="33" xfId="0" applyNumberFormat="1" applyFont="1" applyFill="1" applyBorder="1" applyAlignment="1">
      <alignment horizontal="left"/>
    </xf>
    <xf numFmtId="0" fontId="6" fillId="0" borderId="2" xfId="0" applyFont="1" applyBorder="1"/>
    <xf numFmtId="164" fontId="8" fillId="0" borderId="7" xfId="2" applyNumberFormat="1" applyFont="1" applyFill="1" applyBorder="1" applyAlignment="1">
      <alignment horizontal="left"/>
    </xf>
    <xf numFmtId="0" fontId="6" fillId="0" borderId="34" xfId="0" applyFont="1" applyBorder="1" applyAlignment="1" applyProtection="1">
      <alignment horizontal="center" wrapText="1"/>
      <protection locked="0"/>
    </xf>
    <xf numFmtId="5" fontId="8" fillId="0" borderId="7" xfId="0" applyNumberFormat="1" applyFont="1" applyFill="1" applyBorder="1" applyAlignment="1">
      <alignment horizontal="right"/>
    </xf>
    <xf numFmtId="5" fontId="8" fillId="0" borderId="6" xfId="0" applyNumberFormat="1" applyFont="1" applyFill="1" applyBorder="1" applyAlignment="1">
      <alignment horizontal="right"/>
    </xf>
    <xf numFmtId="0" fontId="8" fillId="0" borderId="30" xfId="0" applyFont="1" applyFill="1" applyBorder="1" applyProtection="1">
      <protection locked="0"/>
    </xf>
    <xf numFmtId="14" fontId="8" fillId="0" borderId="25" xfId="0" applyNumberFormat="1" applyFont="1" applyFill="1" applyBorder="1" applyAlignment="1" applyProtection="1">
      <alignment horizontal="center"/>
      <protection locked="0"/>
    </xf>
    <xf numFmtId="42" fontId="8" fillId="0" borderId="25" xfId="0" applyNumberFormat="1" applyFont="1" applyFill="1" applyBorder="1" applyAlignment="1" applyProtection="1">
      <alignment horizontal="left"/>
      <protection locked="0"/>
    </xf>
    <xf numFmtId="5" fontId="8" fillId="0" borderId="25" xfId="0" applyNumberFormat="1" applyFont="1" applyFill="1" applyBorder="1" applyAlignment="1">
      <alignment horizontal="right"/>
    </xf>
    <xf numFmtId="5" fontId="8" fillId="0" borderId="25" xfId="0" applyNumberFormat="1" applyFont="1" applyFill="1" applyBorder="1" applyAlignment="1" applyProtection="1">
      <alignment horizontal="right"/>
      <protection locked="0"/>
    </xf>
    <xf numFmtId="42" fontId="8" fillId="0" borderId="27" xfId="0" applyNumberFormat="1" applyFont="1" applyFill="1" applyBorder="1" applyAlignment="1" applyProtection="1">
      <alignment horizontal="left"/>
      <protection locked="0"/>
    </xf>
    <xf numFmtId="5" fontId="6" fillId="0" borderId="15" xfId="0" applyNumberFormat="1" applyFont="1" applyFill="1" applyBorder="1" applyAlignment="1">
      <alignment horizontal="right"/>
    </xf>
    <xf numFmtId="164" fontId="6" fillId="0" borderId="32" xfId="0" applyNumberFormat="1" applyFont="1" applyFill="1" applyBorder="1" applyAlignment="1">
      <alignment horizontal="left"/>
    </xf>
    <xf numFmtId="0" fontId="8" fillId="0" borderId="4" xfId="0" applyFont="1" applyBorder="1" applyAlignment="1">
      <alignment horizontal="center" wrapText="1"/>
    </xf>
    <xf numFmtId="0" fontId="8" fillId="0" borderId="6" xfId="0" applyFont="1" applyFill="1" applyBorder="1" applyAlignment="1">
      <alignment horizontal="center" wrapText="1"/>
    </xf>
    <xf numFmtId="0" fontId="8" fillId="0" borderId="25" xfId="0" applyFont="1" applyFill="1" applyBorder="1" applyAlignment="1">
      <alignment horizontal="center" wrapText="1"/>
    </xf>
    <xf numFmtId="42" fontId="10" fillId="0" borderId="6" xfId="0" applyNumberFormat="1" applyFont="1" applyFill="1" applyBorder="1" applyAlignment="1">
      <alignment horizontal="left"/>
    </xf>
    <xf numFmtId="0" fontId="10" fillId="0" borderId="6" xfId="0" applyFont="1" applyBorder="1" applyAlignment="1">
      <alignment horizontal="center"/>
    </xf>
    <xf numFmtId="0" fontId="10" fillId="0" borderId="25" xfId="0" applyFont="1" applyFill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5" fontId="8" fillId="0" borderId="11" xfId="0" applyNumberFormat="1" applyFont="1" applyFill="1" applyBorder="1" applyAlignment="1">
      <alignment horizontal="right"/>
    </xf>
    <xf numFmtId="5" fontId="8" fillId="0" borderId="7" xfId="0" applyNumberFormat="1" applyFont="1" applyFill="1" applyBorder="1" applyAlignment="1" applyProtection="1">
      <alignment horizontal="right"/>
      <protection locked="0"/>
    </xf>
    <xf numFmtId="0" fontId="10" fillId="0" borderId="25" xfId="0" applyFont="1" applyBorder="1" applyAlignment="1">
      <alignment horizontal="center"/>
    </xf>
    <xf numFmtId="5" fontId="8" fillId="0" borderId="27" xfId="0" applyNumberFormat="1" applyFont="1" applyFill="1" applyBorder="1" applyAlignment="1" applyProtection="1">
      <alignment horizontal="right"/>
      <protection locked="0"/>
    </xf>
    <xf numFmtId="0" fontId="11" fillId="0" borderId="15" xfId="0" applyFont="1" applyBorder="1" applyAlignment="1">
      <alignment horizontal="center"/>
    </xf>
    <xf numFmtId="5" fontId="6" fillId="0" borderId="32" xfId="0" applyNumberFormat="1" applyFont="1" applyFill="1" applyBorder="1" applyAlignment="1" applyProtection="1">
      <alignment horizontal="right"/>
      <protection locked="0"/>
    </xf>
    <xf numFmtId="5" fontId="6" fillId="0" borderId="32" xfId="0" applyNumberFormat="1" applyFont="1" applyFill="1" applyBorder="1" applyAlignment="1">
      <alignment horizontal="right"/>
    </xf>
    <xf numFmtId="42" fontId="10" fillId="0" borderId="11" xfId="0" applyNumberFormat="1" applyFont="1" applyFill="1" applyBorder="1" applyAlignment="1">
      <alignment horizontal="left"/>
    </xf>
    <xf numFmtId="42" fontId="10" fillId="0" borderId="27" xfId="0" applyNumberFormat="1" applyFont="1" applyFill="1" applyBorder="1" applyAlignment="1" applyProtection="1">
      <alignment horizontal="left"/>
      <protection locked="0"/>
    </xf>
    <xf numFmtId="42" fontId="10" fillId="0" borderId="10" xfId="0" applyNumberFormat="1" applyFont="1" applyFill="1" applyBorder="1" applyAlignment="1">
      <alignment horizontal="left"/>
    </xf>
    <xf numFmtId="42" fontId="10" fillId="0" borderId="25" xfId="0" applyNumberFormat="1" applyFont="1" applyFill="1" applyBorder="1" applyAlignment="1" applyProtection="1">
      <alignment horizontal="left"/>
      <protection locked="0"/>
    </xf>
    <xf numFmtId="0" fontId="8" fillId="0" borderId="30" xfId="0" applyFont="1" applyBorder="1" applyAlignment="1">
      <alignment horizontal="left"/>
    </xf>
    <xf numFmtId="42" fontId="8" fillId="0" borderId="23" xfId="0" applyNumberFormat="1" applyFont="1" applyBorder="1" applyAlignment="1">
      <alignment horizontal="left" vertical="center"/>
    </xf>
    <xf numFmtId="42" fontId="6" fillId="0" borderId="2" xfId="0" applyNumberFormat="1" applyFont="1" applyFill="1" applyBorder="1" applyAlignment="1">
      <alignment horizontal="left" vertical="center"/>
    </xf>
    <xf numFmtId="42" fontId="10" fillId="0" borderId="4" xfId="0" applyNumberFormat="1" applyFont="1" applyFill="1" applyBorder="1" applyAlignment="1" applyProtection="1">
      <alignment horizontal="left"/>
      <protection locked="0"/>
    </xf>
    <xf numFmtId="42" fontId="10" fillId="0" borderId="6" xfId="0" applyNumberFormat="1" applyFont="1" applyFill="1" applyBorder="1" applyAlignment="1" applyProtection="1">
      <alignment horizontal="left"/>
      <protection locked="0"/>
    </xf>
    <xf numFmtId="42" fontId="10" fillId="0" borderId="4" xfId="0" applyNumberFormat="1" applyFont="1" applyFill="1" applyBorder="1" applyAlignment="1">
      <alignment horizontal="left" vertical="center"/>
    </xf>
    <xf numFmtId="42" fontId="10" fillId="0" borderId="4" xfId="0" applyNumberFormat="1" applyFont="1" applyBorder="1" applyAlignment="1">
      <alignment horizontal="left" vertical="center"/>
    </xf>
    <xf numFmtId="42" fontId="10" fillId="0" borderId="23" xfId="0" applyNumberFormat="1" applyFont="1" applyBorder="1" applyAlignment="1">
      <alignment horizontal="left" vertical="center"/>
    </xf>
    <xf numFmtId="5" fontId="8" fillId="0" borderId="27" xfId="2" applyNumberFormat="1" applyFont="1" applyFill="1" applyBorder="1" applyAlignment="1">
      <alignment horizontal="right"/>
    </xf>
    <xf numFmtId="5" fontId="8" fillId="0" borderId="4" xfId="0" applyNumberFormat="1" applyFont="1" applyFill="1" applyBorder="1" applyAlignment="1" applyProtection="1">
      <alignment horizontal="right"/>
      <protection locked="0"/>
    </xf>
    <xf numFmtId="5" fontId="8" fillId="0" borderId="6" xfId="0" applyNumberFormat="1" applyFont="1" applyFill="1" applyBorder="1" applyAlignment="1" applyProtection="1">
      <alignment horizontal="right"/>
      <protection locked="0"/>
    </xf>
    <xf numFmtId="166" fontId="8" fillId="0" borderId="4" xfId="0" applyNumberFormat="1" applyFont="1" applyFill="1" applyBorder="1" applyAlignment="1" applyProtection="1">
      <alignment horizontal="right"/>
      <protection locked="0"/>
    </xf>
    <xf numFmtId="166" fontId="8" fillId="0" borderId="6" xfId="0" applyNumberFormat="1" applyFont="1" applyFill="1" applyBorder="1" applyAlignment="1" applyProtection="1">
      <alignment horizontal="right"/>
      <protection locked="0"/>
    </xf>
    <xf numFmtId="166" fontId="8" fillId="0" borderId="25" xfId="0" applyNumberFormat="1" applyFont="1" applyFill="1" applyBorder="1" applyAlignment="1" applyProtection="1">
      <alignment horizontal="right"/>
      <protection locked="0"/>
    </xf>
    <xf numFmtId="166" fontId="8" fillId="0" borderId="4" xfId="0" applyNumberFormat="1" applyFont="1" applyFill="1" applyBorder="1" applyAlignment="1">
      <alignment horizontal="right" vertical="center"/>
    </xf>
    <xf numFmtId="166" fontId="8" fillId="0" borderId="23" xfId="0" applyNumberFormat="1" applyFont="1" applyFill="1" applyBorder="1" applyAlignment="1">
      <alignment horizontal="right" vertical="center"/>
    </xf>
    <xf numFmtId="166" fontId="6" fillId="0" borderId="2" xfId="0" applyNumberFormat="1" applyFont="1" applyFill="1" applyBorder="1" applyAlignment="1">
      <alignment horizontal="right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2" fontId="8" fillId="0" borderId="13" xfId="0" applyNumberFormat="1" applyFont="1" applyFill="1" applyBorder="1" applyAlignment="1">
      <alignment horizontal="left" vertical="center"/>
    </xf>
    <xf numFmtId="42" fontId="8" fillId="0" borderId="0" xfId="0" applyNumberFormat="1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left"/>
      <protection locked="0"/>
    </xf>
    <xf numFmtId="0" fontId="11" fillId="0" borderId="13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42" fontId="10" fillId="0" borderId="13" xfId="0" applyNumberFormat="1" applyFont="1" applyFill="1" applyBorder="1" applyAlignment="1" applyProtection="1">
      <alignment horizontal="left"/>
      <protection locked="0"/>
    </xf>
    <xf numFmtId="5" fontId="8" fillId="0" borderId="13" xfId="0" applyNumberFormat="1" applyFont="1" applyFill="1" applyBorder="1" applyAlignment="1" applyProtection="1">
      <alignment horizontal="right"/>
      <protection locked="0"/>
    </xf>
    <xf numFmtId="166" fontId="8" fillId="0" borderId="13" xfId="0" applyNumberFormat="1" applyFont="1" applyFill="1" applyBorder="1" applyAlignment="1" applyProtection="1">
      <alignment horizontal="right"/>
      <protection locked="0"/>
    </xf>
    <xf numFmtId="42" fontId="6" fillId="0" borderId="2" xfId="0" applyNumberFormat="1" applyFont="1" applyFill="1" applyBorder="1" applyAlignment="1" applyProtection="1">
      <alignment horizontal="left"/>
      <protection locked="0"/>
    </xf>
    <xf numFmtId="0" fontId="10" fillId="0" borderId="36" xfId="0" applyFont="1" applyBorder="1" applyAlignment="1">
      <alignment horizontal="left"/>
    </xf>
    <xf numFmtId="42" fontId="8" fillId="0" borderId="0" xfId="0" applyNumberFormat="1" applyFont="1" applyBorder="1"/>
    <xf numFmtId="5" fontId="8" fillId="0" borderId="28" xfId="0" applyNumberFormat="1" applyFont="1" applyFill="1" applyBorder="1" applyAlignment="1">
      <alignment horizontal="right"/>
    </xf>
    <xf numFmtId="0" fontId="10" fillId="0" borderId="0" xfId="0" applyFont="1" applyBorder="1"/>
    <xf numFmtId="42" fontId="8" fillId="0" borderId="28" xfId="0" applyNumberFormat="1" applyFont="1" applyFill="1" applyBorder="1" applyAlignment="1">
      <alignment horizontal="left"/>
    </xf>
    <xf numFmtId="42" fontId="8" fillId="0" borderId="29" xfId="0" applyNumberFormat="1" applyFont="1" applyFill="1" applyBorder="1" applyAlignment="1">
      <alignment horizontal="left"/>
    </xf>
    <xf numFmtId="42" fontId="8" fillId="0" borderId="23" xfId="2" applyNumberFormat="1" applyFont="1" applyBorder="1" applyAlignment="1">
      <alignment horizontal="left"/>
    </xf>
    <xf numFmtId="42" fontId="8" fillId="0" borderId="0" xfId="0" applyNumberFormat="1" applyFont="1"/>
    <xf numFmtId="42" fontId="8" fillId="0" borderId="25" xfId="2" applyNumberFormat="1" applyFont="1" applyBorder="1" applyAlignment="1">
      <alignment horizontal="right"/>
    </xf>
    <xf numFmtId="42" fontId="8" fillId="0" borderId="35" xfId="2" applyNumberFormat="1" applyFont="1" applyFill="1" applyBorder="1" applyAlignment="1">
      <alignment horizontal="left"/>
    </xf>
    <xf numFmtId="42" fontId="8" fillId="0" borderId="37" xfId="0" applyNumberFormat="1" applyFont="1" applyFill="1" applyBorder="1" applyAlignment="1">
      <alignment horizontal="left"/>
    </xf>
    <xf numFmtId="0" fontId="8" fillId="0" borderId="16" xfId="0" applyFont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left" vertical="center" wrapText="1"/>
      <protection locked="0"/>
    </xf>
    <xf numFmtId="5" fontId="8" fillId="0" borderId="25" xfId="2" applyNumberFormat="1" applyFont="1" applyBorder="1" applyAlignment="1">
      <alignment horizontal="right"/>
    </xf>
    <xf numFmtId="0" fontId="6" fillId="0" borderId="0" xfId="0" applyFont="1" applyBorder="1"/>
    <xf numFmtId="0" fontId="8" fillId="0" borderId="0" xfId="0" applyFont="1" applyBorder="1"/>
    <xf numFmtId="0" fontId="10" fillId="0" borderId="23" xfId="2" applyNumberFormat="1" applyFont="1" applyBorder="1" applyAlignment="1">
      <alignment horizontal="left"/>
    </xf>
    <xf numFmtId="0" fontId="10" fillId="0" borderId="29" xfId="0" applyNumberFormat="1" applyFont="1" applyFill="1" applyBorder="1" applyAlignment="1">
      <alignment horizontal="left"/>
    </xf>
    <xf numFmtId="0" fontId="11" fillId="0" borderId="18" xfId="0" applyFont="1" applyFill="1" applyBorder="1" applyAlignment="1" applyProtection="1">
      <alignment horizontal="center" wrapText="1"/>
      <protection locked="0"/>
    </xf>
    <xf numFmtId="164" fontId="11" fillId="0" borderId="18" xfId="0" applyNumberFormat="1" applyFont="1" applyBorder="1" applyAlignment="1">
      <alignment horizontal="center" wrapText="1"/>
    </xf>
    <xf numFmtId="42" fontId="10" fillId="0" borderId="25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>
      <alignment horizontal="right"/>
    </xf>
    <xf numFmtId="5" fontId="8" fillId="0" borderId="27" xfId="0" applyNumberFormat="1" applyFont="1" applyFill="1" applyBorder="1" applyAlignment="1">
      <alignment horizontal="right"/>
    </xf>
    <xf numFmtId="42" fontId="10" fillId="0" borderId="7" xfId="0" applyNumberFormat="1" applyFont="1" applyFill="1" applyBorder="1" applyAlignment="1">
      <alignment horizontal="left"/>
    </xf>
    <xf numFmtId="0" fontId="8" fillId="0" borderId="20" xfId="0" applyFont="1" applyBorder="1"/>
    <xf numFmtId="42" fontId="8" fillId="0" borderId="0" xfId="2" applyNumberFormat="1" applyFont="1" applyFill="1"/>
    <xf numFmtId="42" fontId="8" fillId="0" borderId="0" xfId="2" applyNumberFormat="1" applyFont="1"/>
    <xf numFmtId="0" fontId="8" fillId="0" borderId="0" xfId="0" applyFont="1" applyBorder="1" applyAlignment="1">
      <alignment wrapText="1"/>
    </xf>
    <xf numFmtId="164" fontId="8" fillId="0" borderId="0" xfId="2" applyNumberFormat="1" applyFont="1" applyFill="1"/>
    <xf numFmtId="42" fontId="8" fillId="0" borderId="0" xfId="2" applyNumberFormat="1" applyFont="1" applyFill="1" applyBorder="1"/>
    <xf numFmtId="164" fontId="8" fillId="0" borderId="0" xfId="2" applyNumberFormat="1" applyFont="1"/>
    <xf numFmtId="0" fontId="8" fillId="0" borderId="0" xfId="0" applyFont="1" applyBorder="1" applyAlignment="1"/>
    <xf numFmtId="164" fontId="8" fillId="0" borderId="0" xfId="2" applyNumberFormat="1" applyFont="1" applyAlignment="1">
      <alignment horizontal="center"/>
    </xf>
    <xf numFmtId="0" fontId="8" fillId="0" borderId="0" xfId="0" applyFont="1" applyFill="1" applyAlignment="1">
      <alignment horizontal="center"/>
    </xf>
    <xf numFmtId="0" fontId="15" fillId="0" borderId="0" xfId="3" applyFont="1" applyFill="1" applyBorder="1" applyAlignment="1">
      <alignment wrapText="1"/>
    </xf>
    <xf numFmtId="0" fontId="15" fillId="0" borderId="0" xfId="3" applyFont="1" applyFill="1" applyBorder="1" applyAlignment="1"/>
    <xf numFmtId="0" fontId="8" fillId="0" borderId="0" xfId="0" applyFont="1" applyFill="1" applyBorder="1" applyAlignment="1">
      <alignment wrapText="1"/>
    </xf>
    <xf numFmtId="0" fontId="6" fillId="0" borderId="34" xfId="0" applyFont="1" applyBorder="1" applyAlignment="1">
      <alignment horizontal="center" wrapText="1"/>
    </xf>
    <xf numFmtId="5" fontId="8" fillId="0" borderId="0" xfId="2" applyNumberFormat="1" applyFont="1"/>
    <xf numFmtId="164" fontId="6" fillId="0" borderId="2" xfId="0" applyNumberFormat="1" applyFont="1" applyFill="1" applyBorder="1"/>
    <xf numFmtId="5" fontId="6" fillId="0" borderId="2" xfId="0" applyNumberFormat="1" applyFont="1" applyBorder="1"/>
    <xf numFmtId="0" fontId="11" fillId="0" borderId="2" xfId="0" applyFont="1" applyBorder="1" applyAlignment="1">
      <alignment horizontal="center"/>
    </xf>
    <xf numFmtId="5" fontId="8" fillId="0" borderId="0" xfId="2" applyNumberFormat="1" applyFont="1" applyFill="1" applyBorder="1"/>
    <xf numFmtId="5" fontId="8" fillId="0" borderId="0" xfId="2" applyNumberFormat="1" applyFont="1" applyFill="1"/>
    <xf numFmtId="5" fontId="8" fillId="0" borderId="0" xfId="2" applyNumberFormat="1" applyFont="1" applyAlignment="1">
      <alignment horizontal="right"/>
    </xf>
    <xf numFmtId="0" fontId="11" fillId="0" borderId="2" xfId="0" applyFont="1" applyBorder="1" applyAlignment="1">
      <alignment wrapText="1"/>
    </xf>
    <xf numFmtId="0" fontId="11" fillId="0" borderId="2" xfId="0" applyFont="1" applyBorder="1" applyAlignment="1"/>
    <xf numFmtId="164" fontId="6" fillId="0" borderId="2" xfId="0" applyNumberFormat="1" applyFont="1" applyBorder="1" applyAlignment="1">
      <alignment horizontal="center"/>
    </xf>
    <xf numFmtId="164" fontId="6" fillId="0" borderId="2" xfId="0" applyNumberFormat="1" applyFont="1" applyBorder="1"/>
    <xf numFmtId="5" fontId="6" fillId="0" borderId="2" xfId="0" applyNumberFormat="1" applyFont="1" applyFill="1" applyBorder="1"/>
    <xf numFmtId="0" fontId="11" fillId="0" borderId="2" xfId="0" applyFont="1" applyFill="1" applyBorder="1" applyAlignment="1">
      <alignment horizontal="center"/>
    </xf>
    <xf numFmtId="0" fontId="11" fillId="0" borderId="2" xfId="0" applyNumberFormat="1" applyFont="1" applyFill="1" applyBorder="1" applyAlignment="1" applyProtection="1">
      <alignment wrapText="1"/>
    </xf>
    <xf numFmtId="0" fontId="11" fillId="0" borderId="2" xfId="0" applyNumberFormat="1" applyFont="1" applyFill="1" applyBorder="1" applyAlignment="1" applyProtection="1"/>
    <xf numFmtId="0" fontId="11" fillId="0" borderId="2" xfId="0" applyFont="1" applyFill="1" applyBorder="1"/>
    <xf numFmtId="0" fontId="6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2" xfId="0" applyFont="1" applyBorder="1" applyAlignment="1">
      <alignment horizontal="center"/>
    </xf>
    <xf numFmtId="0" fontId="8" fillId="0" borderId="0" xfId="0" applyFont="1" applyAlignment="1">
      <alignment wrapText="1"/>
    </xf>
    <xf numFmtId="0" fontId="6" fillId="0" borderId="2" xfId="0" applyFont="1" applyBorder="1" applyAlignment="1">
      <alignment horizontal="left"/>
    </xf>
    <xf numFmtId="0" fontId="16" fillId="0" borderId="0" xfId="0" applyFont="1" applyAlignment="1">
      <alignment horizontal="centerContinuous" wrapText="1"/>
    </xf>
    <xf numFmtId="0" fontId="16" fillId="0" borderId="0" xfId="0" applyFont="1" applyAlignment="1">
      <alignment horizontal="centerContinuous"/>
    </xf>
    <xf numFmtId="0" fontId="17" fillId="0" borderId="0" xfId="0" applyFont="1"/>
    <xf numFmtId="0" fontId="16" fillId="0" borderId="0" xfId="0" applyFont="1"/>
    <xf numFmtId="164" fontId="16" fillId="0" borderId="0" xfId="0" applyNumberFormat="1" applyFont="1" applyAlignment="1">
      <alignment horizontal="centerContinuous"/>
    </xf>
    <xf numFmtId="0" fontId="6" fillId="0" borderId="19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 wrapText="1"/>
    </xf>
    <xf numFmtId="164" fontId="8" fillId="0" borderId="0" xfId="0" applyNumberFormat="1" applyFont="1" applyBorder="1"/>
    <xf numFmtId="0" fontId="6" fillId="0" borderId="0" xfId="0" applyFont="1" applyAlignment="1">
      <alignment wrapText="1"/>
    </xf>
    <xf numFmtId="0" fontId="6" fillId="0" borderId="0" xfId="0" applyFont="1" applyAlignment="1">
      <alignment horizontal="left"/>
    </xf>
    <xf numFmtId="164" fontId="6" fillId="0" borderId="0" xfId="2" applyNumberFormat="1" applyFont="1" applyAlignment="1">
      <alignment horizontal="right"/>
    </xf>
    <xf numFmtId="164" fontId="6" fillId="0" borderId="0" xfId="2" applyNumberFormat="1" applyFont="1" applyAlignment="1"/>
    <xf numFmtId="164" fontId="6" fillId="0" borderId="34" xfId="2" applyNumberFormat="1" applyFont="1" applyBorder="1" applyAlignment="1">
      <alignment horizontal="center" wrapText="1"/>
    </xf>
    <xf numFmtId="0" fontId="12" fillId="0" borderId="34" xfId="4" applyNumberFormat="1" applyFont="1" applyBorder="1" applyAlignment="1">
      <alignment horizontal="center" wrapText="1"/>
    </xf>
    <xf numFmtId="0" fontId="11" fillId="0" borderId="34" xfId="2" applyNumberFormat="1" applyFont="1" applyBorder="1" applyAlignment="1">
      <alignment horizontal="center" wrapText="1"/>
    </xf>
    <xf numFmtId="42" fontId="10" fillId="0" borderId="0" xfId="0" applyNumberFormat="1" applyFont="1"/>
    <xf numFmtId="0" fontId="10" fillId="0" borderId="0" xfId="0" applyFont="1" applyAlignment="1">
      <alignment horizontal="left"/>
    </xf>
    <xf numFmtId="5" fontId="8" fillId="0" borderId="0" xfId="0" applyNumberFormat="1" applyFont="1"/>
    <xf numFmtId="0" fontId="6" fillId="0" borderId="2" xfId="0" applyFont="1" applyBorder="1" applyAlignment="1">
      <alignment horizontal="left"/>
    </xf>
    <xf numFmtId="0" fontId="11" fillId="0" borderId="0" xfId="0" applyFont="1" applyBorder="1" applyAlignment="1">
      <alignment wrapText="1"/>
    </xf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42" fontId="6" fillId="0" borderId="0" xfId="0" applyNumberFormat="1" applyFont="1" applyBorder="1"/>
    <xf numFmtId="42" fontId="21" fillId="0" borderId="2" xfId="0" applyNumberFormat="1" applyFont="1" applyBorder="1"/>
    <xf numFmtId="0" fontId="6" fillId="0" borderId="18" xfId="0" applyFont="1" applyBorder="1"/>
    <xf numFmtId="0" fontId="11" fillId="0" borderId="2" xfId="0" applyFont="1" applyBorder="1" applyAlignment="1">
      <alignment horizontal="left" wrapText="1"/>
    </xf>
    <xf numFmtId="0" fontId="11" fillId="0" borderId="2" xfId="0" applyFont="1" applyBorder="1" applyAlignment="1">
      <alignment horizontal="left"/>
    </xf>
    <xf numFmtId="42" fontId="6" fillId="0" borderId="2" xfId="0" applyNumberFormat="1" applyFont="1" applyBorder="1" applyAlignment="1">
      <alignment horizontal="left"/>
    </xf>
    <xf numFmtId="5" fontId="6" fillId="0" borderId="2" xfId="0" applyNumberFormat="1" applyFont="1" applyBorder="1" applyAlignment="1">
      <alignment horizontal="right"/>
    </xf>
    <xf numFmtId="0" fontId="6" fillId="0" borderId="2" xfId="0" applyFont="1" applyBorder="1" applyAlignment="1">
      <alignment horizontal="center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6" fillId="0" borderId="0" xfId="0" applyFont="1" applyFill="1" applyAlignment="1"/>
    <xf numFmtId="0" fontId="6" fillId="0" borderId="0" xfId="0" applyFont="1" applyFill="1" applyAlignment="1">
      <alignment horizontal="left" wrapText="1"/>
    </xf>
    <xf numFmtId="164" fontId="6" fillId="0" borderId="0" xfId="2" applyNumberFormat="1" applyFont="1" applyFill="1" applyAlignment="1">
      <alignment horizontal="right"/>
    </xf>
    <xf numFmtId="164" fontId="6" fillId="0" borderId="0" xfId="2" applyNumberFormat="1" applyFont="1" applyFill="1" applyAlignment="1"/>
    <xf numFmtId="0" fontId="6" fillId="0" borderId="0" xfId="0" applyFont="1" applyAlignment="1">
      <alignment horizontal="centerContinuous"/>
    </xf>
    <xf numFmtId="164" fontId="6" fillId="0" borderId="34" xfId="2" applyNumberFormat="1" applyFont="1" applyFill="1" applyBorder="1" applyAlignment="1">
      <alignment horizontal="center" wrapText="1"/>
    </xf>
    <xf numFmtId="0" fontId="6" fillId="0" borderId="34" xfId="2" applyNumberFormat="1" applyFont="1" applyBorder="1" applyAlignment="1">
      <alignment horizontal="center" wrapText="1"/>
    </xf>
    <xf numFmtId="0" fontId="6" fillId="0" borderId="0" xfId="0" applyFont="1" applyFill="1" applyAlignment="1">
      <alignment horizontal="left"/>
    </xf>
    <xf numFmtId="0" fontId="6" fillId="0" borderId="2" xfId="0" applyFont="1" applyBorder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wrapText="1"/>
    </xf>
    <xf numFmtId="42" fontId="1" fillId="0" borderId="0" xfId="0" applyNumberFormat="1" applyFont="1"/>
    <xf numFmtId="166" fontId="8" fillId="0" borderId="0" xfId="0" applyNumberFormat="1" applyFont="1"/>
    <xf numFmtId="0" fontId="1" fillId="0" borderId="0" xfId="0" applyFont="1" applyFill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164" fontId="1" fillId="0" borderId="0" xfId="2" applyNumberFormat="1" applyFont="1" applyFill="1" applyBorder="1" applyAlignment="1">
      <alignment horizontal="center" wrapText="1"/>
    </xf>
    <xf numFmtId="0" fontId="1" fillId="0" borderId="0" xfId="2" applyNumberFormat="1" applyFont="1" applyBorder="1" applyAlignment="1">
      <alignment horizontal="center" wrapText="1"/>
    </xf>
    <xf numFmtId="0" fontId="10" fillId="0" borderId="0" xfId="2" applyNumberFormat="1" applyFont="1" applyBorder="1" applyAlignment="1">
      <alignment horizontal="center" wrapText="1"/>
    </xf>
    <xf numFmtId="164" fontId="1" fillId="0" borderId="0" xfId="2" applyNumberFormat="1" applyFont="1" applyBorder="1" applyAlignment="1">
      <alignment horizontal="center" wrapText="1"/>
    </xf>
    <xf numFmtId="0" fontId="10" fillId="0" borderId="0" xfId="2" applyNumberFormat="1" applyFont="1" applyBorder="1" applyAlignment="1">
      <alignment horizontal="center"/>
    </xf>
    <xf numFmtId="5" fontId="1" fillId="0" borderId="0" xfId="2" applyNumberFormat="1" applyFont="1" applyBorder="1" applyAlignment="1">
      <alignment horizontal="right"/>
    </xf>
    <xf numFmtId="5" fontId="1" fillId="0" borderId="0" xfId="2" applyNumberFormat="1" applyFont="1" applyFill="1" applyBorder="1" applyAlignment="1">
      <alignment horizontal="right"/>
    </xf>
    <xf numFmtId="164" fontId="1" fillId="0" borderId="0" xfId="2" applyNumberFormat="1" applyFont="1" applyBorder="1" applyAlignment="1"/>
    <xf numFmtId="164" fontId="1" fillId="0" borderId="0" xfId="2" applyNumberFormat="1" applyFont="1" applyFill="1" applyBorder="1" applyAlignment="1"/>
    <xf numFmtId="42" fontId="1" fillId="0" borderId="0" xfId="2" applyNumberFormat="1" applyFont="1" applyBorder="1" applyAlignment="1"/>
    <xf numFmtId="5" fontId="1" fillId="0" borderId="0" xfId="2" applyNumberFormat="1" applyFont="1" applyBorder="1" applyAlignment="1"/>
    <xf numFmtId="0" fontId="6" fillId="0" borderId="2" xfId="0" applyFont="1" applyFill="1" applyBorder="1" applyAlignment="1">
      <alignment horizontal="left" wrapText="1"/>
    </xf>
    <xf numFmtId="0" fontId="10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/>
    <xf numFmtId="42" fontId="6" fillId="0" borderId="2" xfId="0" applyNumberFormat="1" applyFont="1" applyBorder="1" applyAlignment="1"/>
    <xf numFmtId="5" fontId="6" fillId="0" borderId="2" xfId="0" applyNumberFormat="1" applyFont="1" applyBorder="1" applyAlignment="1"/>
    <xf numFmtId="164" fontId="6" fillId="0" borderId="2" xfId="0" applyNumberFormat="1" applyFont="1" applyBorder="1" applyAlignment="1"/>
    <xf numFmtId="0" fontId="1" fillId="0" borderId="0" xfId="0" applyFont="1" applyFill="1" applyBorder="1" applyAlignment="1">
      <alignment horizontal="left"/>
    </xf>
    <xf numFmtId="0" fontId="1" fillId="0" borderId="0" xfId="0" applyFont="1" applyAlignment="1">
      <alignment wrapText="1"/>
    </xf>
    <xf numFmtId="0" fontId="1" fillId="0" borderId="0" xfId="0" applyFont="1"/>
    <xf numFmtId="164" fontId="6" fillId="0" borderId="0" xfId="2" applyNumberFormat="1" applyFont="1" applyAlignment="1">
      <alignment horizontal="center"/>
    </xf>
    <xf numFmtId="0" fontId="6" fillId="0" borderId="2" xfId="0" applyFont="1" applyBorder="1" applyAlignment="1"/>
    <xf numFmtId="0" fontId="1" fillId="0" borderId="0" xfId="0" applyFont="1"/>
    <xf numFmtId="0" fontId="6" fillId="0" borderId="0" xfId="0" applyFont="1" applyAlignment="1"/>
    <xf numFmtId="0" fontId="6" fillId="0" borderId="0" xfId="0" applyFont="1" applyBorder="1" applyAlignment="1">
      <alignment horizontal="center" wrapText="1"/>
    </xf>
    <xf numFmtId="0" fontId="11" fillId="0" borderId="0" xfId="2" applyNumberFormat="1" applyFont="1" applyBorder="1" applyAlignment="1">
      <alignment horizontal="center" wrapText="1"/>
    </xf>
    <xf numFmtId="42" fontId="1" fillId="0" borderId="0" xfId="2" applyNumberFormat="1" applyFont="1" applyBorder="1" applyAlignment="1">
      <alignment horizontal="center" wrapText="1"/>
    </xf>
    <xf numFmtId="0" fontId="11" fillId="0" borderId="0" xfId="0" applyFont="1" applyBorder="1" applyAlignment="1">
      <alignment horizontal="center" wrapText="1"/>
    </xf>
    <xf numFmtId="0" fontId="6" fillId="0" borderId="2" xfId="0" applyFont="1" applyBorder="1" applyAlignment="1">
      <alignment wrapText="1"/>
    </xf>
    <xf numFmtId="0" fontId="11" fillId="0" borderId="2" xfId="0" applyFont="1" applyBorder="1" applyAlignment="1">
      <alignment horizontal="center" wrapText="1"/>
    </xf>
    <xf numFmtId="164" fontId="6" fillId="0" borderId="2" xfId="0" applyNumberFormat="1" applyFont="1" applyBorder="1" applyAlignment="1">
      <alignment horizontal="center" wrapText="1"/>
    </xf>
    <xf numFmtId="42" fontId="6" fillId="0" borderId="2" xfId="0" applyNumberFormat="1" applyFont="1" applyBorder="1" applyAlignment="1">
      <alignment horizontal="center" wrapText="1"/>
    </xf>
    <xf numFmtId="0" fontId="11" fillId="0" borderId="2" xfId="0" applyNumberFormat="1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42" fontId="1" fillId="0" borderId="16" xfId="0" applyNumberFormat="1" applyFont="1" applyBorder="1" applyAlignment="1"/>
    <xf numFmtId="0" fontId="10" fillId="0" borderId="16" xfId="0" applyFont="1" applyBorder="1" applyAlignment="1"/>
    <xf numFmtId="164" fontId="1" fillId="0" borderId="0" xfId="0" applyNumberFormat="1" applyFont="1" applyFill="1" applyBorder="1" applyAlignment="1"/>
    <xf numFmtId="42" fontId="1" fillId="0" borderId="0" xfId="0" applyNumberFormat="1" applyFont="1" applyBorder="1" applyAlignment="1"/>
    <xf numFmtId="0" fontId="10" fillId="0" borderId="0" xfId="0" applyNumberFormat="1" applyFont="1" applyBorder="1" applyAlignment="1"/>
    <xf numFmtId="164" fontId="1" fillId="0" borderId="0" xfId="0" applyNumberFormat="1" applyFont="1" applyBorder="1" applyAlignment="1"/>
    <xf numFmtId="164" fontId="1" fillId="0" borderId="0" xfId="0" applyNumberFormat="1" applyFont="1" applyBorder="1" applyAlignment="1">
      <alignment wrapText="1"/>
    </xf>
    <xf numFmtId="42" fontId="1" fillId="0" borderId="0" xfId="0" applyNumberFormat="1" applyFont="1" applyBorder="1" applyAlignment="1">
      <alignment wrapText="1"/>
    </xf>
    <xf numFmtId="0" fontId="10" fillId="0" borderId="0" xfId="0" applyNumberFormat="1" applyFont="1" applyBorder="1" applyAlignment="1">
      <alignment wrapText="1"/>
    </xf>
    <xf numFmtId="0" fontId="22" fillId="0" borderId="2" xfId="0" applyFont="1" applyBorder="1" applyAlignment="1">
      <alignment wrapText="1"/>
    </xf>
    <xf numFmtId="0" fontId="23" fillId="0" borderId="2" xfId="0" applyFont="1" applyBorder="1" applyAlignment="1">
      <alignment horizontal="center" wrapText="1"/>
    </xf>
    <xf numFmtId="164" fontId="22" fillId="0" borderId="2" xfId="0" applyNumberFormat="1" applyFont="1" applyBorder="1"/>
    <xf numFmtId="42" fontId="22" fillId="0" borderId="2" xfId="0" applyNumberFormat="1" applyFont="1" applyBorder="1"/>
    <xf numFmtId="5" fontId="1" fillId="0" borderId="0" xfId="0" applyNumberFormat="1" applyFont="1"/>
    <xf numFmtId="166" fontId="1" fillId="0" borderId="0" xfId="0" applyNumberFormat="1" applyFont="1"/>
    <xf numFmtId="166" fontId="21" fillId="0" borderId="2" xfId="0" applyNumberFormat="1" applyFont="1" applyBorder="1"/>
    <xf numFmtId="166" fontId="1" fillId="0" borderId="0" xfId="2" applyNumberFormat="1" applyFont="1" applyBorder="1" applyAlignment="1">
      <alignment wrapText="1"/>
    </xf>
    <xf numFmtId="5" fontId="1" fillId="0" borderId="0" xfId="2" applyNumberFormat="1" applyFont="1" applyBorder="1" applyAlignment="1">
      <alignment wrapText="1"/>
    </xf>
    <xf numFmtId="0" fontId="6" fillId="0" borderId="0" xfId="0" applyFont="1" applyBorder="1" applyAlignment="1">
      <alignment horizontal="center"/>
    </xf>
    <xf numFmtId="0" fontId="1" fillId="0" borderId="0" xfId="0" applyFont="1" applyAlignment="1"/>
    <xf numFmtId="0" fontId="10" fillId="0" borderId="0" xfId="0" applyFont="1" applyAlignment="1"/>
    <xf numFmtId="42" fontId="1" fillId="0" borderId="16" xfId="0" applyNumberFormat="1" applyFont="1" applyBorder="1"/>
    <xf numFmtId="42" fontId="1" fillId="0" borderId="0" xfId="0" applyNumberFormat="1" applyFont="1" applyBorder="1"/>
    <xf numFmtId="5" fontId="1" fillId="0" borderId="16" xfId="0" applyNumberFormat="1" applyFont="1" applyBorder="1"/>
    <xf numFmtId="5" fontId="1" fillId="0" borderId="0" xfId="0" applyNumberFormat="1" applyFont="1" applyBorder="1"/>
    <xf numFmtId="0" fontId="11" fillId="0" borderId="16" xfId="0" applyFont="1" applyBorder="1"/>
    <xf numFmtId="0" fontId="13" fillId="0" borderId="0" xfId="0" applyFont="1"/>
    <xf numFmtId="164" fontId="1" fillId="0" borderId="0" xfId="0" applyNumberFormat="1" applyFont="1"/>
    <xf numFmtId="0" fontId="10" fillId="0" borderId="2" xfId="0" applyFont="1" applyBorder="1"/>
    <xf numFmtId="165" fontId="1" fillId="0" borderId="0" xfId="1" applyNumberFormat="1" applyFont="1" applyFill="1"/>
    <xf numFmtId="0" fontId="1" fillId="0" borderId="0" xfId="0" applyFont="1" applyFill="1"/>
    <xf numFmtId="165" fontId="1" fillId="0" borderId="0" xfId="1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165" fontId="1" fillId="0" borderId="0" xfId="1" applyNumberFormat="1" applyFont="1" applyFill="1" applyBorder="1"/>
    <xf numFmtId="0" fontId="1" fillId="0" borderId="0" xfId="0" applyFont="1" applyFill="1" applyBorder="1" applyAlignment="1">
      <alignment horizontal="center"/>
    </xf>
    <xf numFmtId="42" fontId="1" fillId="0" borderId="0" xfId="0" applyNumberFormat="1" applyFont="1" applyFill="1" applyBorder="1" applyAlignment="1">
      <alignment horizontal="left"/>
    </xf>
    <xf numFmtId="0" fontId="9" fillId="0" borderId="0" xfId="0" applyNumberFormat="1" applyFont="1" applyFill="1" applyBorder="1" applyAlignment="1">
      <alignment horizontal="center" vertical="top"/>
    </xf>
    <xf numFmtId="42" fontId="1" fillId="0" borderId="0" xfId="0" applyNumberFormat="1" applyFont="1" applyFill="1" applyBorder="1"/>
    <xf numFmtId="165" fontId="1" fillId="0" borderId="0" xfId="1" applyNumberFormat="1" applyFont="1" applyFill="1" applyBorder="1" applyAlignment="1">
      <alignment vertical="center"/>
    </xf>
    <xf numFmtId="42" fontId="6" fillId="0" borderId="0" xfId="0" applyNumberFormat="1" applyFont="1" applyFill="1" applyBorder="1" applyAlignment="1">
      <alignment horizontal="left"/>
    </xf>
    <xf numFmtId="42" fontId="1" fillId="0" borderId="0" xfId="0" applyNumberFormat="1" applyFont="1" applyFill="1" applyBorder="1" applyAlignment="1"/>
    <xf numFmtId="0" fontId="1" fillId="0" borderId="22" xfId="0" applyFont="1" applyFill="1" applyBorder="1"/>
    <xf numFmtId="0" fontId="6" fillId="0" borderId="0" xfId="0" applyFont="1" applyFill="1" applyBorder="1" applyAlignment="1">
      <alignment horizontal="left"/>
    </xf>
    <xf numFmtId="0" fontId="1" fillId="0" borderId="2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6" fillId="0" borderId="19" xfId="0" applyFont="1" applyFill="1" applyBorder="1" applyAlignment="1">
      <alignment horizontal="center" wrapText="1"/>
    </xf>
    <xf numFmtId="0" fontId="11" fillId="0" borderId="34" xfId="0" applyFont="1" applyFill="1" applyBorder="1" applyAlignment="1">
      <alignment horizontal="center" wrapText="1"/>
    </xf>
    <xf numFmtId="42" fontId="6" fillId="0" borderId="34" xfId="0" applyNumberFormat="1" applyFont="1" applyFill="1" applyBorder="1" applyAlignment="1">
      <alignment horizontal="center" wrapText="1"/>
    </xf>
    <xf numFmtId="165" fontId="6" fillId="0" borderId="0" xfId="1" applyNumberFormat="1" applyFont="1" applyFill="1" applyBorder="1"/>
    <xf numFmtId="165" fontId="6" fillId="0" borderId="0" xfId="1" applyNumberFormat="1" applyFont="1" applyFill="1"/>
    <xf numFmtId="42" fontId="1" fillId="0" borderId="0" xfId="0" applyNumberFormat="1" applyFont="1" applyFill="1"/>
    <xf numFmtId="42" fontId="6" fillId="0" borderId="0" xfId="0" applyNumberFormat="1" applyFont="1" applyFill="1"/>
    <xf numFmtId="42" fontId="6" fillId="0" borderId="0" xfId="0" applyNumberFormat="1" applyFont="1" applyFill="1" applyBorder="1"/>
    <xf numFmtId="0" fontId="1" fillId="0" borderId="0" xfId="0" applyFont="1" applyFill="1" applyBorder="1" applyAlignment="1">
      <alignment vertical="center"/>
    </xf>
    <xf numFmtId="165" fontId="6" fillId="0" borderId="0" xfId="1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42" fontId="6" fillId="0" borderId="2" xfId="0" applyNumberFormat="1" applyFont="1" applyFill="1" applyBorder="1"/>
    <xf numFmtId="0" fontId="6" fillId="0" borderId="0" xfId="0" applyFont="1" applyFill="1" applyBorder="1"/>
    <xf numFmtId="42" fontId="22" fillId="0" borderId="0" xfId="0" applyNumberFormat="1" applyFont="1" applyBorder="1"/>
    <xf numFmtId="0" fontId="6" fillId="0" borderId="2" xfId="0" applyFont="1" applyFill="1" applyBorder="1" applyAlignment="1">
      <alignment horizontal="left"/>
    </xf>
    <xf numFmtId="42" fontId="6" fillId="0" borderId="2" xfId="0" applyNumberFormat="1" applyFont="1" applyFill="1" applyBorder="1" applyAlignment="1">
      <alignment horizontal="left"/>
    </xf>
    <xf numFmtId="0" fontId="1" fillId="0" borderId="0" xfId="0" applyFont="1" applyFill="1" applyBorder="1" applyAlignment="1"/>
    <xf numFmtId="0" fontId="1" fillId="0" borderId="2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/>
    <xf numFmtId="0" fontId="10" fillId="0" borderId="0" xfId="0" applyFont="1" applyFill="1" applyBorder="1" applyAlignment="1">
      <alignment horizontal="left"/>
    </xf>
    <xf numFmtId="42" fontId="10" fillId="0" borderId="0" xfId="0" applyNumberFormat="1" applyFont="1" applyFill="1" applyBorder="1" applyAlignment="1">
      <alignment horizontal="left"/>
    </xf>
    <xf numFmtId="42" fontId="10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wrapText="1"/>
    </xf>
    <xf numFmtId="0" fontId="11" fillId="0" borderId="0" xfId="0" applyFont="1" applyFill="1" applyAlignment="1">
      <alignment horizontal="center"/>
    </xf>
    <xf numFmtId="42" fontId="10" fillId="0" borderId="0" xfId="0" applyNumberFormat="1" applyFont="1" applyFill="1" applyBorder="1" applyAlignment="1">
      <alignment horizontal="center"/>
    </xf>
    <xf numFmtId="5" fontId="1" fillId="0" borderId="0" xfId="0" applyNumberFormat="1" applyFont="1" applyFill="1" applyBorder="1" applyAlignment="1"/>
    <xf numFmtId="42" fontId="11" fillId="0" borderId="0" xfId="0" applyNumberFormat="1" applyFont="1" applyFill="1" applyBorder="1" applyAlignment="1"/>
    <xf numFmtId="42" fontId="10" fillId="0" borderId="0" xfId="0" applyNumberFormat="1" applyFont="1" applyFill="1" applyBorder="1" applyAlignment="1"/>
    <xf numFmtId="5" fontId="1" fillId="0" borderId="0" xfId="0" applyNumberFormat="1" applyFont="1" applyFill="1" applyBorder="1"/>
    <xf numFmtId="0" fontId="10" fillId="0" borderId="20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42" fontId="11" fillId="0" borderId="2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42" fontId="11" fillId="0" borderId="28" xfId="0" applyNumberFormat="1" applyFont="1" applyFill="1" applyBorder="1" applyAlignment="1">
      <alignment horizontal="left"/>
    </xf>
    <xf numFmtId="42" fontId="11" fillId="0" borderId="0" xfId="0" applyNumberFormat="1" applyFont="1" applyFill="1" applyBorder="1" applyAlignment="1">
      <alignment horizontal="left"/>
    </xf>
    <xf numFmtId="42" fontId="8" fillId="0" borderId="11" xfId="0" applyNumberFormat="1" applyFont="1" applyFill="1" applyBorder="1" applyAlignment="1">
      <alignment horizontal="left"/>
    </xf>
    <xf numFmtId="166" fontId="8" fillId="0" borderId="6" xfId="2" applyNumberFormat="1" applyFont="1" applyBorder="1" applyAlignment="1"/>
    <xf numFmtId="166" fontId="8" fillId="0" borderId="25" xfId="2" applyNumberFormat="1" applyFont="1" applyBorder="1" applyAlignment="1"/>
    <xf numFmtId="0" fontId="11" fillId="0" borderId="15" xfId="0" applyFont="1" applyFill="1" applyBorder="1" applyAlignment="1">
      <alignment horizontal="center" wrapText="1"/>
    </xf>
    <xf numFmtId="0" fontId="10" fillId="0" borderId="15" xfId="0" applyFont="1" applyBorder="1" applyAlignment="1">
      <alignment horizontal="center"/>
    </xf>
    <xf numFmtId="164" fontId="10" fillId="0" borderId="4" xfId="2" applyNumberFormat="1" applyFont="1" applyBorder="1" applyAlignment="1">
      <alignment horizontal="left"/>
    </xf>
    <xf numFmtId="0" fontId="10" fillId="0" borderId="18" xfId="0" applyFont="1" applyFill="1" applyBorder="1" applyAlignment="1" applyProtection="1">
      <alignment horizontal="center" wrapText="1"/>
      <protection locked="0"/>
    </xf>
    <xf numFmtId="0" fontId="11" fillId="0" borderId="1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42" fontId="10" fillId="0" borderId="0" xfId="0" applyNumberFormat="1" applyFont="1" applyFill="1" applyBorder="1" applyAlignment="1" applyProtection="1">
      <alignment horizontal="left"/>
      <protection locked="0"/>
    </xf>
    <xf numFmtId="42" fontId="6" fillId="0" borderId="15" xfId="0" applyNumberFormat="1" applyFont="1" applyBorder="1" applyAlignment="1">
      <alignment horizontal="right"/>
    </xf>
    <xf numFmtId="0" fontId="10" fillId="0" borderId="23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42" fontId="10" fillId="0" borderId="2" xfId="0" applyNumberFormat="1" applyFont="1" applyFill="1" applyBorder="1" applyAlignment="1" applyProtection="1">
      <alignment horizontal="left"/>
      <protection locked="0"/>
    </xf>
    <xf numFmtId="37" fontId="10" fillId="0" borderId="11" xfId="2" applyNumberFormat="1" applyFont="1" applyFill="1" applyBorder="1" applyAlignment="1">
      <alignment horizontal="center"/>
    </xf>
    <xf numFmtId="37" fontId="10" fillId="0" borderId="7" xfId="2" applyNumberFormat="1" applyFont="1" applyFill="1" applyBorder="1" applyAlignment="1">
      <alignment horizontal="center"/>
    </xf>
    <xf numFmtId="42" fontId="10" fillId="0" borderId="15" xfId="0" applyNumberFormat="1" applyFont="1" applyFill="1" applyBorder="1" applyAlignment="1">
      <alignment horizontal="left"/>
    </xf>
    <xf numFmtId="42" fontId="6" fillId="0" borderId="32" xfId="0" applyNumberFormat="1" applyFont="1" applyFill="1" applyBorder="1" applyAlignment="1">
      <alignment horizontal="right"/>
    </xf>
    <xf numFmtId="42" fontId="6" fillId="0" borderId="2" xfId="0" applyNumberFormat="1" applyFont="1" applyFill="1" applyBorder="1" applyAlignment="1" applyProtection="1">
      <protection locked="0"/>
    </xf>
    <xf numFmtId="37" fontId="24" fillId="0" borderId="27" xfId="4" applyNumberFormat="1" applyFont="1" applyFill="1" applyBorder="1" applyAlignment="1">
      <alignment horizontal="center"/>
    </xf>
    <xf numFmtId="0" fontId="12" fillId="0" borderId="18" xfId="4" applyFont="1" applyFill="1" applyBorder="1" applyAlignment="1" applyProtection="1">
      <alignment horizontal="center" wrapText="1"/>
      <protection locked="0"/>
    </xf>
    <xf numFmtId="37" fontId="24" fillId="0" borderId="7" xfId="4" applyNumberFormat="1" applyFont="1" applyFill="1" applyBorder="1" applyAlignment="1">
      <alignment horizontal="center"/>
    </xf>
    <xf numFmtId="0" fontId="1" fillId="0" borderId="0" xfId="0" applyFont="1" applyBorder="1"/>
    <xf numFmtId="0" fontId="1" fillId="0" borderId="0" xfId="0" applyFont="1" applyFill="1" applyBorder="1"/>
    <xf numFmtId="0" fontId="12" fillId="0" borderId="2" xfId="4" applyFont="1" applyBorder="1"/>
    <xf numFmtId="5" fontId="6" fillId="0" borderId="2" xfId="0" applyNumberFormat="1" applyFont="1" applyFill="1" applyBorder="1" applyAlignment="1"/>
    <xf numFmtId="0" fontId="11" fillId="0" borderId="34" xfId="2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left" wrapText="1"/>
    </xf>
    <xf numFmtId="0" fontId="24" fillId="0" borderId="0" xfId="4" applyNumberFormat="1" applyFont="1" applyFill="1" applyBorder="1" applyAlignment="1">
      <alignment horizontal="center"/>
    </xf>
    <xf numFmtId="0" fontId="12" fillId="0" borderId="34" xfId="4" applyFont="1" applyFill="1" applyBorder="1" applyAlignment="1">
      <alignment horizontal="center" wrapText="1"/>
    </xf>
    <xf numFmtId="0" fontId="26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17" fillId="0" borderId="0" xfId="0" applyFont="1" applyAlignment="1">
      <alignment horizontal="centerContinuous" vertical="center"/>
    </xf>
    <xf numFmtId="0" fontId="16" fillId="0" borderId="0" xfId="0" applyFont="1" applyAlignment="1">
      <alignment horizontal="centerContinuous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27" fillId="0" borderId="0" xfId="0" applyFont="1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9" fillId="0" borderId="0" xfId="0" applyFont="1" applyAlignment="1">
      <alignment horizontal="centerContinuous" vertical="center"/>
    </xf>
    <xf numFmtId="0" fontId="0" fillId="0" borderId="0" xfId="0" applyAlignment="1">
      <alignment horizontal="left"/>
    </xf>
    <xf numFmtId="0" fontId="30" fillId="0" borderId="0" xfId="0" applyFont="1" applyAlignment="1">
      <alignment horizontal="left" vertical="center"/>
    </xf>
    <xf numFmtId="0" fontId="10" fillId="0" borderId="0" xfId="0" applyFont="1" applyAlignment="1">
      <alignment horizontal="centerContinuous" vertical="center"/>
    </xf>
    <xf numFmtId="0" fontId="10" fillId="0" borderId="0" xfId="0" applyFont="1" applyAlignment="1">
      <alignment horizontal="centerContinuous"/>
    </xf>
    <xf numFmtId="0" fontId="31" fillId="0" borderId="0" xfId="0" applyFont="1" applyAlignment="1">
      <alignment horizontal="centerContinuous" vertical="center"/>
    </xf>
    <xf numFmtId="1" fontId="16" fillId="0" borderId="0" xfId="0" applyNumberFormat="1" applyFont="1" applyBorder="1" applyAlignment="1">
      <alignment horizontal="centerContinuous" wrapText="1"/>
    </xf>
    <xf numFmtId="0" fontId="0" fillId="0" borderId="0" xfId="0" applyFont="1" applyBorder="1" applyAlignment="1">
      <alignment horizontal="centerContinuous"/>
    </xf>
    <xf numFmtId="167" fontId="0" fillId="0" borderId="0" xfId="0" applyNumberFormat="1" applyFont="1" applyBorder="1" applyAlignment="1">
      <alignment horizontal="centerContinuous" vertical="top"/>
    </xf>
    <xf numFmtId="49" fontId="0" fillId="0" borderId="0" xfId="0" applyNumberFormat="1" applyFont="1" applyBorder="1" applyAlignment="1">
      <alignment horizontal="centerContinuous"/>
    </xf>
    <xf numFmtId="0" fontId="0" fillId="0" borderId="0" xfId="0" applyFont="1" applyBorder="1"/>
    <xf numFmtId="1" fontId="13" fillId="0" borderId="18" xfId="0" applyNumberFormat="1" applyFont="1" applyFill="1" applyBorder="1" applyAlignment="1">
      <alignment horizontal="center"/>
    </xf>
    <xf numFmtId="0" fontId="13" fillId="0" borderId="18" xfId="0" applyFont="1" applyFill="1" applyBorder="1" applyAlignment="1">
      <alignment horizontal="center" wrapText="1"/>
    </xf>
    <xf numFmtId="14" fontId="13" fillId="0" borderId="18" xfId="0" applyNumberFormat="1" applyFont="1" applyFill="1" applyBorder="1" applyAlignment="1">
      <alignment horizontal="center" wrapText="1"/>
    </xf>
    <xf numFmtId="0" fontId="0" fillId="0" borderId="0" xfId="0" applyFont="1" applyFill="1" applyBorder="1"/>
    <xf numFmtId="1" fontId="1" fillId="0" borderId="16" xfId="0" applyNumberFormat="1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 wrapText="1"/>
    </xf>
    <xf numFmtId="14" fontId="1" fillId="0" borderId="16" xfId="0" applyNumberFormat="1" applyFont="1" applyFill="1" applyBorder="1" applyAlignment="1">
      <alignment horizontal="center"/>
    </xf>
    <xf numFmtId="49" fontId="1" fillId="0" borderId="16" xfId="0" applyNumberFormat="1" applyFont="1" applyFill="1" applyBorder="1" applyAlignment="1">
      <alignment horizontal="center" wrapText="1"/>
    </xf>
    <xf numFmtId="0" fontId="1" fillId="0" borderId="16" xfId="0" applyFont="1" applyFill="1" applyBorder="1" applyAlignment="1">
      <alignment horizontal="left" wrapText="1"/>
    </xf>
    <xf numFmtId="166" fontId="1" fillId="0" borderId="16" xfId="0" applyNumberFormat="1" applyFont="1" applyFill="1" applyBorder="1" applyAlignment="1">
      <alignment horizontal="center" wrapText="1"/>
    </xf>
    <xf numFmtId="0" fontId="1" fillId="0" borderId="16" xfId="0" applyFont="1" applyFill="1" applyBorder="1" applyAlignment="1">
      <alignment horizontal="center"/>
    </xf>
    <xf numFmtId="14" fontId="1" fillId="0" borderId="16" xfId="0" applyNumberFormat="1" applyFont="1" applyFill="1" applyBorder="1" applyAlignment="1">
      <alignment horizontal="center" wrapText="1"/>
    </xf>
    <xf numFmtId="166" fontId="25" fillId="0" borderId="0" xfId="0" applyNumberFormat="1" applyFont="1" applyFill="1" applyBorder="1"/>
    <xf numFmtId="0" fontId="25" fillId="0" borderId="0" xfId="0" applyFont="1" applyFill="1" applyBorder="1"/>
    <xf numFmtId="1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wrapText="1"/>
    </xf>
    <xf numFmtId="14" fontId="14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left" wrapText="1"/>
    </xf>
    <xf numFmtId="166" fontId="14" fillId="0" borderId="0" xfId="0" applyNumberFormat="1" applyFont="1" applyFill="1" applyBorder="1" applyAlignment="1">
      <alignment horizontal="center" wrapText="1"/>
    </xf>
    <xf numFmtId="14" fontId="14" fillId="0" borderId="0" xfId="0" applyNumberFormat="1" applyFont="1" applyFill="1" applyBorder="1" applyAlignment="1">
      <alignment horizontal="center" wrapText="1"/>
    </xf>
    <xf numFmtId="166" fontId="0" fillId="0" borderId="0" xfId="0" applyNumberFormat="1" applyFont="1" applyFill="1" applyBorder="1"/>
    <xf numFmtId="0" fontId="1" fillId="0" borderId="0" xfId="0" applyFont="1" applyBorder="1" applyAlignment="1">
      <alignment horizontal="left" wrapText="1"/>
    </xf>
    <xf numFmtId="1" fontId="14" fillId="0" borderId="18" xfId="0" applyNumberFormat="1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/>
    </xf>
    <xf numFmtId="0" fontId="14" fillId="0" borderId="18" xfId="0" applyFont="1" applyFill="1" applyBorder="1" applyAlignment="1">
      <alignment horizontal="center" wrapText="1"/>
    </xf>
    <xf numFmtId="14" fontId="14" fillId="0" borderId="18" xfId="0" applyNumberFormat="1" applyFont="1" applyFill="1" applyBorder="1" applyAlignment="1">
      <alignment horizontal="center"/>
    </xf>
    <xf numFmtId="49" fontId="1" fillId="0" borderId="18" xfId="0" applyNumberFormat="1" applyFont="1" applyFill="1" applyBorder="1" applyAlignment="1">
      <alignment horizontal="center" wrapText="1"/>
    </xf>
    <xf numFmtId="0" fontId="14" fillId="0" borderId="18" xfId="0" applyFont="1" applyFill="1" applyBorder="1" applyAlignment="1">
      <alignment horizontal="left" wrapText="1"/>
    </xf>
    <xf numFmtId="0" fontId="1" fillId="0" borderId="18" xfId="0" applyFont="1" applyBorder="1" applyAlignment="1">
      <alignment horizontal="left" wrapText="1"/>
    </xf>
    <xf numFmtId="166" fontId="14" fillId="0" borderId="18" xfId="0" applyNumberFormat="1" applyFont="1" applyFill="1" applyBorder="1" applyAlignment="1">
      <alignment horizontal="center" wrapText="1"/>
    </xf>
    <xf numFmtId="0" fontId="14" fillId="0" borderId="18" xfId="0" applyFont="1" applyFill="1" applyBorder="1" applyAlignment="1">
      <alignment horizontal="center"/>
    </xf>
    <xf numFmtId="14" fontId="14" fillId="0" borderId="18" xfId="0" applyNumberFormat="1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centerContinuous"/>
    </xf>
    <xf numFmtId="0" fontId="10" fillId="0" borderId="0" xfId="0" applyFont="1" applyBorder="1" applyAlignment="1">
      <alignment horizontal="centerContinuous"/>
    </xf>
    <xf numFmtId="166" fontId="12" fillId="0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left" wrapText="1"/>
    </xf>
    <xf numFmtId="1" fontId="0" fillId="0" borderId="0" xfId="0" applyNumberFormat="1" applyFont="1" applyBorder="1"/>
    <xf numFmtId="167" fontId="0" fillId="0" borderId="0" xfId="0" applyNumberFormat="1" applyFont="1" applyBorder="1" applyAlignment="1">
      <alignment horizontal="right" vertical="top"/>
    </xf>
    <xf numFmtId="49" fontId="0" fillId="0" borderId="0" xfId="0" applyNumberFormat="1" applyFont="1" applyBorder="1"/>
    <xf numFmtId="0" fontId="0" fillId="0" borderId="0" xfId="0" applyFont="1" applyBorder="1" applyAlignment="1">
      <alignment horizontal="left" wrapText="1"/>
    </xf>
    <xf numFmtId="0" fontId="0" fillId="0" borderId="0" xfId="0" applyNumberFormat="1" applyFont="1" applyFill="1" applyBorder="1" applyAlignment="1" applyProtection="1"/>
    <xf numFmtId="167" fontId="0" fillId="0" borderId="0" xfId="0" applyNumberFormat="1" applyFont="1" applyBorder="1" applyAlignment="1">
      <alignment horizontal="left" vertical="top"/>
    </xf>
    <xf numFmtId="0" fontId="12" fillId="0" borderId="1" xfId="4" applyFont="1" applyFill="1" applyBorder="1" applyAlignment="1">
      <alignment horizontal="left"/>
    </xf>
    <xf numFmtId="0" fontId="12" fillId="0" borderId="2" xfId="4" applyFont="1" applyFill="1" applyBorder="1" applyAlignment="1">
      <alignment horizontal="left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Normal_Data" xfId="3"/>
  </cellStyles>
  <dxfs count="3628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Continuous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Continuous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Continuous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Continuous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Continuous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Continuous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Continuous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alignment horizontal="general"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  <alignment horizontal="left"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  <alignment horizontal="left"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thin">
          <color indexed="64"/>
        </lef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right style="thin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thin">
          <color rgb="FF000000"/>
        </left>
        <top style="thin">
          <color rgb="FF000000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/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/>
        <bottom style="hair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/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/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right style="thin">
          <color rgb="FF000000"/>
        </right>
        <top style="thin">
          <color rgb="FF000000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right style="thin">
          <color rgb="FF000000"/>
        </right>
        <top style="thin">
          <color rgb="FF000000"/>
        </top>
        <bottom style="thin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/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/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/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/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/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/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right style="thin">
          <color rgb="FF000000"/>
        </right>
        <top style="thin">
          <color rgb="FF000000"/>
        </top>
        <bottom style="thin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right style="hair">
          <color theme="0" tint="-0.499984740745262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right style="thin">
          <color rgb="FF000000"/>
        </right>
        <top style="thin">
          <color rgb="FF000000"/>
        </top>
        <bottom style="thin">
          <color auto="1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2"/>
        <color theme="1"/>
        <name val="Arial"/>
        <scheme val="none"/>
      </font>
      <numFmt numFmtId="5" formatCode="#,##0_);\(#,##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/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</dxf>
    <dxf>
      <border outline="0">
        <left style="thin">
          <color rgb="FF000000"/>
        </left>
        <top style="thin">
          <color rgb="FF000000"/>
        </top>
        <bottom style="thin">
          <color auto="1"/>
        </bottom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2648857</xdr:colOff>
      <xdr:row>5</xdr:row>
      <xdr:rowOff>144133</xdr:rowOff>
    </xdr:from>
    <xdr:to>
      <xdr:col>0</xdr:col>
      <xdr:colOff>5849257</xdr:colOff>
      <xdr:row>21</xdr:row>
      <xdr:rowOff>117120</xdr:rowOff>
    </xdr:to>
    <xdr:pic>
      <xdr:nvPicPr>
        <xdr:cNvPr id="2" name="Picture 1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857" y="2442833"/>
          <a:ext cx="3200400" cy="31225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net\data\Local%20Reimb\Reporting\Mandated%20Reports\Payments\$765M%20Payments%20to%20Locals%20(Pre-2004)\Interest\Interest-2nd%20Payment%20(10.02.2015)%20_%20assigned%20analy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GPSD/Group/Local%20Reimb/Reporting/Mandated%20Reports/Annual%20Reports/AB3000%20Report%20(Oct)/AB3000-2020/Working%20Docs/Angelo/2020-%20Schedule%20A%20&amp;%20A1%20-%20(V5)%20AJ%20Ed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by Program, FY"/>
      <sheetName val="2ND ROUND PYMT"/>
      <sheetName val="Verified Amounts (Analysis)"/>
      <sheetName val="Analysis 3 - HDS, 111, FY200203"/>
      <sheetName val="By Claimant"/>
      <sheetName val="Analysis (2)"/>
      <sheetName val="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A Summary"/>
      <sheetName val="A1 Detail-Locals"/>
      <sheetName val="A1 Detail-Schools "/>
    </sheetNames>
    <sheetDataSet>
      <sheetData sheetId="0"/>
      <sheetData sheetId="1">
        <row r="28">
          <cell r="G28">
            <v>41146995</v>
          </cell>
        </row>
        <row r="67">
          <cell r="G67">
            <v>1894006</v>
          </cell>
        </row>
        <row r="72">
          <cell r="G72">
            <v>54894</v>
          </cell>
        </row>
        <row r="93">
          <cell r="G93">
            <v>15696</v>
          </cell>
        </row>
        <row r="96">
          <cell r="G96">
            <v>1949892</v>
          </cell>
        </row>
        <row r="99">
          <cell r="G99">
            <v>90011</v>
          </cell>
        </row>
      </sheetData>
      <sheetData sheetId="2">
        <row r="35">
          <cell r="G35">
            <v>31000</v>
          </cell>
        </row>
      </sheetData>
    </sheetDataSet>
  </externalBook>
</externalLink>
</file>

<file path=xl/tables/table1.xml><?xml version="1.0" encoding="utf-8"?>
<table xmlns="http://schemas.openxmlformats.org/spreadsheetml/2006/main" id="133" name="localgeneralfund" displayName="localgeneralfund" ref="A2:O7" totalsRowCount="1" totalsRowDxfId="3625" headerRowBorderDxfId="3627" tableBorderDxfId="3626" totalsRowBorderDxfId="3624">
  <autoFilter ref="A2:O6"/>
  <tableColumns count="15">
    <tableColumn id="1" name="Program Category_x000a_ and Fund" totalsRowLabel="Total Local Agencies-General Fund" totalsRowDxfId="119"/>
    <tableColumn id="2" name="Appropriation_x000a_Number" totalsRowLabel="N/A" totalsRowDxfId="118"/>
    <tableColumn id="3" name="Legal_x000a_Reference_x000a_(Ch./Year)" totalsRowLabel="N/A" totalsRowDxfId="117"/>
    <tableColumn id="4" name="Fiscal Year of_x000a_Claims Paid" totalsRowLabel="N/A" totalsRowDxfId="116"/>
    <tableColumn id="5" name="Reversion Date" totalsRowLabel="N/A" totalsRowDxfId="115"/>
    <tableColumn id="6" name="Original_x000a_Appropriation_x000a_Amount" totalsRowFunction="sum" totalsRowDxfId="114"/>
    <tableColumn id="7" name="Appropriation Balances 1" totalsRowFunction="sum" totalsRowDxfId="113"/>
    <tableColumn id="8" name="Comment: As of 08/31/2019, except for the Budget Act of 2020 appropriations as of 07/01/2020." totalsRowLabel="N/A" totalsRowDxfId="112"/>
    <tableColumn id="9" name="Budget Adjustments" totalsRowFunction="sum" totalsRowDxfId="111"/>
    <tableColumn id="10" name="Comment3" totalsRowLabel="N/A" totalsRowDxfId="110"/>
    <tableColumn id="11" name="Add: Receipts_x000a_and Recovered Amounts" totalsRowFunction="sum" totalsRowDxfId="109"/>
    <tableColumn id="12" name="Less: Mandated Program Payments, Offsets, and Interest_x000a_(see Schedule A1)" totalsRowFunction="sum" totalsRowDxfId="108"/>
    <tableColumn id="13" name="Comment2" totalsRowLabel="N/A" dataDxfId="3623" totalsRowDxfId="107" dataCellStyle="Currency"/>
    <tableColumn id="14" name="Less: Appropriations for Reversion" totalsRowFunction="sum" totalsRowDxfId="106" dataCellStyle="Currency"/>
    <tableColumn id="15" name="Appropriation Balances_x000a_as of 8/31/2020" totalsRowFunction="sum" totalsRowDxfId="105" dataCellStyle="Currency">
      <calculatedColumnFormula>G3+I3+K3-L3-N3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: Summary of State-Mandated Program Appropriations, Receipts, and Payments. As of August 31, 2020. For Local Agencies-General Fund."/>
    </ext>
  </extLst>
</table>
</file>

<file path=xl/tables/table10.xml><?xml version="1.0" encoding="utf-8"?>
<table xmlns="http://schemas.openxmlformats.org/spreadsheetml/2006/main" id="12" name="localannualclaim17" displayName="localannualclaim17" ref="A74:I94" totalsRowCount="1" headerRowDxfId="3425" dataDxfId="3423" totalsRowDxfId="3421" headerRowBorderDxfId="3424" tableBorderDxfId="3422" totalsRowBorderDxfId="3420" dataCellStyle="Currency">
  <autoFilter ref="A74:I93"/>
  <tableColumns count="9">
    <tableColumn id="1" name="Program Category_x000a_and Type of Payment" totalsRowLabel="0001-8885-2017-295-98 Total" dataDxfId="3419" totalsRowDxfId="3418"/>
    <tableColumn id="2" name="Fiscal _x000a_Year" totalsRowLabel="N/A" dataDxfId="3417" totalsRowDxfId="3416"/>
    <tableColumn id="3" name="Appropriation _x000a_Number" totalsRowLabel="N/A" dataDxfId="3415" totalsRowDxfId="3414"/>
    <tableColumn id="4" name="Program _x000a_Name" totalsRowLabel="N/A" dataDxfId="3413" totalsRowDxfId="3412" dataCellStyle="Normal_Data"/>
    <tableColumn id="5" name="Legal _x000a_Reference_x000a_(Ch./Year)" totalsRowLabel="N/A" dataDxfId="3411" totalsRowDxfId="3410" dataCellStyle="Normal_Data"/>
    <tableColumn id="6" name="Program_x000a_ Number" totalsRowLabel="N/A" dataDxfId="3409" totalsRowDxfId="3408"/>
    <tableColumn id="7" name="Program _x000a_Payments and Offsets" totalsRowFunction="sum" dataDxfId="3407" totalsRowDxfId="3406" dataCellStyle="Currency"/>
    <tableColumn id="8" name="Interest_x000a_Payments and Offsets" totalsRowFunction="sum" dataDxfId="3405" totalsRowDxfId="3404" dataCellStyle="Currency"/>
    <tableColumn id="9" name="Total _x000a_Payments" totalsRowFunction="sum" dataDxfId="3403" totalsRowDxfId="3402" dataCellStyle="Currency">
      <calculatedColumnFormula>G75+H75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1: Detail of State-Mandated Program Payments by Fiscal Year. As of August 31, 2020. Local Agencies-Annual Claim."/>
    </ext>
  </extLst>
</table>
</file>

<file path=xl/tables/table100.xml><?xml version="1.0" encoding="utf-8"?>
<table xmlns="http://schemas.openxmlformats.org/spreadsheetml/2006/main" id="93" name="college200001" displayName="college200001" ref="A133:L135" totalsRowCount="1" headerRowDxfId="917" dataDxfId="915" totalsRowDxfId="913" headerRowBorderDxfId="916" tableBorderDxfId="914" totalsRowBorderDxfId="912" headerRowCellStyle="Currency">
  <autoFilter ref="A133:L134"/>
  <tableColumns count="12">
    <tableColumn id="1" name="Fiscal_x000a_Year" totalsRowLabel="2000-01 Total" dataDxfId="911" totalsRowDxfId="910"/>
    <tableColumn id="2" name="Program_x000a_Name" totalsRowLabel="N/A" dataDxfId="909" totalsRowDxfId="908"/>
    <tableColumn id="3" name="Legal_x000a_Reference_x000a_(Ch./Year)" totalsRowLabel="N/A" dataDxfId="907" totalsRowDxfId="906"/>
    <tableColumn id="4" name="Program Number" totalsRowLabel="N/A" dataDxfId="905" totalsRowDxfId="904"/>
    <tableColumn id="5" name="Program_x000a_Costs" totalsRowFunction="sum" dataDxfId="903" totalsRowDxfId="902"/>
    <tableColumn id="6" name="Less: Net Payments and Offsets 11" totalsRowFunction="sum" dataDxfId="901" totalsRowDxfId="900"/>
    <tableColumn id="7" name="Comment" totalsRowLabel="N/A" dataDxfId="899" totalsRowDxfId="898"/>
    <tableColumn id="8" name="Accounts Payable_x000a_Balance" totalsRowFunction="sum" dataDxfId="897" totalsRowDxfId="896"/>
    <tableColumn id="9" name="Established_x000a_Accounts Receivable" totalsRowFunction="sum" dataDxfId="895" totalsRowDxfId="894"/>
    <tableColumn id="10" name="Less: Recovered Amount" totalsRowFunction="sum" dataDxfId="893" totalsRowDxfId="892"/>
    <tableColumn id="11" name="Accounts Receivable_x000a_Balance" totalsRowFunction="sum" dataDxfId="891" totalsRowDxfId="890"/>
    <tableColumn id="12" name="Net_x000a_Balance" totalsRowFunction="sum" dataDxfId="889" totalsRowDxfId="88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101.xml><?xml version="1.0" encoding="utf-8"?>
<table xmlns="http://schemas.openxmlformats.org/spreadsheetml/2006/main" id="94" name="college199900" displayName="college199900" ref="A137:L139" totalsRowCount="1" headerRowDxfId="887" dataDxfId="885" totalsRowDxfId="883" headerRowBorderDxfId="886" tableBorderDxfId="884" totalsRowBorderDxfId="882" headerRowCellStyle="Currency">
  <autoFilter ref="A137:L138"/>
  <tableColumns count="12">
    <tableColumn id="1" name="Fiscal_x000a_Year" totalsRowLabel="1999-00 Total" dataDxfId="881" totalsRowDxfId="880"/>
    <tableColumn id="2" name="Program_x000a_Name" totalsRowLabel="N/A" dataDxfId="879" totalsRowDxfId="878"/>
    <tableColumn id="3" name="Legal_x000a_Reference_x000a_(Ch./Year)" totalsRowLabel="N/A" dataDxfId="877" totalsRowDxfId="876"/>
    <tableColumn id="4" name="Program Number" totalsRowLabel="N/A" dataDxfId="875" totalsRowDxfId="874"/>
    <tableColumn id="5" name="Program_x000a_Costs" totalsRowFunction="sum" dataDxfId="873" totalsRowDxfId="872"/>
    <tableColumn id="6" name="Less: Net Payments and Offsets 11" totalsRowFunction="sum" dataDxfId="871" totalsRowDxfId="870"/>
    <tableColumn id="7" name="Comment" totalsRowLabel="N/A" dataDxfId="869" totalsRowDxfId="868"/>
    <tableColumn id="8" name="Accounts Payable_x000a_Balance" totalsRowFunction="sum" dataDxfId="867" totalsRowDxfId="866"/>
    <tableColumn id="9" name="Established_x000a_Accounts Receivable" totalsRowFunction="sum" dataDxfId="865" totalsRowDxfId="864"/>
    <tableColumn id="10" name="Less: Recovered Amount" totalsRowFunction="sum" dataDxfId="863" totalsRowDxfId="862"/>
    <tableColumn id="11" name="Accounts Receivable_x000a_Balance" totalsRowFunction="sum" dataDxfId="861" totalsRowDxfId="860"/>
    <tableColumn id="12" name="Net_x000a_Balance" totalsRowFunction="sum" dataDxfId="859" totalsRowDxfId="85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102.xml><?xml version="1.0" encoding="utf-8"?>
<table xmlns="http://schemas.openxmlformats.org/spreadsheetml/2006/main" id="95" name="college199899" displayName="college199899" ref="A141:L143" totalsRowCount="1" headerRowDxfId="857" dataDxfId="855" totalsRowDxfId="853" headerRowBorderDxfId="856" tableBorderDxfId="854" totalsRowBorderDxfId="852" headerRowCellStyle="Currency">
  <autoFilter ref="A141:L142"/>
  <tableColumns count="12">
    <tableColumn id="1" name="Fiscal_x000a_Year" totalsRowLabel="1998-99 Total" dataDxfId="851" totalsRowDxfId="850"/>
    <tableColumn id="2" name="Program_x000a_Name" totalsRowLabel="N/A" dataDxfId="849" totalsRowDxfId="848"/>
    <tableColumn id="3" name="Legal_x000a_Reference_x000a_(Ch./Year)" totalsRowLabel="N/A" dataDxfId="847" totalsRowDxfId="846"/>
    <tableColumn id="4" name="Program Number" totalsRowLabel="N/A" dataDxfId="845" totalsRowDxfId="844"/>
    <tableColumn id="5" name="Program_x000a_Costs" totalsRowFunction="sum" dataDxfId="843" totalsRowDxfId="842"/>
    <tableColumn id="6" name="Less: Net Payments and Offsets 11" totalsRowFunction="sum" dataDxfId="841" totalsRowDxfId="840"/>
    <tableColumn id="7" name="Comment" totalsRowLabel="N/A" dataDxfId="839" totalsRowDxfId="838"/>
    <tableColumn id="8" name="Accounts Payable_x000a_Balance" totalsRowFunction="sum" dataDxfId="837" totalsRowDxfId="836"/>
    <tableColumn id="9" name="Established_x000a_Accounts Receivable" totalsRowFunction="sum" dataDxfId="835" totalsRowDxfId="834"/>
    <tableColumn id="10" name="Less: Recovered Amount" totalsRowFunction="sum" dataDxfId="833" totalsRowDxfId="832"/>
    <tableColumn id="11" name="Accounts Receivable_x000a_Balance" totalsRowFunction="sum" dataDxfId="831" totalsRowDxfId="830"/>
    <tableColumn id="12" name="Net_x000a_Balance" totalsRowFunction="sum" dataDxfId="829" totalsRowDxfId="82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103.xml><?xml version="1.0" encoding="utf-8"?>
<table xmlns="http://schemas.openxmlformats.org/spreadsheetml/2006/main" id="96" name="collegegrandtotal" displayName="collegegrandtotal" ref="A145:L162" totalsRowCount="1" headerRowDxfId="827" dataDxfId="825" totalsRowDxfId="823" headerRowBorderDxfId="826" tableBorderDxfId="824" totalsRowBorderDxfId="822" headerRowCellStyle="Currency" dataCellStyle="Currency">
  <autoFilter ref="A145:L161"/>
  <tableColumns count="12">
    <tableColumn id="1" name="Fiscal_x000a_Year" totalsRowLabel="Total Community College Districts" dataDxfId="821" totalsRowDxfId="820"/>
    <tableColumn id="2" name="Program_x000a_Name" totalsRowLabel="N/A" dataDxfId="819" totalsRowDxfId="818"/>
    <tableColumn id="3" name="Legal_x000a_Reference_x000a_(Ch./Year)" totalsRowLabel="N/A" dataDxfId="817" totalsRowDxfId="816"/>
    <tableColumn id="4" name="Program Number" totalsRowLabel="N/A" dataDxfId="815" totalsRowDxfId="814"/>
    <tableColumn id="5" name="Program_x000a_Costs" totalsRowFunction="sum" dataDxfId="813" totalsRowDxfId="812" dataCellStyle="Currency"/>
    <tableColumn id="6" name="Less: Net Payments and Offsets 11" totalsRowFunction="sum" dataDxfId="811" totalsRowDxfId="810" dataCellStyle="Currency"/>
    <tableColumn id="7" name="Comment" totalsRowLabel="N/A" dataDxfId="809" totalsRowDxfId="808" dataCellStyle="Currency"/>
    <tableColumn id="8" name="Accounts Payable_x000a_Balance" totalsRowFunction="sum" dataDxfId="807" totalsRowDxfId="806" dataCellStyle="Currency"/>
    <tableColumn id="9" name="Established_x000a_Accounts Receivable" totalsRowFunction="sum" dataDxfId="805" totalsRowDxfId="804" dataCellStyle="Currency"/>
    <tableColumn id="10" name="Less: Recovered Amount" totalsRowFunction="sum" dataDxfId="803" totalsRowDxfId="802" dataCellStyle="Currency"/>
    <tableColumn id="11" name="Accounts Receivable_x000a_Balance" totalsRowFunction="sum" dataDxfId="801" totalsRowDxfId="800" dataCellStyle="Currency"/>
    <tableColumn id="12" name="Net_x000a_Balance" totalsRowFunction="sum" dataDxfId="799" totalsRowDxfId="798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 grand totals."/>
    </ext>
  </extLst>
</table>
</file>

<file path=xl/tables/table104.xml><?xml version="1.0" encoding="utf-8"?>
<table xmlns="http://schemas.openxmlformats.org/spreadsheetml/2006/main" id="97" name="totalfunded" displayName="totalfunded" ref="A164:L168" totalsRowCount="1" headerRowDxfId="797" totalsRowDxfId="794" headerRowBorderDxfId="796" tableBorderDxfId="795" totalsRowBorderDxfId="793" headerRowCellStyle="Currency">
  <autoFilter ref="A164:L167"/>
  <tableColumns count="12">
    <tableColumn id="1" name="Fiscal_x000a_Year" totalsRowLabel="Total Funded Mandates" dataDxfId="792" totalsRowDxfId="791"/>
    <tableColumn id="2" name="Program_x000a_Name" totalsRowLabel="N/A" dataDxfId="790" totalsRowDxfId="789"/>
    <tableColumn id="3" name="Legal_x000a_Reference_x000a_(Ch./Year)" totalsRowLabel="N/A" dataDxfId="788" totalsRowDxfId="787"/>
    <tableColumn id="4" name="Program Number" totalsRowLabel="N/A" dataDxfId="786" totalsRowDxfId="785"/>
    <tableColumn id="5" name="Program_x000a_Costs" totalsRowFunction="sum" totalsRowDxfId="784"/>
    <tableColumn id="6" name="Less: Net Payments and Offsets" totalsRowFunction="sum" totalsRowDxfId="783"/>
    <tableColumn id="7" name="N/A" totalsRowLabel="N/A" totalsRowDxfId="782"/>
    <tableColumn id="8" name="Accounts Payable_x000a_Balance" totalsRowFunction="sum" totalsRowDxfId="781"/>
    <tableColumn id="9" name="Established_x000a_Accounts Receivable" totalsRowFunction="sum" totalsRowDxfId="780"/>
    <tableColumn id="10" name="Less: Recovered Amount" totalsRowFunction="sum" totalsRowDxfId="779"/>
    <tableColumn id="11" name="Accounts Receivable_x000a_Balance" totalsRowFunction="sum" totalsRowDxfId="778"/>
    <tableColumn id="12" name="Net_x000a_Balance" totalsRowFunction="sum" totalsRowDxfId="77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Total funded mandates."/>
    </ext>
  </extLst>
</table>
</file>

<file path=xl/tables/table105.xml><?xml version="1.0" encoding="utf-8"?>
<table xmlns="http://schemas.openxmlformats.org/spreadsheetml/2006/main" id="98" name="local288" displayName="local288" ref="A2:K5" totalsRowCount="1" headerRowDxfId="776" dataDxfId="774" totalsRowDxfId="772" headerRowBorderDxfId="775" tableBorderDxfId="773" totalsRowBorderDxfId="771" headerRowCellStyle="Currency">
  <autoFilter ref="A2:K4"/>
  <tableColumns count="11">
    <tableColumn id="1" name="Program_x000a_Name" totalsRowLabel="California Fire Incident Reporting System (CFIRS) Total" dataDxfId="770" totalsRowDxfId="769"/>
    <tableColumn id="2" name="Legal_x000a_Reference_x000a_(Ch./Year)" totalsRowLabel="N/A" dataDxfId="768" totalsRowDxfId="767"/>
    <tableColumn id="3" name="Program Number" totalsRowLabel="N/A" dataDxfId="766" totalsRowDxfId="765"/>
    <tableColumn id="4" name="Fiscal_x000a_Year" totalsRowLabel="N/A" dataDxfId="764" totalsRowDxfId="763"/>
    <tableColumn id="5" name="Program_x000a_Costs" totalsRowFunction="sum" dataDxfId="762" totalsRowDxfId="761"/>
    <tableColumn id="6" name="Less: Net Payments and Offsets" totalsRowFunction="sum" dataDxfId="760" totalsRowDxfId="759"/>
    <tableColumn id="7" name="Accounts Payable_x000a_Balance" totalsRowFunction="sum" dataDxfId="758" totalsRowDxfId="757"/>
    <tableColumn id="8" name="Established_x000a_Accounts Receivable" totalsRowFunction="sum" dataDxfId="756" totalsRowDxfId="755"/>
    <tableColumn id="9" name="Less: Recovered Amount" totalsRowFunction="sum" dataDxfId="754" totalsRowDxfId="753"/>
    <tableColumn id="10" name="Accounts Receivable_x000a_Balance" totalsRowFunction="sum" dataDxfId="752" totalsRowDxfId="751"/>
    <tableColumn id="11" name="Net_x000a_Balance" totalsRowFunction="sum" dataDxfId="750" totalsRowDxfId="74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06.xml><?xml version="1.0" encoding="utf-8"?>
<table xmlns="http://schemas.openxmlformats.org/spreadsheetml/2006/main" id="99" name="local310" displayName="local310" ref="A7:K19" totalsRowCount="1" headerRowDxfId="748" dataDxfId="746" totalsRowDxfId="744" headerRowBorderDxfId="747" tableBorderDxfId="745" totalsRowBorderDxfId="743" headerRowCellStyle="Currency">
  <autoFilter ref="A7:K18"/>
  <tableColumns count="11">
    <tableColumn id="1" name="Program_x000a_Name" totalsRowLabel="Crime Statistics Reports for the Department of Justice Total" dataDxfId="742" totalsRowDxfId="741"/>
    <tableColumn id="2" name="Legal_x000a_Reference_x000a_(Ch./Year)" totalsRowLabel="N/A" dataDxfId="740" totalsRowDxfId="739"/>
    <tableColumn id="3" name="Program Number" totalsRowLabel="N/A" dataDxfId="738" totalsRowDxfId="737"/>
    <tableColumn id="4" name="Fiscal_x000a_Year" totalsRowLabel="N/A" dataDxfId="736" totalsRowDxfId="735"/>
    <tableColumn id="5" name="Program_x000a_Costs" totalsRowFunction="sum" dataDxfId="734" totalsRowDxfId="733"/>
    <tableColumn id="6" name="Less: Net Payments and Offsets" totalsRowFunction="sum" dataDxfId="732" totalsRowDxfId="731"/>
    <tableColumn id="7" name="Accounts Payable_x000a_Balance" totalsRowFunction="sum" dataDxfId="730" totalsRowDxfId="729"/>
    <tableColumn id="8" name="Established_x000a_Accounts Receivable" totalsRowFunction="sum" dataDxfId="728" totalsRowDxfId="727"/>
    <tableColumn id="9" name="Less: Recovered Amount" totalsRowFunction="sum" dataDxfId="726" totalsRowDxfId="725"/>
    <tableColumn id="10" name="Accounts Receivable_x000a_Balance" totalsRowFunction="sum" dataDxfId="724" totalsRowDxfId="723"/>
    <tableColumn id="11" name="Net_x000a_Balance" totalsRowFunction="sum" dataDxfId="722" totalsRowDxfId="72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07.xml><?xml version="1.0" encoding="utf-8"?>
<table xmlns="http://schemas.openxmlformats.org/spreadsheetml/2006/main" id="100" name="locals306" displayName="locals306" ref="A21:K32" totalsRowCount="1" headerRowDxfId="720" dataDxfId="718" totalsRowDxfId="716" headerRowBorderDxfId="719" tableBorderDxfId="717" totalsRowBorderDxfId="715" headerRowCellStyle="Currency">
  <autoFilter ref="A21:K31"/>
  <tableColumns count="11">
    <tableColumn id="1" name="Program_x000a_Name" totalsRowLabel="Crime Victims' Domestic Violence Incident Reports II Total" dataDxfId="714" totalsRowDxfId="713"/>
    <tableColumn id="2" name="Legal_x000a_Reference_x000a_(Ch./Year)" totalsRowLabel="N/A" dataDxfId="712" totalsRowDxfId="711"/>
    <tableColumn id="3" name="Program Number" totalsRowLabel="N/A" dataDxfId="710" totalsRowDxfId="709"/>
    <tableColumn id="4" name="Fiscal_x000a_Year" totalsRowLabel="N/A" dataDxfId="708" totalsRowDxfId="707"/>
    <tableColumn id="5" name="Program_x000a_Costs" totalsRowFunction="sum" dataDxfId="706" totalsRowDxfId="705"/>
    <tableColumn id="6" name="Less: Net Payments and Offsets" totalsRowFunction="sum" dataDxfId="704" totalsRowDxfId="703"/>
    <tableColumn id="7" name="Accounts Payable_x000a_Balance" totalsRowFunction="sum" dataDxfId="702" totalsRowDxfId="701"/>
    <tableColumn id="8" name="Established_x000a_Accounts Receivable" totalsRowFunction="sum" dataDxfId="700" totalsRowDxfId="699"/>
    <tableColumn id="9" name="Less: Recovered Amount" totalsRowFunction="sum" dataDxfId="698" totalsRowDxfId="697"/>
    <tableColumn id="10" name="Accounts Receivable_x000a_Balance" totalsRowFunction="sum" dataDxfId="696" totalsRowDxfId="695"/>
    <tableColumn id="11" name="Net_x000a_Balance" totalsRowFunction="sum" dataDxfId="694" totalsRowDxfId="69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08.xml><?xml version="1.0" encoding="utf-8"?>
<table xmlns="http://schemas.openxmlformats.org/spreadsheetml/2006/main" id="101" name="locals322" displayName="locals322" ref="A34:K47" totalsRowCount="1" headerRowDxfId="692" dataDxfId="690" totalsRowDxfId="688" headerRowBorderDxfId="691" tableBorderDxfId="689" totalsRowBorderDxfId="687" headerRowCellStyle="Currency">
  <autoFilter ref="A34:K46"/>
  <tableColumns count="11">
    <tableColumn id="1" name="Program_x000a_Name" totalsRowLabel="Domestic Violence Background Checks Total" dataDxfId="686" totalsRowDxfId="685"/>
    <tableColumn id="2" name="Legal_x000a_Reference_x000a_(Ch./Year)" totalsRowLabel="N/A" dataDxfId="684" totalsRowDxfId="683"/>
    <tableColumn id="3" name="Program Number" totalsRowLabel="N/A" dataDxfId="682" totalsRowDxfId="681"/>
    <tableColumn id="4" name="Fiscal_x000a_Year" totalsRowLabel="N/A" dataDxfId="680" totalsRowDxfId="679"/>
    <tableColumn id="5" name="Program_x000a_Costs" totalsRowFunction="sum" dataDxfId="678" totalsRowDxfId="677"/>
    <tableColumn id="6" name="Less: Net Payments and Offsets" totalsRowFunction="sum" dataDxfId="676" totalsRowDxfId="675"/>
    <tableColumn id="7" name="Accounts Payable_x000a_Balance" totalsRowFunction="sum" dataDxfId="674" totalsRowDxfId="673"/>
    <tableColumn id="8" name="Established_x000a_Accounts Receivable" totalsRowFunction="sum" dataDxfId="672" totalsRowDxfId="671"/>
    <tableColumn id="9" name="Less: Recovered Amount" totalsRowFunction="sum" dataDxfId="670" totalsRowDxfId="669"/>
    <tableColumn id="10" name="Accounts Receivable_x000a_Balance" totalsRowFunction="sum" dataDxfId="668" totalsRowDxfId="667"/>
    <tableColumn id="11" name="Net_x000a_Balance" totalsRowFunction="sum" dataDxfId="666" totalsRowDxfId="66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09.xml><?xml version="1.0" encoding="utf-8"?>
<table xmlns="http://schemas.openxmlformats.org/spreadsheetml/2006/main" id="102" name="locals293" displayName="locals293" ref="A49:K60" totalsRowCount="1" headerRowDxfId="664" dataDxfId="662" totalsRowDxfId="660" headerRowBorderDxfId="663" tableBorderDxfId="661" totalsRowBorderDxfId="659" headerRowCellStyle="Currency">
  <autoFilter ref="A49:K59"/>
  <tableColumns count="11">
    <tableColumn id="1" name="Program_x000a_Name" totalsRowLabel="Firearm Hearings for Discharged Inpatients Total" dataDxfId="658" totalsRowDxfId="657"/>
    <tableColumn id="2" name="Legal_x000a_Reference_x000a_(Ch./Year)" totalsRowLabel="N/A" dataDxfId="656" totalsRowDxfId="655"/>
    <tableColumn id="3" name="Program Number" totalsRowLabel="N/A" dataDxfId="654" totalsRowDxfId="653"/>
    <tableColumn id="4" name="Fiscal_x000a_Year" totalsRowLabel="N/A" dataDxfId="652" totalsRowDxfId="651"/>
    <tableColumn id="5" name="Program_x000a_Costs" totalsRowFunction="sum" dataDxfId="650" totalsRowDxfId="649"/>
    <tableColumn id="6" name="Less: Net Payments and Offsets" totalsRowFunction="sum" dataDxfId="648" totalsRowDxfId="647"/>
    <tableColumn id="7" name="Accounts Payable_x000a_Balance" totalsRowFunction="sum" dataDxfId="646" totalsRowDxfId="645"/>
    <tableColumn id="8" name="Established_x000a_Accounts Receivable" totalsRowFunction="sum" dataDxfId="644" totalsRowDxfId="643"/>
    <tableColumn id="9" name="Less: Recovered Amount" totalsRowFunction="sum" dataDxfId="642" totalsRowDxfId="641"/>
    <tableColumn id="10" name="Accounts Receivable_x000a_Balance" totalsRowFunction="sum" dataDxfId="640" totalsRowDxfId="639"/>
    <tableColumn id="11" name="Net_x000a_Balance" totalsRowFunction="sum" dataDxfId="638" totalsRowDxfId="63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1.xml><?xml version="1.0" encoding="utf-8"?>
<table xmlns="http://schemas.openxmlformats.org/spreadsheetml/2006/main" id="13" name="localmotor20" displayName="localmotor20" ref="A96:I98" totalsRowCount="1" headerRowDxfId="3401" dataDxfId="3399" totalsRowDxfId="3397" headerRowBorderDxfId="3400" tableBorderDxfId="3398" totalsRowBorderDxfId="3396" dataCellStyle="Currency">
  <autoFilter ref="A96:I97"/>
  <tableColumns count="9">
    <tableColumn id="1" name="Program Category_x000a_and Type of Payment" totalsRowLabel="0044-8885-2020-295-98 Total" dataDxfId="3395" totalsRowDxfId="3394"/>
    <tableColumn id="2" name="Fiscal _x000a_Year" totalsRowLabel="N/A" dataDxfId="3393" totalsRowDxfId="3392"/>
    <tableColumn id="3" name="Appropriation _x000a_Number" totalsRowLabel="N/A" dataDxfId="3391" totalsRowDxfId="3390"/>
    <tableColumn id="4" name="Program _x000a_Name" totalsRowLabel="N/A" dataDxfId="3389" totalsRowDxfId="3388"/>
    <tableColumn id="5" name="Legal _x000a_Reference_x000a_(Ch./Year)" totalsRowLabel="N/A" dataDxfId="3387" totalsRowDxfId="3386"/>
    <tableColumn id="6" name="Program_x000a_ Number" totalsRowLabel="N/A" dataDxfId="3385" totalsRowDxfId="3384"/>
    <tableColumn id="7" name="Program _x000a_Payments and Offsets" totalsRowFunction="sum" dataDxfId="3383" totalsRowDxfId="3382" dataCellStyle="Currency"/>
    <tableColumn id="8" name="Interest_x000a_Payments and Offsets" totalsRowFunction="sum" dataDxfId="3381" totalsRowDxfId="3380" dataCellStyle="Currency"/>
    <tableColumn id="9" name="Total _x000a_Payments" totalsRowFunction="sum" dataDxfId="3379" totalsRowDxfId="3378" dataCellStyle="Currency">
      <calculatedColumnFormula>G97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1: Detail of State-Mandated Program Payments by Fiscal Year. As of August 31, 2020. Local Agencies-Motor Vehicle."/>
    </ext>
  </extLst>
</table>
</file>

<file path=xl/tables/table110.xml><?xml version="1.0" encoding="utf-8"?>
<table xmlns="http://schemas.openxmlformats.org/spreadsheetml/2006/main" id="103" name="locals321" displayName="locals321" ref="A62:K74" totalsRowCount="1" headerRowDxfId="636" dataDxfId="634" totalsRowDxfId="632" headerRowBorderDxfId="635" tableBorderDxfId="633" totalsRowBorderDxfId="631" headerRowCellStyle="Currency">
  <autoFilter ref="A62:K73"/>
  <tableColumns count="11">
    <tableColumn id="1" name="Program_x000a_Name" totalsRowLabel="Identity Theft Total" dataDxfId="630" totalsRowDxfId="629"/>
    <tableColumn id="2" name="Legal_x000a_Reference_x000a_(Ch./Year)" totalsRowLabel="N/A" dataDxfId="628" totalsRowDxfId="627"/>
    <tableColumn id="3" name="Program Number" totalsRowLabel="N/A" dataDxfId="626" totalsRowDxfId="625"/>
    <tableColumn id="4" name="Fiscal_x000a_Year" totalsRowLabel="N/A" dataDxfId="624" totalsRowDxfId="623"/>
    <tableColumn id="5" name="Program_x000a_Costs" totalsRowFunction="sum" dataDxfId="622" totalsRowDxfId="621"/>
    <tableColumn id="6" name="Less: Net Payments and Offsets" totalsRowFunction="sum" dataDxfId="620" totalsRowDxfId="619"/>
    <tableColumn id="7" name="Accounts Payable_x000a_Balance" totalsRowFunction="sum" dataDxfId="618" totalsRowDxfId="617"/>
    <tableColumn id="8" name="Established_x000a_Accounts Receivable" totalsRowFunction="sum" dataDxfId="616" totalsRowDxfId="615"/>
    <tableColumn id="9" name="Less: Recovered Amount" totalsRowFunction="sum" dataDxfId="614" totalsRowDxfId="613"/>
    <tableColumn id="10" name="Accounts Receivable_x000a_Balance" totalsRowFunction="sum" dataDxfId="612" totalsRowDxfId="611"/>
    <tableColumn id="11" name="Net_x000a_Balance" totalsRowFunction="sum" dataDxfId="610" totalsRowDxfId="60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11.xml><?xml version="1.0" encoding="utf-8"?>
<table xmlns="http://schemas.openxmlformats.org/spreadsheetml/2006/main" id="104" name="locals358" displayName="locals358" ref="A76:K93" totalsRowCount="1" headerRowDxfId="608" dataDxfId="606" totalsRowDxfId="604" headerRowBorderDxfId="607" tableBorderDxfId="605" totalsRowBorderDxfId="603" headerRowCellStyle="Currency">
  <autoFilter ref="A76:K92"/>
  <tableColumns count="11">
    <tableColumn id="1" name="Program_x000a_Name" totalsRowLabel="Interagency Child Abuse and Neglect Investigation Reports Total" dataDxfId="602" totalsRowDxfId="601"/>
    <tableColumn id="2" name="Legal_x000a_Reference_x000a_(Ch./Year)" totalsRowLabel="N/A" dataDxfId="600" totalsRowDxfId="599"/>
    <tableColumn id="3" name="Program Number" totalsRowLabel="N/A" dataDxfId="598" totalsRowDxfId="597"/>
    <tableColumn id="4" name="Fiscal_x000a_Year" totalsRowLabel="N/A" dataDxfId="596" totalsRowDxfId="595"/>
    <tableColumn id="5" name="Program_x000a_Costs" totalsRowFunction="sum" dataDxfId="594" totalsRowDxfId="593"/>
    <tableColumn id="6" name="Less: Net Payments and Offsets" totalsRowFunction="sum" dataDxfId="592" totalsRowDxfId="591"/>
    <tableColumn id="7" name="Accounts Payable_x000a_Balance" totalsRowFunction="sum" dataDxfId="590" totalsRowDxfId="589"/>
    <tableColumn id="8" name="Established_x000a_Accounts Receivable" totalsRowFunction="sum" dataDxfId="588" totalsRowDxfId="587"/>
    <tableColumn id="9" name="Less: Recovered Amount" totalsRowFunction="sum" dataDxfId="586" totalsRowDxfId="585"/>
    <tableColumn id="10" name="Accounts Receivable_x000a_Balance" totalsRowFunction="sum" dataDxfId="584" totalsRowDxfId="583"/>
    <tableColumn id="11" name="Net_x000a_Balance" totalsRowFunction="sum" dataDxfId="582" totalsRowDxfId="58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12.xml><?xml version="1.0" encoding="utf-8"?>
<table xmlns="http://schemas.openxmlformats.org/spreadsheetml/2006/main" id="105" name="locals259" displayName="locals259" ref="A95:K98" totalsRowCount="1" headerRowDxfId="580" dataDxfId="578" totalsRowDxfId="576" headerRowBorderDxfId="579" tableBorderDxfId="577" totalsRowBorderDxfId="575" headerRowCellStyle="Currency">
  <autoFilter ref="A95:K97"/>
  <tableColumns count="11">
    <tableColumn id="1" name="Program_x000a_Name" totalsRowLabel="Local Elections: Consolidation Total" dataDxfId="574" totalsRowDxfId="573"/>
    <tableColumn id="2" name="Legal_x000a_Reference_x000a_(Ch./Year)" totalsRowLabel="N/A" dataDxfId="572" totalsRowDxfId="571"/>
    <tableColumn id="3" name="Program Number" totalsRowLabel="N/A" dataDxfId="570" totalsRowDxfId="569"/>
    <tableColumn id="4" name="Fiscal_x000a_Year" totalsRowLabel="N/A" dataDxfId="568" totalsRowDxfId="567"/>
    <tableColumn id="5" name="Program_x000a_Costs" totalsRowFunction="sum" dataDxfId="566" totalsRowDxfId="565"/>
    <tableColumn id="6" name="Less: Net Payments and Offsets" totalsRowFunction="sum" dataDxfId="564" totalsRowDxfId="563"/>
    <tableColumn id="7" name="Accounts Payable_x000a_Balance" totalsRowFunction="sum" dataDxfId="562" totalsRowDxfId="561"/>
    <tableColumn id="8" name="Established_x000a_Accounts Receivable" totalsRowFunction="sum" dataDxfId="560" totalsRowDxfId="559"/>
    <tableColumn id="9" name="Less: Recovered Amount" totalsRowFunction="sum" dataDxfId="558" totalsRowDxfId="557"/>
    <tableColumn id="10" name="Accounts Receivable_x000a_Balance" totalsRowFunction="sum" dataDxfId="556" totalsRowDxfId="555"/>
    <tableColumn id="11" name="Net_x000a_Balance" totalsRowFunction="sum" dataDxfId="554" totalsRowDxfId="55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13.xml><?xml version="1.0" encoding="utf-8"?>
<table xmlns="http://schemas.openxmlformats.org/spreadsheetml/2006/main" id="107" name="locals298" displayName="locals298" ref="A100:K119" totalsRowCount="1" headerRowDxfId="552" dataDxfId="550" totalsRowDxfId="548" headerRowBorderDxfId="551" tableBorderDxfId="549" totalsRowBorderDxfId="547" headerRowCellStyle="Currency">
  <autoFilter ref="A100:K118"/>
  <tableColumns count="11">
    <tableColumn id="1" name="Program_x000a_Name" totalsRowLabel="Local Government Employee Relations Total" dataDxfId="546" totalsRowDxfId="545"/>
    <tableColumn id="2" name="Legal_x000a_Reference_x000a_(Ch./Year)" totalsRowLabel="N/A" dataDxfId="544" totalsRowDxfId="543"/>
    <tableColumn id="3" name="Program Number" totalsRowLabel="N/A" dataDxfId="542" totalsRowDxfId="541"/>
    <tableColumn id="4" name="Fiscal_x000a_Year" totalsRowLabel="N/A" dataDxfId="540" totalsRowDxfId="539"/>
    <tableColumn id="5" name="Program_x000a_Costs" totalsRowFunction="sum" dataDxfId="538" totalsRowDxfId="537"/>
    <tableColumn id="6" name="Less: Net Payments and Offsets" totalsRowFunction="sum" dataDxfId="536" totalsRowDxfId="535"/>
    <tableColumn id="7" name="Accounts Payable_x000a_Balance" totalsRowFunction="sum" dataDxfId="534" totalsRowDxfId="533"/>
    <tableColumn id="8" name="Established_x000a_Accounts Receivable" totalsRowFunction="sum" dataDxfId="532" totalsRowDxfId="531"/>
    <tableColumn id="9" name="Less: Recovered Amount" totalsRowFunction="sum" dataDxfId="530" totalsRowDxfId="529"/>
    <tableColumn id="10" name="Accounts Receivable_x000a_Balance" totalsRowFunction="sum" dataDxfId="528" totalsRowDxfId="527"/>
    <tableColumn id="11" name="Net_x000a_Balance" totalsRowFunction="sum" dataDxfId="526" totalsRowDxfId="52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14.xml><?xml version="1.0" encoding="utf-8"?>
<table xmlns="http://schemas.openxmlformats.org/spreadsheetml/2006/main" id="108" name="locals281" displayName="locals281" ref="A121:K132" totalsRowCount="1" headerRowDxfId="524" dataDxfId="522" totalsRowDxfId="520" headerRowBorderDxfId="523" tableBorderDxfId="521" totalsRowBorderDxfId="519" headerRowCellStyle="Currency">
  <autoFilter ref="A121:K131"/>
  <tableColumns count="11">
    <tableColumn id="1" name="Program_x000a_Name" totalsRowLabel="Mentally Disordered Offenders: Treatment as a Condition of Parole Total" dataDxfId="518" totalsRowDxfId="517"/>
    <tableColumn id="2" name="Legal_x000a_Reference_x000a_(Ch./Year)" totalsRowLabel="N/A" dataDxfId="516" totalsRowDxfId="515"/>
    <tableColumn id="3" name="Program Number" totalsRowLabel="N/A" dataDxfId="514" totalsRowDxfId="513"/>
    <tableColumn id="4" name="Fiscal_x000a_Year" totalsRowLabel="N/A" dataDxfId="512" totalsRowDxfId="511"/>
    <tableColumn id="5" name="Program_x000a_Costs" totalsRowFunction="sum" dataDxfId="510" totalsRowDxfId="509"/>
    <tableColumn id="6" name="Less: Net Payments and Offsets" totalsRowFunction="sum" dataDxfId="508" totalsRowDxfId="507"/>
    <tableColumn id="7" name="Accounts Payable_x000a_Balance" totalsRowFunction="sum" dataDxfId="506" totalsRowDxfId="505"/>
    <tableColumn id="8" name="Established_x000a_Accounts Receivable" totalsRowFunction="sum" dataDxfId="504" totalsRowDxfId="503"/>
    <tableColumn id="9" name="Less: Recovered Amount" totalsRowFunction="sum" dataDxfId="502" totalsRowDxfId="501"/>
    <tableColumn id="10" name="Accounts Receivable_x000a_Balance" totalsRowFunction="sum" dataDxfId="500" totalsRowDxfId="499"/>
    <tableColumn id="11" name="Net_x000a_Balance" totalsRowFunction="sum" dataDxfId="498" totalsRowDxfId="49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15.xml><?xml version="1.0" encoding="utf-8"?>
<table xmlns="http://schemas.openxmlformats.org/spreadsheetml/2006/main" id="109" name="locals323" displayName="locals323" ref="A134:K142" totalsRowCount="1" headerRowDxfId="496" dataDxfId="494" totalsRowDxfId="492" headerRowBorderDxfId="495" tableBorderDxfId="493" totalsRowBorderDxfId="491" headerRowCellStyle="Currency">
  <autoFilter ref="A134:K141"/>
  <tableColumns count="11">
    <tableColumn id="1" name="Program_x000a_Name" totalsRowLabel="Modified Primary Election Total" dataDxfId="490" totalsRowDxfId="489"/>
    <tableColumn id="2" name="Legal_x000a_Reference_x000a_(Ch./Year)" totalsRowLabel="N/A" dataDxfId="488" totalsRowDxfId="487"/>
    <tableColumn id="3" name="Program Number" totalsRowLabel="N/A" dataDxfId="486" totalsRowDxfId="485"/>
    <tableColumn id="4" name="Fiscal_x000a_Year" totalsRowLabel="N/A" dataDxfId="484" totalsRowDxfId="483"/>
    <tableColumn id="5" name="Program_x000a_Costs" totalsRowFunction="sum" dataDxfId="482" totalsRowDxfId="481"/>
    <tableColumn id="6" name="Less: Net Payments and Offsets" totalsRowFunction="sum" dataDxfId="480" totalsRowDxfId="479"/>
    <tableColumn id="7" name="Accounts Payable_x000a_Balance" totalsRowFunction="sum" dataDxfId="478" totalsRowDxfId="477"/>
    <tableColumn id="8" name="Established_x000a_Accounts Receivable" totalsRowFunction="sum" dataDxfId="476" totalsRowDxfId="475"/>
    <tableColumn id="9" name="Less: Recovered Amount" totalsRowFunction="sum" dataDxfId="474" totalsRowDxfId="473"/>
    <tableColumn id="10" name="Accounts Receivable_x000a_Balance" totalsRowFunction="sum" dataDxfId="472" totalsRowDxfId="471"/>
    <tableColumn id="11" name="Net_x000a_Balance" totalsRowFunction="sum" dataDxfId="470" totalsRowDxfId="46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16.xml><?xml version="1.0" encoding="utf-8"?>
<table xmlns="http://schemas.openxmlformats.org/spreadsheetml/2006/main" id="110" name="locals314" displayName="locals314" ref="A144:K156" totalsRowCount="1" headerRowDxfId="468" dataDxfId="466" totalsRowDxfId="464" headerRowBorderDxfId="467" tableBorderDxfId="465" totalsRowBorderDxfId="463" headerRowCellStyle="Currency">
  <autoFilter ref="A144:K155"/>
  <tableColumns count="11">
    <tableColumn id="1" name="Program_x000a_Name" totalsRowLabel="Municipal Storm Water and Urban Runoff Discharges Total" dataDxfId="462" totalsRowDxfId="461"/>
    <tableColumn id="2" name="Legal_x000a_Reference_x000a_(Ch./Year)" totalsRowLabel="N/A" dataDxfId="460" totalsRowDxfId="459"/>
    <tableColumn id="3" name="Program Number" totalsRowLabel="N/A" dataDxfId="458" totalsRowDxfId="457"/>
    <tableColumn id="4" name="Fiscal_x000a_Year" totalsRowLabel="N/A" dataDxfId="456" totalsRowDxfId="455"/>
    <tableColumn id="5" name="Program_x000a_Costs" totalsRowFunction="sum" dataDxfId="454" totalsRowDxfId="453"/>
    <tableColumn id="6" name="Less: Net Payments and Offsets" totalsRowFunction="sum" dataDxfId="452" totalsRowDxfId="451"/>
    <tableColumn id="7" name="Accounts Payable_x000a_Balance" totalsRowFunction="sum" dataDxfId="450" totalsRowDxfId="449"/>
    <tableColumn id="8" name="Established_x000a_Accounts Receivable" totalsRowFunction="sum" dataDxfId="448" totalsRowDxfId="447"/>
    <tableColumn id="9" name="Less: Recovered Amount" totalsRowFunction="sum" dataDxfId="446" totalsRowDxfId="445"/>
    <tableColumn id="10" name="Accounts Receivable_x000a_Balance" totalsRowFunction="sum" dataDxfId="444" totalsRowDxfId="443"/>
    <tableColumn id="11" name="Net_x000a_Balance" totalsRowFunction="sum" dataDxfId="442" totalsRowDxfId="44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17.xml><?xml version="1.0" encoding="utf-8"?>
<table xmlns="http://schemas.openxmlformats.org/spreadsheetml/2006/main" id="111" name="locals373" displayName="locals373" ref="A158:K162" totalsRowCount="1" headerRowDxfId="440" dataDxfId="438" totalsRowDxfId="436" headerRowBorderDxfId="439" tableBorderDxfId="437" totalsRowBorderDxfId="435" headerRowCellStyle="Currency">
  <autoFilter ref="A158:K161"/>
  <tableColumns count="11">
    <tableColumn id="1" name="Program_x000a_Name" totalsRowLabel="Peace Officer Training: Mental Health/Crisis Intervention Total" dataDxfId="434" totalsRowDxfId="433"/>
    <tableColumn id="2" name="Legal_x000a_Reference_x000a_(Ch./Year)" totalsRowLabel="N/A" dataDxfId="432" totalsRowDxfId="431"/>
    <tableColumn id="3" name="Program Number" totalsRowLabel="N/A" dataDxfId="430" totalsRowDxfId="429"/>
    <tableColumn id="4" name="Fiscal_x000a_Year" totalsRowLabel="N/A" dataDxfId="428" totalsRowDxfId="427"/>
    <tableColumn id="5" name="Program_x000a_Costs" totalsRowFunction="sum" dataDxfId="426" totalsRowDxfId="425"/>
    <tableColumn id="6" name="Less: Net Payments and Offsets" totalsRowFunction="sum" dataDxfId="424" totalsRowDxfId="423"/>
    <tableColumn id="7" name="Accounts Payable_x000a_Balance" totalsRowFunction="sum" dataDxfId="422" totalsRowDxfId="421"/>
    <tableColumn id="8" name="Established_x000a_Accounts Receivable" totalsRowFunction="sum" dataDxfId="420" totalsRowDxfId="419"/>
    <tableColumn id="9" name="Less: Recovered Amount" totalsRowFunction="sum" dataDxfId="418" totalsRowDxfId="417"/>
    <tableColumn id="10" name="Accounts Receivable_x000a_Balance" totalsRowFunction="sum" dataDxfId="416" totalsRowDxfId="415"/>
    <tableColumn id="11" name="Net_x000a_Balance" totalsRowFunction="sum" dataDxfId="414" totalsRowDxfId="41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18.xml><?xml version="1.0" encoding="utf-8"?>
<table xmlns="http://schemas.openxmlformats.org/spreadsheetml/2006/main" id="112" name="locals356" displayName="locals356" ref="A164:K182" totalsRowCount="1" headerRowDxfId="412" dataDxfId="410" totalsRowDxfId="408" headerRowBorderDxfId="411" tableBorderDxfId="409" totalsRowBorderDxfId="407" headerRowCellStyle="Currency">
  <autoFilter ref="A164:K181"/>
  <tableColumns count="11">
    <tableColumn id="1" name="Program_x000a_Name" totalsRowLabel="Peace Officers Procedural Bill of Rights II Total" dataDxfId="406" totalsRowDxfId="405"/>
    <tableColumn id="2" name="Legal_x000a_Reference_x000a_(Ch./Year)" totalsRowLabel="N/A" dataDxfId="404" totalsRowDxfId="403"/>
    <tableColumn id="3" name="Program Number" totalsRowLabel="N/A" dataDxfId="402" totalsRowDxfId="401"/>
    <tableColumn id="4" name="Fiscal_x000a_Year" totalsRowLabel="N/A" dataDxfId="400" totalsRowDxfId="399"/>
    <tableColumn id="5" name="Program_x000a_Costs" totalsRowFunction="sum" dataDxfId="398" totalsRowDxfId="397"/>
    <tableColumn id="6" name="Less: Net Payments and Offsets" totalsRowFunction="sum" dataDxfId="396" totalsRowDxfId="395"/>
    <tableColumn id="7" name="Accounts Payable_x000a_Balance" totalsRowFunction="sum" dataDxfId="394" totalsRowDxfId="393"/>
    <tableColumn id="8" name="Established_x000a_Accounts Receivable" totalsRowFunction="sum" dataDxfId="392" totalsRowDxfId="391"/>
    <tableColumn id="9" name="Less: Recovered Amount" totalsRowFunction="sum" dataDxfId="390" totalsRowDxfId="389"/>
    <tableColumn id="10" name="Accounts Receivable_x000a_Balance" totalsRowFunction="sum" dataDxfId="388" totalsRowDxfId="387"/>
    <tableColumn id="11" name="Net_x000a_Balance" totalsRowFunction="sum" dataDxfId="386" totalsRowDxfId="38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19.xml><?xml version="1.0" encoding="utf-8"?>
<table xmlns="http://schemas.openxmlformats.org/spreadsheetml/2006/main" id="113" name="locals324" displayName="locals324" ref="A184:K196" totalsRowCount="1" headerRowDxfId="384" dataDxfId="382" totalsRowDxfId="380" headerRowBorderDxfId="383" tableBorderDxfId="381" totalsRowBorderDxfId="379" headerRowCellStyle="Currency">
  <autoFilter ref="A184:K195"/>
  <tableColumns count="11">
    <tableColumn id="1" name="Program_x000a_Name" totalsRowLabel="Permanent Absent Voters II Total" dataDxfId="378" totalsRowDxfId="377"/>
    <tableColumn id="2" name="Legal_x000a_Reference_x000a_(Ch./Year)" totalsRowLabel="N/A" dataDxfId="376" totalsRowDxfId="375"/>
    <tableColumn id="3" name="Program Number" totalsRowLabel="N/A" dataDxfId="374" totalsRowDxfId="373"/>
    <tableColumn id="4" name="Fiscal_x000a_Year" totalsRowLabel="N/A" dataDxfId="372" totalsRowDxfId="371"/>
    <tableColumn id="5" name="Program_x000a_Costs" totalsRowFunction="sum" dataDxfId="370" totalsRowDxfId="369"/>
    <tableColumn id="6" name="Less: Net Payments and Offsets" totalsRowFunction="sum" dataDxfId="368" totalsRowDxfId="367"/>
    <tableColumn id="7" name="Accounts Payable_x000a_Balance" totalsRowFunction="sum" dataDxfId="366" totalsRowDxfId="365"/>
    <tableColumn id="8" name="Established_x000a_Accounts Receivable" totalsRowFunction="sum" dataDxfId="364" totalsRowDxfId="363"/>
    <tableColumn id="9" name="Less: Recovered Amount" totalsRowFunction="sum" dataDxfId="362" totalsRowDxfId="361"/>
    <tableColumn id="10" name="Accounts Receivable_x000a_Balance" totalsRowFunction="sum" dataDxfId="360" totalsRowDxfId="359"/>
    <tableColumn id="11" name="Net_x000a_Balance" totalsRowFunction="sum" dataDxfId="358" totalsRowDxfId="35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2.xml><?xml version="1.0" encoding="utf-8"?>
<table xmlns="http://schemas.openxmlformats.org/spreadsheetml/2006/main" id="14" name="localmotor19" displayName="localmotor19" ref="A100:I102" totalsRowCount="1" headerRowDxfId="3377" totalsRowDxfId="3374" headerRowBorderDxfId="3376" tableBorderDxfId="3375" totalsRowBorderDxfId="3373">
  <autoFilter ref="A100:I101"/>
  <tableColumns count="9">
    <tableColumn id="1" name="Program Category_x000a_and Type of Payment" totalsRowLabel="0044-8885-2019-295-98 Total" dataDxfId="3372" totalsRowDxfId="3371"/>
    <tableColumn id="2" name="Fiscal _x000a_Year" totalsRowLabel="N/A" dataDxfId="3370" totalsRowDxfId="3369"/>
    <tableColumn id="3" name="Appropriation _x000a_Number" totalsRowLabel="N/A" dataDxfId="3368" totalsRowDxfId="3367"/>
    <tableColumn id="4" name="Program _x000a_Name" totalsRowLabel="N/A" dataDxfId="3366" totalsRowDxfId="3365"/>
    <tableColumn id="5" name="Legal _x000a_Reference_x000a_(Ch./Year)" totalsRowLabel="N/A" dataDxfId="3364" totalsRowDxfId="3363"/>
    <tableColumn id="6" name="Program_x000a_ Number" totalsRowLabel="N/A" dataDxfId="3362" totalsRowDxfId="3361"/>
    <tableColumn id="7" name="Program _x000a_Payments and Offsets" totalsRowFunction="sum" dataDxfId="3360" totalsRowDxfId="3359" dataCellStyle="Currency"/>
    <tableColumn id="8" name="Interest_x000a_Payments and Offsets" totalsRowFunction="sum" dataDxfId="3358" totalsRowDxfId="3357" dataCellStyle="Currency"/>
    <tableColumn id="9" name="Total _x000a_Payments" totalsRowFunction="sum" dataDxfId="3356" totalsRowDxfId="3355" dataCellStyle="Currency">
      <calculatedColumnFormula>G101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1: Detail of State-Mandated Program Payments by Fiscal Year. As of August 31, 2020. Local Agencies-Motor Vehicle."/>
    </ext>
  </extLst>
</table>
</file>

<file path=xl/tables/table120.xml><?xml version="1.0" encoding="utf-8"?>
<table xmlns="http://schemas.openxmlformats.org/spreadsheetml/2006/main" id="114" name="locals331" displayName="locals331" ref="A198:K210" totalsRowCount="1" headerRowDxfId="356" dataDxfId="354" totalsRowDxfId="352" headerRowBorderDxfId="355" tableBorderDxfId="353" totalsRowBorderDxfId="351" headerRowCellStyle="Currency">
  <autoFilter ref="A198:K209"/>
  <tableColumns count="11">
    <tableColumn id="1" name="Program_x000a_Name" totalsRowLabel="Voter Identification Procedures Total" dataDxfId="350" totalsRowDxfId="349"/>
    <tableColumn id="2" name="Legal_x000a_Reference_x000a_(Ch./Year)" totalsRowLabel="N/A" dataDxfId="348" totalsRowDxfId="347"/>
    <tableColumn id="3" name="Program Number" totalsRowLabel="N/A" dataDxfId="346" totalsRowDxfId="345"/>
    <tableColumn id="4" name="Fiscal_x000a_Year" totalsRowLabel="N/A" dataDxfId="344" totalsRowDxfId="343"/>
    <tableColumn id="5" name="Program_x000a_Costs" totalsRowFunction="sum" dataDxfId="342" totalsRowDxfId="341"/>
    <tableColumn id="6" name="Less: Net Payments and Offsets" totalsRowFunction="sum" dataDxfId="340" totalsRowDxfId="339"/>
    <tableColumn id="7" name="Accounts Payable_x000a_Balance" totalsRowFunction="sum" dataDxfId="338" totalsRowDxfId="337"/>
    <tableColumn id="8" name="Established_x000a_Accounts Receivable" totalsRowFunction="sum" dataDxfId="336" totalsRowDxfId="335"/>
    <tableColumn id="9" name="Less: Recovered Amount" totalsRowFunction="sum" dataDxfId="334" totalsRowDxfId="333"/>
    <tableColumn id="10" name="Accounts Receivable_x000a_Balance" totalsRowFunction="sum" dataDxfId="332" totalsRowDxfId="331"/>
    <tableColumn id="11" name="Net_x000a_Balance" totalsRowFunction="sum" dataDxfId="330" totalsRowDxfId="32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."/>
    </ext>
  </extLst>
</table>
</file>

<file path=xl/tables/table121.xml><?xml version="1.0" encoding="utf-8"?>
<table xmlns="http://schemas.openxmlformats.org/spreadsheetml/2006/main" id="115" name="localunfundedgrandtotal" displayName="localunfundedgrandtotal" ref="A212:K229" totalsRowCount="1" headerRowDxfId="328" dataDxfId="326" totalsRowDxfId="324" headerRowBorderDxfId="327" tableBorderDxfId="325" totalsRowBorderDxfId="323" headerRowCellStyle="Currency">
  <autoFilter ref="A212:K228"/>
  <tableColumns count="11">
    <tableColumn id="1" name="Program_x000a_Name" totalsRowLabel="Total Local Agencies" dataDxfId="322" totalsRowDxfId="321"/>
    <tableColumn id="2" name="Legal_x000a_Reference_x000a_(Ch./Year)" totalsRowLabel="N/A" dataDxfId="320" totalsRowDxfId="319"/>
    <tableColumn id="3" name="Program Number" totalsRowLabel="N/A" dataDxfId="318" totalsRowDxfId="317"/>
    <tableColumn id="4" name="Fiscal_x000a_Year" totalsRowLabel="N/A" dataDxfId="316" totalsRowDxfId="315"/>
    <tableColumn id="5" name="Program_x000a_Costs" totalsRowFunction="sum" dataDxfId="314" totalsRowDxfId="313"/>
    <tableColumn id="6" name="Less: Net Payments and Offsets" totalsRowFunction="sum" dataDxfId="312" totalsRowDxfId="311"/>
    <tableColumn id="7" name="Accounts Payable_x000a_Balance" totalsRowFunction="sum" dataDxfId="310" totalsRowDxfId="309"/>
    <tableColumn id="8" name="Established_x000a_Accounts Receivable" totalsRowFunction="sum" dataDxfId="308" totalsRowDxfId="307"/>
    <tableColumn id="9" name="Less: Recovered Amount" totalsRowFunction="sum" dataDxfId="306" totalsRowDxfId="305"/>
    <tableColumn id="10" name="Accounts Receivable_x000a_Balance" totalsRowFunction="sum" dataDxfId="304" totalsRowDxfId="303"/>
    <tableColumn id="11" name="Net_x000a_Balance" totalsRowFunction="sum" dataDxfId="302" totalsRowDxfId="3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Local Agencies grand totals."/>
    </ext>
  </extLst>
</table>
</file>

<file path=xl/tables/table122.xml><?xml version="1.0" encoding="utf-8"?>
<table xmlns="http://schemas.openxmlformats.org/spreadsheetml/2006/main" id="116" name="school374" displayName="school374" ref="A2:K5" totalsRowCount="1" headerRowDxfId="300" dataDxfId="298" totalsRowDxfId="296" headerRowBorderDxfId="299" tableBorderDxfId="297" totalsRowBorderDxfId="295" headerRowCellStyle="Currency">
  <autoFilter ref="A2:K4"/>
  <tableColumns count="11">
    <tableColumn id="1" name="Program_x000a_Name" totalsRowLabel="Public School Restrooms: Feminine Hygiene Products Total" dataDxfId="294" totalsRowDxfId="293"/>
    <tableColumn id="2" name="Legal_x000a_Reference_x000a_(Ch./Year)" totalsRowLabel="N/A" dataDxfId="292" totalsRowDxfId="291"/>
    <tableColumn id="3" name="Program Number" totalsRowLabel="N/A" dataDxfId="290" totalsRowDxfId="289"/>
    <tableColumn id="4" name="Fiscal_x000a_Year" totalsRowLabel="N/A" dataDxfId="288" totalsRowDxfId="287"/>
    <tableColumn id="5" name="Program_x000a_Costs" totalsRowFunction="sum" dataDxfId="286" totalsRowDxfId="285"/>
    <tableColumn id="6" name="Less: Net Payments and Offsets" totalsRowFunction="sum" dataDxfId="284" totalsRowDxfId="283"/>
    <tableColumn id="7" name="Accounts Payable_x000a_Balance" totalsRowFunction="sum" dataDxfId="282" totalsRowDxfId="281"/>
    <tableColumn id="8" name="Established_x000a_Accounts Receivable" totalsRowFunction="sum" dataDxfId="280" totalsRowDxfId="279"/>
    <tableColumn id="9" name="Less: Recovered Amount" totalsRowFunction="sum" dataDxfId="278" totalsRowDxfId="277"/>
    <tableColumn id="10" name="Accounts Receivable_x000a_Balance" totalsRowFunction="sum" dataDxfId="276" totalsRowDxfId="275"/>
    <tableColumn id="11" name="Net_x000a_Balance" totalsRowFunction="sum" dataDxfId="274" totalsRowDxfId="27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School Districts."/>
    </ext>
  </extLst>
</table>
</file>

<file path=xl/tables/table123.xml><?xml version="1.0" encoding="utf-8"?>
<table xmlns="http://schemas.openxmlformats.org/spreadsheetml/2006/main" id="117" name="schoolsunfundedgrandtotal" displayName="schoolsunfundedgrandtotal" ref="A7:K9" totalsRowCount="1" headerRowDxfId="272" dataDxfId="270" totalsRowDxfId="268" headerRowBorderDxfId="271" tableBorderDxfId="269" totalsRowBorderDxfId="267" headerRowCellStyle="Currency">
  <autoFilter ref="A7:K8"/>
  <tableColumns count="11">
    <tableColumn id="1" name="Program_x000a_Name" totalsRowLabel="Total School Districts" dataDxfId="266" totalsRowDxfId="265"/>
    <tableColumn id="2" name="Legal_x000a_Reference_x000a_(Ch./Year)" totalsRowLabel="N/A" dataDxfId="264" totalsRowDxfId="263"/>
    <tableColumn id="3" name="Program Number" totalsRowLabel="N/A" dataDxfId="262" totalsRowDxfId="261"/>
    <tableColumn id="4" name="Fiscal_x000a_Year" totalsRowLabel="N/A" dataDxfId="260" totalsRowDxfId="259"/>
    <tableColumn id="5" name="Program_x000a_Costs" totalsRowFunction="sum" dataDxfId="258" totalsRowDxfId="257"/>
    <tableColumn id="6" name="Less: Net Payments and Offsets" totalsRowFunction="sum" dataDxfId="256" totalsRowDxfId="255"/>
    <tableColumn id="7" name="Accounts Payable_x000a_Balance" totalsRowFunction="sum" dataDxfId="254" totalsRowDxfId="253"/>
    <tableColumn id="8" name="Established_x000a_Accounts Receivable" totalsRowFunction="sum" dataDxfId="252" totalsRowDxfId="251"/>
    <tableColumn id="9" name="Less: Recovered Amount" totalsRowFunction="sum" dataDxfId="250" totalsRowDxfId="249"/>
    <tableColumn id="10" name="Accounts Receivable_x000a_Balance" totalsRowFunction="sum" dataDxfId="248" totalsRowDxfId="247"/>
    <tableColumn id="11" name="Net_x000a_Balance" totalsRowFunction="sum" dataDxfId="246" totalsRowDxfId="24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School Districts grand total."/>
    </ext>
  </extLst>
</table>
</file>

<file path=xl/tables/table124.xml><?xml version="1.0" encoding="utf-8"?>
<table xmlns="http://schemas.openxmlformats.org/spreadsheetml/2006/main" id="118" name="college307" displayName="college307" ref="A2:K4" totalsRowCount="1" headerRowDxfId="244" dataDxfId="242" totalsRowDxfId="240" headerRowBorderDxfId="243" tableBorderDxfId="241" totalsRowBorderDxfId="239" headerRowCellStyle="Currency">
  <autoFilter ref="A2:K3"/>
  <tableColumns count="11">
    <tableColumn id="1" name="Program_x000a_Name" totalsRowLabel="Student Records Total" dataDxfId="238" totalsRowDxfId="237"/>
    <tableColumn id="2" name="Legal_x000a_Reference_x000a_(Ch./Year)" totalsRowLabel="N/A" dataDxfId="236" totalsRowDxfId="235"/>
    <tableColumn id="3" name="Program Number" totalsRowLabel="N/A" dataDxfId="234" totalsRowDxfId="233"/>
    <tableColumn id="4" name="Fiscal_x000a_Year" totalsRowLabel="N/A" dataDxfId="232" totalsRowDxfId="231"/>
    <tableColumn id="5" name="Program_x000a_Costs" totalsRowFunction="sum" dataDxfId="230" totalsRowDxfId="229"/>
    <tableColumn id="6" name="Less: Net Payments and Offsets" totalsRowFunction="sum" dataDxfId="228" totalsRowDxfId="227"/>
    <tableColumn id="7" name="Accounts Payable_x000a_Balance" totalsRowFunction="sum" dataDxfId="226" totalsRowDxfId="225"/>
    <tableColumn id="8" name="Established_x000a_Accounts Receivable" totalsRowFunction="sum" dataDxfId="224" totalsRowDxfId="223"/>
    <tableColumn id="9" name="Less: Recovered Amount" totalsRowFunction="sum" dataDxfId="222" totalsRowDxfId="221"/>
    <tableColumn id="10" name="Accounts Receivable_x000a_Balance" totalsRowFunction="sum" dataDxfId="220" totalsRowDxfId="219"/>
    <tableColumn id="11" name="Net_x000a_Balance" totalsRowFunction="sum" dataDxfId="218" totalsRowDxfId="21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Community College Districts."/>
    </ext>
  </extLst>
</table>
</file>

<file path=xl/tables/table125.xml><?xml version="1.0" encoding="utf-8"?>
<table xmlns="http://schemas.openxmlformats.org/spreadsheetml/2006/main" id="119" name="collegeunfundedgrandtotal" displayName="collegeunfundedgrandtotal" ref="A6:K8" totalsRowCount="1" headerRowDxfId="216" dataDxfId="214" totalsRowDxfId="212" headerRowBorderDxfId="215" tableBorderDxfId="213" totalsRowBorderDxfId="211" headerRowCellStyle="Currency">
  <autoFilter ref="A6:K7"/>
  <tableColumns count="11">
    <tableColumn id="1" name="Program_x000a_Name" totalsRowLabel="Total Community College Districts" dataDxfId="210" totalsRowDxfId="209"/>
    <tableColumn id="2" name="Legal_x000a_Reference_x000a_(Ch./Year)" totalsRowLabel="N/A" dataDxfId="208" totalsRowDxfId="207"/>
    <tableColumn id="3" name="Program Number" totalsRowLabel="N/A" dataDxfId="206" totalsRowDxfId="205"/>
    <tableColumn id="4" name="Fiscal_x000a_Year" totalsRowLabel="N/A" dataDxfId="204" totalsRowDxfId="203"/>
    <tableColumn id="5" name="Program_x000a_Costs" totalsRowFunction="sum" dataDxfId="202" totalsRowDxfId="201"/>
    <tableColumn id="6" name="Less: Net Payments and Offsets" totalsRowFunction="sum" dataDxfId="200" totalsRowDxfId="199"/>
    <tableColumn id="7" name="Accounts Payable_x000a_Balance" totalsRowFunction="sum" dataDxfId="198" totalsRowDxfId="197"/>
    <tableColumn id="8" name="Established_x000a_Accounts Receivable" totalsRowFunction="sum" dataDxfId="196" totalsRowDxfId="195"/>
    <tableColumn id="9" name="Less: Recovered Amount" totalsRowFunction="sum" dataDxfId="194" totalsRowDxfId="193"/>
    <tableColumn id="10" name="Accounts Receivable_x000a_Balance" totalsRowFunction="sum" dataDxfId="192" totalsRowDxfId="191"/>
    <tableColumn id="11" name="Net_x000a_Balance" totalsRowFunction="sum" dataDxfId="190" totalsRowDxfId="18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Community College Districts grand totals."/>
    </ext>
  </extLst>
</table>
</file>

<file path=xl/tables/table126.xml><?xml version="1.0" encoding="utf-8"?>
<table xmlns="http://schemas.openxmlformats.org/spreadsheetml/2006/main" id="120" name="unfundedgrandtotal" displayName="unfundedgrandtotal" ref="A10:K14" totalsRowCount="1" headerRowDxfId="188" dataDxfId="186" totalsRowDxfId="184" headerRowBorderDxfId="187" tableBorderDxfId="185" totalsRowBorderDxfId="183" headerRowCellStyle="Currency">
  <autoFilter ref="A10:K13"/>
  <tableColumns count="11">
    <tableColumn id="1" name="Program_x000a_Name" totalsRowLabel="Total Unfunded Mandates" dataDxfId="182" totalsRowDxfId="181"/>
    <tableColumn id="2" name="Legal_x000a_Reference_x000a_(Ch./Year)" totalsRowLabel="N/A" dataDxfId="180" totalsRowDxfId="179"/>
    <tableColumn id="3" name="Program Number" totalsRowLabel="N/A" dataDxfId="178" totalsRowDxfId="177"/>
    <tableColumn id="4" name="Fiscal_x000a_Year" totalsRowLabel="N/A" dataDxfId="176" totalsRowDxfId="175"/>
    <tableColumn id="5" name="Program_x000a_Costs" totalsRowFunction="sum" dataDxfId="174" totalsRowDxfId="173"/>
    <tableColumn id="6" name="Less: Net Payments and Offsets" totalsRowFunction="sum" dataDxfId="172" totalsRowDxfId="171"/>
    <tableColumn id="7" name="Accounts Payable_x000a_Balance" totalsRowFunction="sum" dataDxfId="170" totalsRowDxfId="169"/>
    <tableColumn id="8" name="Established_x000a_Accounts Receivable" totalsRowFunction="sum" dataDxfId="168" totalsRowDxfId="167"/>
    <tableColumn id="9" name="Less: Recovered Amount" totalsRowFunction="sum" dataDxfId="166" totalsRowDxfId="165"/>
    <tableColumn id="10" name="Accounts Receivable_x000a_Balance" totalsRowFunction="sum" dataDxfId="164" totalsRowDxfId="163"/>
    <tableColumn id="11" name="Net_x000a_Balance" totalsRowFunction="sum" dataDxfId="162" totalsRowDxfId="16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2: Detail of Unfunded State-Mandated Programs. As of August 31, 2020. Total unfunded mandates."/>
    </ext>
  </extLst>
</table>
</file>

<file path=xl/tables/table127.xml><?xml version="1.0" encoding="utf-8"?>
<table xmlns="http://schemas.openxmlformats.org/spreadsheetml/2006/main" id="1" name="schedulec" displayName="schedulec" ref="A2:L11" totalsRowCount="1" headerRowDxfId="160" headerRowBorderDxfId="159" tableBorderDxfId="158">
  <autoFilter ref="A2:L10"/>
  <tableColumns count="12">
    <tableColumn id="1" name="Number" totalsRowLabel="Total Outstanding Incorrect Reduction Claims Filed with the Commission on State Mandates" totalsRowDxfId="157"/>
    <tableColumn id="2" name="Revised_x000a_(R)" totalsRowLabel="N/A" dataDxfId="156" totalsRowDxfId="155"/>
    <tableColumn id="3" name="File_x000a_Number" totalsRowLabel="N/A" dataDxfId="154" totalsRowDxfId="153"/>
    <tableColumn id="4" name="Filing_x000a_Date" totalsRowLabel="N/A" dataDxfId="152" totalsRowDxfId="151"/>
    <tableColumn id="5" name="Date_x000a_ Comments Filed" totalsRowLabel="N/A" dataDxfId="150" totalsRowDxfId="149"/>
    <tableColumn id="6" name="Record Closed" totalsRowLabel="N/A" dataDxfId="148" totalsRowDxfId="147"/>
    <tableColumn id="7" name="Claimant" totalsRowLabel="N/A" dataDxfId="146" totalsRowDxfId="145"/>
    <tableColumn id="8" name="Fiscal_x000a_Year" totalsRowLabel="N/A" dataDxfId="144" totalsRowDxfId="143"/>
    <tableColumn id="9" name="Amount_x000a_of Claim" totalsRowFunction="sum" dataDxfId="142" totalsRowDxfId="141"/>
    <tableColumn id="10" name="Name" totalsRowLabel="N/A" dataDxfId="140" totalsRowDxfId="139"/>
    <tableColumn id="11" name="Type" totalsRowLabel="N/A" dataDxfId="138" totalsRowDxfId="137"/>
    <tableColumn id="12" name="Tentative _x000a_Hearing Date" totalsRowLabel="N/A" dataDxfId="136" totalsRowDxfId="13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State-Mandated Report" altTextSummary="Schedule C: Outstanding Incorrect Reduction Claims_x000d__x000a_Filed with the Commission on State Mandates_x000d__x000a_As of August 31, 2020"/>
    </ext>
  </extLst>
</table>
</file>

<file path=xl/tables/table13.xml><?xml version="1.0" encoding="utf-8"?>
<table xmlns="http://schemas.openxmlformats.org/spreadsheetml/2006/main" id="15" name="localpest20" displayName="localpest20" ref="A104:I106" totalsRowCount="1" headerRowDxfId="3354" totalsRowDxfId="3351" headerRowBorderDxfId="3353" tableBorderDxfId="3352" totalsRowBorderDxfId="3350">
  <autoFilter ref="A104:I105"/>
  <tableColumns count="9">
    <tableColumn id="1" name="Program Category_x000a_and Type of Payment" totalsRowLabel="0106-8885-2020-295-98 Total" dataDxfId="3349" totalsRowDxfId="3348"/>
    <tableColumn id="2" name="Fiscal _x000a_Year" totalsRowLabel="N/A" dataDxfId="3347" totalsRowDxfId="3346"/>
    <tableColumn id="3" name="Appropriation _x000a_Number" totalsRowLabel="N/A" dataDxfId="3345" totalsRowDxfId="3344"/>
    <tableColumn id="4" name="Program _x000a_Name" totalsRowLabel="N/A" dataDxfId="3343" totalsRowDxfId="3342"/>
    <tableColumn id="5" name="Legal _x000a_Reference_x000a_(Ch./Year)" totalsRowLabel="N/A" dataDxfId="3341" totalsRowDxfId="3340"/>
    <tableColumn id="6" name="Program_x000a_ Number" totalsRowLabel="N/A" dataDxfId="3339" totalsRowDxfId="3338"/>
    <tableColumn id="7" name="Program _x000a_Payments and Offsets" totalsRowFunction="sum" dataDxfId="3337" totalsRowDxfId="3336" dataCellStyle="Currency"/>
    <tableColumn id="8" name="Interest_x000a_Payments and Offsets" totalsRowFunction="sum" dataDxfId="3335" totalsRowDxfId="3334" dataCellStyle="Currency"/>
    <tableColumn id="9" name="Total _x000a_Payments" totalsRowFunction="sum" dataDxfId="3333" totalsRowDxfId="3332" dataCellStyle="Currency">
      <calculatedColumnFormula>G105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Report" altTextSummary="Schedule A1: Detail of State-Mandated Program Payments by Fiscal Year. As of August 31, 2020. Local Agencies-Pesticide."/>
    </ext>
  </extLst>
</table>
</file>

<file path=xl/tables/table14.xml><?xml version="1.0" encoding="utf-8"?>
<table xmlns="http://schemas.openxmlformats.org/spreadsheetml/2006/main" id="3" name="localgrandtotala1" displayName="localgrandtotala1" ref="A108:I116" totalsRowCount="1" headerRowDxfId="3331" dataDxfId="3329" totalsRowDxfId="3327" headerRowBorderDxfId="3330" tableBorderDxfId="3328" totalsRowBorderDxfId="3326" dataCellStyle="Currency">
  <autoFilter ref="A108:I115"/>
  <tableColumns count="9">
    <tableColumn id="1" name="Program Category_x000a_and Type of Payment" totalsRowLabel="Grand Total" dataDxfId="3325" totalsRowDxfId="3324"/>
    <tableColumn id="2" name="Fiscal _x000a_Year" totalsRowLabel="N/A" dataDxfId="3323" totalsRowDxfId="3322"/>
    <tableColumn id="3" name="Appropriation _x000a_Number" totalsRowLabel="N/A" dataDxfId="3321" totalsRowDxfId="3320"/>
    <tableColumn id="4" name="Program _x000a_Name" totalsRowLabel="N/A" dataDxfId="3319" totalsRowDxfId="3318"/>
    <tableColumn id="5" name="Legal _x000a_Reference_x000a_(Ch./Year)" totalsRowLabel="N/A" dataDxfId="3317" totalsRowDxfId="3316"/>
    <tableColumn id="6" name="Program_x000a_ Number" totalsRowLabel="N/A" dataDxfId="3315" totalsRowDxfId="3314"/>
    <tableColumn id="7" name="Program _x000a_Payments and Offsets" totalsRowFunction="sum" dataDxfId="3313" totalsRowDxfId="3312" dataCellStyle="Currency"/>
    <tableColumn id="8" name="Interest_x000a_Payments and Offsets" totalsRowFunction="sum" dataDxfId="3311" totalsRowDxfId="3310" dataCellStyle="Currency"/>
    <tableColumn id="9" name="Total _x000a_Payments" totalsRowFunction="sum" dataDxfId="3309" totalsRowDxfId="3308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1: Detail of State-Mandated Program Payments by Fiscal Year. As of August 31, 2020. Grand totals."/>
    </ext>
  </extLst>
</table>
</file>

<file path=xl/tables/table15.xml><?xml version="1.0" encoding="utf-8"?>
<table xmlns="http://schemas.openxmlformats.org/spreadsheetml/2006/main" id="9" name="schoolannualclaim20" displayName="schoolannualclaim20" ref="A2:I34" totalsRowCount="1" headerRowDxfId="3307" dataDxfId="3305" totalsRowDxfId="3303" headerRowBorderDxfId="3306" tableBorderDxfId="3304" totalsRowBorderDxfId="3302" dataCellStyle="Currency">
  <autoFilter ref="A2:I33"/>
  <tableColumns count="9">
    <tableColumn id="1" name="Program Category_x000a_and Type of Payment" totalsRowLabel="Total School Districts" dataDxfId="3301" totalsRowDxfId="3300"/>
    <tableColumn id="2" name="Fiscal _x000a_Year" totalsRowLabel="N/A" dataDxfId="3299" totalsRowDxfId="3298"/>
    <tableColumn id="3" name="Appropriation _x000a_Number" totalsRowLabel="N/A" dataDxfId="3297" totalsRowDxfId="3296"/>
    <tableColumn id="4" name="Program _x000a_Name" totalsRowLabel="N/A" dataDxfId="3295" totalsRowDxfId="3294"/>
    <tableColumn id="5" name="Legal _x000a_Reference_x000a_(Ch./Year)" totalsRowLabel="N/A" dataDxfId="3293" totalsRowDxfId="3292"/>
    <tableColumn id="6" name="Program_x000a_ Number" totalsRowLabel="N/A" dataDxfId="3291" totalsRowDxfId="3290"/>
    <tableColumn id="7" name="Program _x000a_Payments and Offsets" totalsRowFunction="sum" dataDxfId="3289" totalsRowDxfId="3288" dataCellStyle="Currency"/>
    <tableColumn id="8" name="Interest_x000a_Payments and Offsets" totalsRowFunction="sum" dataDxfId="3287" totalsRowDxfId="3286" dataCellStyle="Currency"/>
    <tableColumn id="9" name="Total_x000a_Payments" totalsRowFunction="sum" dataDxfId="3285" totalsRowDxfId="3284" dataCellStyle="Currency">
      <calculatedColumnFormula>G3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1: Detail of State-Mandated Program Payments by Fiscal Year. As of August 31, 2020. School District-Annual Claim."/>
    </ext>
  </extLst>
</table>
</file>

<file path=xl/tables/table16.xml><?xml version="1.0" encoding="utf-8"?>
<table xmlns="http://schemas.openxmlformats.org/spreadsheetml/2006/main" id="16" name="schoolgrandtotala1" displayName="schoolgrandtotala1" ref="A36:I39" totalsRowCount="1" headerRowDxfId="3283" dataDxfId="3281" totalsRowDxfId="3279" headerRowBorderDxfId="3282" tableBorderDxfId="3280" totalsRowBorderDxfId="3278" dataCellStyle="Currency">
  <autoFilter ref="A36:I38"/>
  <tableColumns count="9">
    <tableColumn id="1" name="Program Category_x000a_and Type of Payment" totalsRowLabel="Grand Total Local Agencies and School Districts 5" totalsRowDxfId="104" dataCellStyle="Hyperlink"/>
    <tableColumn id="2" name="Fiscal _x000a_Year" totalsRowLabel="Comment: All community college districts participate in the block grant program. Therefore, no payments are made to community colleges." dataDxfId="3277" totalsRowDxfId="103"/>
    <tableColumn id="3" name="Appropriation _x000a_Number" totalsRowLabel="N/A" dataDxfId="3276" totalsRowDxfId="102"/>
    <tableColumn id="4" name="Program _x000a_Name" totalsRowLabel="N/A" dataDxfId="3275" totalsRowDxfId="101"/>
    <tableColumn id="5" name="Legal _x000a_Reference_x000a_(Ch./Year)" totalsRowLabel="N/A" dataDxfId="3274" totalsRowDxfId="100"/>
    <tableColumn id="6" name="Program_x000a_ Number" totalsRowLabel="N/A" dataDxfId="3273" totalsRowDxfId="99"/>
    <tableColumn id="7" name="Program _x000a_Payments and Offsets" totalsRowFunction="sum" dataDxfId="3272" totalsRowDxfId="98" dataCellStyle="Currency"/>
    <tableColumn id="8" name="Interest_x000a_Payments and Offsets" totalsRowFunction="sum" dataDxfId="3271" totalsRowDxfId="97" dataCellStyle="Currency"/>
    <tableColumn id="9" name="Total_x000a_Payments" totalsRowFunction="sum" dataDxfId="3270" totalsRowDxfId="96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1: Detail of State-Mandated Program Payments by Fiscal Year. As of August 31, 2020. Grand totals for Local Agencies and School Districts."/>
    </ext>
  </extLst>
</table>
</file>

<file path=xl/tables/table17.xml><?xml version="1.0" encoding="utf-8"?>
<table xmlns="http://schemas.openxmlformats.org/spreadsheetml/2006/main" id="122" name="scheduleblocalfunded" displayName="scheduleblocalfunded" ref="A2:O5" totalsRowCount="1" headerRowDxfId="3269" totalsRowDxfId="3266" headerRowBorderDxfId="3268" tableBorderDxfId="3267" totalsRowBorderDxfId="3265">
  <autoFilter ref="A2:O4"/>
  <tableColumns count="15">
    <tableColumn id="1" name="Program_x000a_Category" totalsRowLabel="Total Local Agencies" totalsRowDxfId="80"/>
    <tableColumn id="2" name="Comment" totalsRowLabel="N/A" totalsRowDxfId="79"/>
    <tableColumn id="3" name="Fiscal_x000a_Year" totalsRowLabel="N/A" totalsRowDxfId="78"/>
    <tableColumn id="4" name="Schedules" totalsRowLabel="N/A" totalsRowDxfId="77"/>
    <tableColumn id="5" name="Program_x000a_Costs" totalsRowFunction="sum" totalsRowDxfId="76"/>
    <tableColumn id="6" name="Less: Net Payments and Offsets" totalsRowFunction="sum" totalsRowDxfId="75"/>
    <tableColumn id="7" name="Comment1" totalsRowLabel="N/A" totalsRowDxfId="74"/>
    <tableColumn id="8" name="Accounts Payable_x000a_Balance 4" totalsRowFunction="sum" totalsRowDxfId="73"/>
    <tableColumn id="9" name="Comment: Amount due to local agencies, school districts, and community college districts." totalsRowLabel="N/A" totalsRowDxfId="72"/>
    <tableColumn id="10" name="Established_x000a_Accounts _x000a_Receivable 5" totalsRowFunction="sum" totalsRowDxfId="71"/>
    <tableColumn id="11" name="Comment: Total accounts receivable established due to desk review and field audit claim adjustments." totalsRowLabel="N/A" totalsRowDxfId="70"/>
    <tableColumn id="12" name="Less: Recovered_x000a_Amount" totalsRowFunction="sum" totalsRowDxfId="69"/>
    <tableColumn id="13" name="Accounts Receivable_x000a_Balance 6" totalsRowFunction="sum" totalsRowDxfId="68"/>
    <tableColumn id="14" name="Comment: Amount due from local agencies, school districts (includes ineligible charter schools), and community college districts." totalsRowLabel="N/A" totalsRowDxfId="67"/>
    <tableColumn id="15" name="Net_x000a_Balance 7 " totalsRowFunction="sum" totalsRowDxfId="6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: Summary of Funded and Unfunded State-Mandated Programs. As of August 31, 2020. Local Agencies-Funded."/>
    </ext>
  </extLst>
</table>
</file>

<file path=xl/tables/table18.xml><?xml version="1.0" encoding="utf-8"?>
<table xmlns="http://schemas.openxmlformats.org/spreadsheetml/2006/main" id="123" name="schedulebsdandccdfunded" displayName="schedulebsdandccdfunded" ref="A7:O11" totalsRowCount="1" headerRowDxfId="3264" totalsRowDxfId="3261" headerRowBorderDxfId="3263" tableBorderDxfId="3262">
  <autoFilter ref="A7:O10"/>
  <tableColumns count="15">
    <tableColumn id="1" name="Program_x000a_Category" totalsRowLabel="Total School Districts and Community College Districts" totalsRowDxfId="95"/>
    <tableColumn id="2" name="Comment" totalsRowLabel="N/A" totalsRowDxfId="94"/>
    <tableColumn id="3" name="Fiscal_x000a_Year" totalsRowLabel="N/A" dataDxfId="3260" totalsRowDxfId="93"/>
    <tableColumn id="4" name="Schedules" totalsRowLabel="N/A" totalsRowDxfId="92"/>
    <tableColumn id="5" name="Program_x000a_Costs" totalsRowFunction="sum" dataDxfId="3259" totalsRowDxfId="91"/>
    <tableColumn id="6" name="Less: Net Payments and Offsets" totalsRowFunction="sum" dataDxfId="3258" totalsRowDxfId="90"/>
    <tableColumn id="7" name="Comment1" totalsRowLabel="N/A" totalsRowDxfId="89"/>
    <tableColumn id="8" name="Accounts Payable_x000a_Balance 4" totalsRowFunction="sum" totalsRowDxfId="88"/>
    <tableColumn id="9" name="Comment2" totalsRowLabel="N/A" dataDxfId="3257" totalsRowDxfId="87"/>
    <tableColumn id="10" name="Established_x000a_Accounts _x000a_Receivable 5" totalsRowFunction="sum" totalsRowDxfId="86"/>
    <tableColumn id="11" name="Comment3" totalsRowLabel="N/A" totalsRowDxfId="85"/>
    <tableColumn id="12" name="Less: Recovered_x000a_Amount" totalsRowFunction="sum" totalsRowDxfId="84"/>
    <tableColumn id="13" name="Accounts Receivable_x000a_Balance 6" totalsRowFunction="sum" totalsRowDxfId="83"/>
    <tableColumn id="14" name="Comment4" totalsRowLabel="N/A" totalsRowDxfId="82"/>
    <tableColumn id="15" name="Net_x000a_Balance 7 " totalsRowFunction="sum" totalsRowDxfId="8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: Summary of Funded and Unfunded State-Mandated Programs. As of August 31, 2020. School Districts and Community College Districts-Funded."/>
    </ext>
  </extLst>
</table>
</file>

<file path=xl/tables/table19.xml><?xml version="1.0" encoding="utf-8"?>
<table xmlns="http://schemas.openxmlformats.org/spreadsheetml/2006/main" id="124" name="fundedmandatesgrandtotal" displayName="fundedmandatesgrandtotal" ref="A13:O17" totalsRowCount="1" headerRowDxfId="3256" totalsRowDxfId="3253" headerRowBorderDxfId="3255" tableBorderDxfId="3254" totalsRowBorderDxfId="3252">
  <autoFilter ref="A13:O16"/>
  <tableColumns count="15">
    <tableColumn id="1" name="Program_x000a_Category" totalsRowLabel="Total Schedule B1: Funded Mandates 8" totalsRowDxfId="65" dataCellStyle="Hyperlink"/>
    <tableColumn id="2" name="Comment" totalsRowLabel="Comment: State-mandated programs appropriated for payments in the Budget Act (funded) and programs without appropriations (unfunded)." dataDxfId="3251" totalsRowDxfId="64"/>
    <tableColumn id="3" name="Fiscal_x000a_Year" totalsRowLabel="N/A" dataDxfId="3250" totalsRowDxfId="63"/>
    <tableColumn id="4" name="Schedules" totalsRowLabel="N/A" dataDxfId="3249" totalsRowDxfId="62"/>
    <tableColumn id="5" name="Program_x000a_Costs" totalsRowFunction="sum" dataDxfId="3248" totalsRowDxfId="61"/>
    <tableColumn id="6" name="Less: Net Payments and Offsets" totalsRowFunction="sum" totalsRowDxfId="60"/>
    <tableColumn id="7" name="Comment1" totalsRowLabel="N/A" dataDxfId="3247" totalsRowDxfId="59"/>
    <tableColumn id="8" name="Accounts Payable_x000a_Balance 4" totalsRowFunction="sum" totalsRowDxfId="58"/>
    <tableColumn id="9" name="Comment2" totalsRowLabel="N/A" dataDxfId="3246" totalsRowDxfId="57"/>
    <tableColumn id="10" name="Established_x000a_Accounts _x000a_Receivable 5" totalsRowFunction="sum" totalsRowDxfId="56"/>
    <tableColumn id="11" name="Comment3" totalsRowLabel="N/A" dataDxfId="3245" totalsRowDxfId="55"/>
    <tableColumn id="12" name="Less: Recovered_x000a_Amount" totalsRowFunction="sum" totalsRowDxfId="54"/>
    <tableColumn id="13" name="Accounts Receivable_x000a_Balance 6" totalsRowFunction="sum" totalsRowDxfId="53"/>
    <tableColumn id="14" name="Comment4" totalsRowLabel="N/A" dataDxfId="3244" totalsRowDxfId="52"/>
    <tableColumn id="15" name="Net_x000a_Balance 7 " totalsRowFunction="sum" totalsRowDxfId="5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: Summary of Funded and Unfunded State-Mandated Programs. As of August 31, 2020. Total Funded."/>
    </ext>
  </extLst>
</table>
</file>

<file path=xl/tables/table2.xml><?xml version="1.0" encoding="utf-8"?>
<table xmlns="http://schemas.openxmlformats.org/spreadsheetml/2006/main" id="134" name="dmvnongeneralfund" displayName="dmvnongeneralfund" ref="A9:O14" totalsRowCount="1" totalsRowDxfId="3620" headerRowBorderDxfId="3622" tableBorderDxfId="3621" totalsRowBorderDxfId="3619">
  <autoFilter ref="A9:O13"/>
  <tableColumns count="15">
    <tableColumn id="1" name="Program Category_x000a_ and Fund" totalsRowLabel="Total Motor Vehicle Account-Non-General Fund" dataDxfId="3618" totalsRowDxfId="3617"/>
    <tableColumn id="2" name="Appropriation_x000a_Number" totalsRowLabel="N/A" dataDxfId="3616" totalsRowDxfId="3615"/>
    <tableColumn id="3" name="Legal_x000a_Reference_x000a_(Ch./Year)" totalsRowLabel="N/A" dataDxfId="3614" totalsRowDxfId="3613"/>
    <tableColumn id="4" name="Fiscal Year of_x000a_Claims Paid" totalsRowLabel="N/A" totalsRowDxfId="3612"/>
    <tableColumn id="5" name="Reversion Date" totalsRowLabel="N/A" totalsRowDxfId="3611"/>
    <tableColumn id="6" name="Original_x000a_Appropriation_x000a_Amount" totalsRowFunction="sum" totalsRowDxfId="3610"/>
    <tableColumn id="7" name="Appropriation Balances 1 " totalsRowFunction="sum" dataDxfId="3609" totalsRowDxfId="3608"/>
    <tableColumn id="8" name="Comment1" totalsRowLabel="N/A" dataDxfId="3607" totalsRowDxfId="3606"/>
    <tableColumn id="9" name="Budget Adjustments" totalsRowFunction="sum" dataDxfId="3605" totalsRowDxfId="3604"/>
    <tableColumn id="10" name="Comment3" totalsRowLabel=" N/A " dataDxfId="3603" totalsRowDxfId="3602"/>
    <tableColumn id="11" name="Add: Receipts_x000a_and Recovered Amounts" totalsRowFunction="sum" dataDxfId="3601" totalsRowDxfId="3600"/>
    <tableColumn id="12" name="Less: Mandated Program Payments, Offsets, and Interest_x000a_(see Schedule A1)" totalsRowFunction="sum" totalsRowDxfId="3599"/>
    <tableColumn id="13" name="Comment2" totalsRowLabel=" N/A " dataDxfId="3598" totalsRowDxfId="3597"/>
    <tableColumn id="14" name="Less: Appropriations for Reversion" totalsRowFunction="sum" dataDxfId="3596" totalsRowDxfId="3595"/>
    <tableColumn id="15" name="Appropriation Balances_x000a_as of 8/31/2020" totalsRowFunction="sum" dataDxfId="3594" totalsRowDxfId="3593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: Summary of State-Mandated Program Appropriations, Receipts, and Payments. As of August 31, 2020. For Motor Vehicle Account-Non General Fund."/>
    </ext>
  </extLst>
</table>
</file>

<file path=xl/tables/table20.xml><?xml version="1.0" encoding="utf-8"?>
<table xmlns="http://schemas.openxmlformats.org/spreadsheetml/2006/main" id="125" name="scheduleblocalunfunded" displayName="scheduleblocalunfunded" ref="A19:O22" totalsRowCount="1" headerRowDxfId="3243" totalsRowDxfId="3240" headerRowBorderDxfId="3242" tableBorderDxfId="3241" totalsRowBorderDxfId="3239">
  <autoFilter ref="A19:O21"/>
  <tableColumns count="15">
    <tableColumn id="1" name="Program_x000a_Category" totalsRowLabel="Total Local Agencies" totalsRowDxfId="3238"/>
    <tableColumn id="2" name="Comment" totalsRowLabel="N/A" totalsRowDxfId="3237"/>
    <tableColumn id="3" name="Fiscal_x000a_Year" totalsRowLabel="N/A" totalsRowDxfId="3236"/>
    <tableColumn id="4" name="Schedules" totalsRowLabel="N/A" totalsRowDxfId="3235"/>
    <tableColumn id="5" name="Program_x000a_Costs" totalsRowFunction="sum" totalsRowDxfId="3234"/>
    <tableColumn id="6" name="Less: Net Payments and Offsets" totalsRowFunction="sum" totalsRowDxfId="3233"/>
    <tableColumn id="7" name="Comment1" totalsRowLabel="N/A" totalsRowDxfId="3232"/>
    <tableColumn id="8" name="Accounts Payable_x000a_Balance 4" totalsRowFunction="sum" totalsRowDxfId="3231"/>
    <tableColumn id="9" name="Comment2" totalsRowLabel="N/A" totalsRowDxfId="3230"/>
    <tableColumn id="10" name="Established_x000a_Accounts _x000a_Receivable 5" totalsRowFunction="sum" totalsRowDxfId="3229"/>
    <tableColumn id="11" name="Comment3" totalsRowLabel="N/A" totalsRowDxfId="3228"/>
    <tableColumn id="12" name="Less: Recovered_x000a_Amount" totalsRowFunction="sum" totalsRowDxfId="3227"/>
    <tableColumn id="13" name="Accounts Receivable_x000a_Balance 6" totalsRowFunction="sum" totalsRowDxfId="3226"/>
    <tableColumn id="14" name="Comment4" totalsRowLabel="N/A" totalsRowDxfId="3225"/>
    <tableColumn id="15" name="Net_x000a_Balance 7 " totalsRowFunction="sum" totalsRowDxfId="322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: Summary of Funded and Unfunded State-Mandated Programs. As of August 31, 2020. Local Agencies-Unfunded."/>
    </ext>
  </extLst>
</table>
</file>

<file path=xl/tables/table21.xml><?xml version="1.0" encoding="utf-8"?>
<table xmlns="http://schemas.openxmlformats.org/spreadsheetml/2006/main" id="126" name="schedulebsdandccdunfunded" displayName="schedulebsdandccdunfunded" ref="A24:O28" totalsRowCount="1" headerRowDxfId="3223" totalsRowDxfId="3220" headerRowBorderDxfId="3222" tableBorderDxfId="3221" totalsRowBorderDxfId="3219">
  <autoFilter ref="A24:O27"/>
  <tableColumns count="15">
    <tableColumn id="1" name="Program_x000a_Category" totalsRowLabel="Total School Districts and Community College Districts" totalsRowDxfId="3218"/>
    <tableColumn id="2" name="Comment" totalsRowLabel="N/A" totalsRowDxfId="3217"/>
    <tableColumn id="3" name="Fiscal_x000a_Year" totalsRowLabel="N/A" totalsRowDxfId="3216"/>
    <tableColumn id="4" name="Schedules" totalsRowLabel="N/A" totalsRowDxfId="3215"/>
    <tableColumn id="5" name="Program_x000a_Costs" totalsRowFunction="sum" totalsRowDxfId="3214"/>
    <tableColumn id="6" name="Less: Net Payments and Offsets" totalsRowFunction="sum" totalsRowDxfId="3213"/>
    <tableColumn id="7" name="Comment1" totalsRowLabel="N/A" totalsRowDxfId="3212"/>
    <tableColumn id="8" name="Accounts Payable_x000a_Balance 4" totalsRowFunction="sum" totalsRowDxfId="3211"/>
    <tableColumn id="9" name="Comment2" totalsRowLabel="N/A" totalsRowDxfId="3210"/>
    <tableColumn id="10" name="Established_x000a_Accounts _x000a_Receivable 5" totalsRowFunction="sum" totalsRowDxfId="3209"/>
    <tableColumn id="11" name="Comment3" totalsRowLabel="N/A" totalsRowDxfId="3208"/>
    <tableColumn id="12" name="Less: Recovered_x000a_Amount" totalsRowFunction="sum" totalsRowDxfId="3207"/>
    <tableColumn id="13" name="Accounts Receivable_x000a_Balance 6" totalsRowFunction="sum" totalsRowDxfId="3206"/>
    <tableColumn id="14" name="Comment4" totalsRowLabel="N/A" totalsRowDxfId="3205"/>
    <tableColumn id="15" name="Net_x000a_Balance 7 " totalsRowFunction="sum" totalsRowDxfId="320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: Summary of Funded and Unfunded State-Mandated Programs. As of August 31, 2020. School districts and Community College Districts-Unfunded."/>
    </ext>
  </extLst>
</table>
</file>

<file path=xl/tables/table22.xml><?xml version="1.0" encoding="utf-8"?>
<table xmlns="http://schemas.openxmlformats.org/spreadsheetml/2006/main" id="127" name="schedulebunfunded" displayName="schedulebunfunded" ref="A30:O34" totalsRowCount="1" headerRowDxfId="3203" dataDxfId="3201" totalsRowDxfId="3199" headerRowBorderDxfId="3202" tableBorderDxfId="3200" totalsRowBorderDxfId="3198">
  <autoFilter ref="A30:O33"/>
  <tableColumns count="15">
    <tableColumn id="1" name="Program_x000a_Category" totalsRowLabel="Total Schedule B2: Unfunded Mandates 8" totalsRowDxfId="50" dataCellStyle="Hyperlink"/>
    <tableColumn id="2" name="Comment" totalsRowLabel="Comment: State-mandated programs appropriated for payments in the Budget Act (funded) and programs without appropriations (unfunded)." dataDxfId="3197" totalsRowDxfId="49"/>
    <tableColumn id="3" name="Fiscal_x000a_Year" totalsRowLabel="N/A" dataDxfId="3196" totalsRowDxfId="48"/>
    <tableColumn id="4" name="Schedules" totalsRowLabel="N/A" dataDxfId="3195" totalsRowDxfId="47"/>
    <tableColumn id="5" name="Program_x000a_Costs" totalsRowFunction="sum" dataDxfId="3194" totalsRowDxfId="46"/>
    <tableColumn id="6" name="Less: Net Payments and Offsets" totalsRowFunction="sum" dataDxfId="3193" totalsRowDxfId="45"/>
    <tableColumn id="7" name="Comment1" totalsRowLabel="N/A" dataDxfId="3192" totalsRowDxfId="44"/>
    <tableColumn id="8" name="Accounts Payable_x000a_Balance 4" totalsRowFunction="sum" dataDxfId="3191" totalsRowDxfId="43"/>
    <tableColumn id="9" name="Comment2" totalsRowLabel="N/A" dataDxfId="3190" totalsRowDxfId="42"/>
    <tableColumn id="10" name="Established_x000a_Accounts _x000a_Receivable 5" totalsRowFunction="sum" dataDxfId="3189" totalsRowDxfId="41"/>
    <tableColumn id="11" name="Comment3" totalsRowLabel="N/A" dataDxfId="3188" totalsRowDxfId="40"/>
    <tableColumn id="12" name="Less: Recovered_x000a_Amount" totalsRowFunction="sum" dataDxfId="3187" totalsRowDxfId="39"/>
    <tableColumn id="13" name="Accounts Receivable_x000a_Balance 6" totalsRowFunction="sum" dataDxfId="3186" totalsRowDxfId="38"/>
    <tableColumn id="14" name="Comment4" totalsRowLabel="N/A" dataDxfId="3185" totalsRowDxfId="37"/>
    <tableColumn id="15" name="Net_x000a_Balance 7 " totalsRowFunction="sum" dataDxfId="3184" totalsRowDxfId="3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: Summary of Funded and Unfunded State-Mandated Programs. As of August 31, 2020. Total Unfunded."/>
    </ext>
  </extLst>
</table>
</file>

<file path=xl/tables/table23.xml><?xml version="1.0" encoding="utf-8"?>
<table xmlns="http://schemas.openxmlformats.org/spreadsheetml/2006/main" id="128" name="schedulebgrandtotal" displayName="schedulebgrandtotal" ref="A36:O40" totalsRowCount="1" headerRowDxfId="3183" dataDxfId="3181" totalsRowDxfId="3179" headerRowBorderDxfId="3182" tableBorderDxfId="3180" totalsRowBorderDxfId="3178">
  <autoFilter ref="A36:O39"/>
  <tableColumns count="15">
    <tableColumn id="1" name="Program_x000a_Category" totalsRowLabel="Grand Total Local Agencies, School Districts, and Community College Districts" dataDxfId="3177" totalsRowDxfId="3176"/>
    <tableColumn id="2" name="Comment" totalsRowLabel=" N/A " dataDxfId="3175" totalsRowDxfId="3174"/>
    <tableColumn id="3" name="Fiscal_x000a_Year" totalsRowLabel=" N/A " dataDxfId="3173" totalsRowDxfId="3172"/>
    <tableColumn id="4" name="Schedules" totalsRowLabel=" N/A " dataDxfId="3171" totalsRowDxfId="3170"/>
    <tableColumn id="5" name="Program_x000a_Costs" totalsRowFunction="sum" dataDxfId="3169" totalsRowDxfId="3168">
      <calculatedColumnFormula>E14+E31</calculatedColumnFormula>
    </tableColumn>
    <tableColumn id="6" name="Less: Net Payments and Offsets" totalsRowFunction="sum" dataDxfId="3167" totalsRowDxfId="3166">
      <calculatedColumnFormula>F14+F31</calculatedColumnFormula>
    </tableColumn>
    <tableColumn id="7" name="Comment1" totalsRowLabel=" N/A " dataDxfId="3165" totalsRowDxfId="3164"/>
    <tableColumn id="8" name="Accounts Payable_x000a_Balance 4" totalsRowFunction="sum" dataDxfId="3163" totalsRowDxfId="3162">
      <calculatedColumnFormula>H14+H31</calculatedColumnFormula>
    </tableColumn>
    <tableColumn id="9" name="Comment2" totalsRowLabel=" N/A " dataDxfId="3161" totalsRowDxfId="3160"/>
    <tableColumn id="10" name="Established_x000a_Accounts _x000a_Receivable 5" totalsRowFunction="sum" dataDxfId="3159" totalsRowDxfId="3158">
      <calculatedColumnFormula>J14+J31</calculatedColumnFormula>
    </tableColumn>
    <tableColumn id="11" name="Comment3" totalsRowLabel=" N/A " dataDxfId="3157" totalsRowDxfId="3156"/>
    <tableColumn id="12" name="Less: Recovered_x000a_Amount" totalsRowFunction="sum" dataDxfId="3155" totalsRowDxfId="3154">
      <calculatedColumnFormula>L14+L31</calculatedColumnFormula>
    </tableColumn>
    <tableColumn id="13" name="Accounts Receivable_x000a_Balance 6" totalsRowFunction="sum" dataDxfId="3153" totalsRowDxfId="3152">
      <calculatedColumnFormula>M14+M31</calculatedColumnFormula>
    </tableColumn>
    <tableColumn id="14" name="Comment4" totalsRowLabel=" N/A " dataDxfId="3151" totalsRowDxfId="3150"/>
    <tableColumn id="15" name="Net_x000a_Balance 7 " totalsRowFunction="sum" dataDxfId="3149" totalsRowDxfId="3148">
      <calculatedColumnFormula>O14+O31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: Summary of Funded and Unfunded State-Mandated Programs. As of August 31, 2020. Grand total."/>
    </ext>
  </extLst>
</table>
</file>

<file path=xl/tables/table24.xml><?xml version="1.0" encoding="utf-8"?>
<table xmlns="http://schemas.openxmlformats.org/spreadsheetml/2006/main" id="17" name="local201819" displayName="local201819" ref="A2:L11" totalsRowCount="1" headerRowDxfId="3147" dataDxfId="3145" totalsRowDxfId="3143" headerRowBorderDxfId="3146" tableBorderDxfId="3144" totalsRowBorderDxfId="3142" headerRowCellStyle="Currency">
  <autoFilter ref="A2:L10"/>
  <tableColumns count="12">
    <tableColumn id="1" name="Fiscal_x000a_Year" totalsRowLabel="2018-19 Total" dataDxfId="3141" totalsRowDxfId="35"/>
    <tableColumn id="2" name="Program_x000a_Name" totalsRowLabel="N/A" dataDxfId="3140" totalsRowDxfId="34"/>
    <tableColumn id="3" name="Legal_x000a_Reference_x000a_(Ch./Year)" totalsRowLabel="N/A" dataDxfId="3139" totalsRowDxfId="33"/>
    <tableColumn id="4" name="Program Number" totalsRowLabel="N/A" dataDxfId="3138" totalsRowDxfId="32"/>
    <tableColumn id="5" name="Program_x000a_Costs" totalsRowFunction="sum" dataDxfId="3137" totalsRowDxfId="31"/>
    <tableColumn id="6" name="Less: Net Payments and Offsets 9" totalsRowFunction="sum" dataDxfId="3136" totalsRowDxfId="30"/>
    <tableColumn id="7" name="Comment: Local Agencies do not receive one-time funding offsets." totalsRowLabel="N/A" dataDxfId="3135" totalsRowDxfId="29"/>
    <tableColumn id="8" name="Accounts Payable_x000a_Balance" totalsRowFunction="sum" dataDxfId="3134" totalsRowDxfId="28"/>
    <tableColumn id="9" name="Established_x000a_Accounts Receivable" totalsRowFunction="sum" dataDxfId="3133" totalsRowDxfId="27"/>
    <tableColumn id="10" name="Less: Recovered Amount" totalsRowFunction="sum" dataDxfId="3132" totalsRowDxfId="26"/>
    <tableColumn id="11" name="Accounts Receivable_x000a_Balance" totalsRowFunction="sum" dataDxfId="3131" totalsRowDxfId="25"/>
    <tableColumn id="12" name="Net_x000a_Balance" totalsRowFunction="sum" dataDxfId="3130" totalsRowDxfId="2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25.xml><?xml version="1.0" encoding="utf-8"?>
<table xmlns="http://schemas.openxmlformats.org/spreadsheetml/2006/main" id="18" name="local201718" displayName="local201718" ref="A13:L20" totalsRowCount="1" headerRowDxfId="3129" dataDxfId="3127" totalsRowDxfId="3125" headerRowBorderDxfId="3128" tableBorderDxfId="3126" totalsRowBorderDxfId="3124" headerRowCellStyle="Currency">
  <autoFilter ref="A13:L19"/>
  <tableColumns count="12">
    <tableColumn id="1" name="Fiscal_x000a_Year" totalsRowLabel="2017-18 Total" dataDxfId="3123" totalsRowDxfId="3122"/>
    <tableColumn id="2" name="Program_x000a_Name" totalsRowLabel="N/A" dataDxfId="3121" totalsRowDxfId="3120"/>
    <tableColumn id="3" name="Legal_x000a_Reference_x000a_(Ch./Year)" totalsRowLabel="N/A" dataDxfId="3119" totalsRowDxfId="3118"/>
    <tableColumn id="4" name="Program Number" totalsRowLabel="N/A" dataDxfId="3117" totalsRowDxfId="3116"/>
    <tableColumn id="5" name="Program_x000a_Costs" totalsRowFunction="sum" dataDxfId="3115" totalsRowDxfId="3114"/>
    <tableColumn id="6" name="Less: Net Payments and Offsets 9" totalsRowFunction="sum" dataDxfId="3113" totalsRowDxfId="3112"/>
    <tableColumn id="7" name="Comment" totalsRowLabel="N/A" dataDxfId="3111" totalsRowDxfId="3110"/>
    <tableColumn id="8" name="Accounts Payable_x000a_Balance" totalsRowFunction="sum" dataDxfId="3109" totalsRowDxfId="3108"/>
    <tableColumn id="9" name="Established_x000a_Accounts Receivable" totalsRowFunction="sum" dataDxfId="3107" totalsRowDxfId="3106"/>
    <tableColumn id="10" name="Less: Recovered Amount" totalsRowFunction="sum" dataDxfId="3105" totalsRowDxfId="3104"/>
    <tableColumn id="11" name="Accounts Receivable_x000a_Balance" totalsRowFunction="sum" dataDxfId="3103" totalsRowDxfId="3102"/>
    <tableColumn id="12" name="Net_x000a_Balance" totalsRowFunction="sum" dataDxfId="3101" totalsRowDxfId="310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26.xml><?xml version="1.0" encoding="utf-8"?>
<table xmlns="http://schemas.openxmlformats.org/spreadsheetml/2006/main" id="19" name="local201617" displayName="local201617" ref="A22:L26" totalsRowCount="1" headerRowDxfId="3099" dataDxfId="3097" totalsRowDxfId="3095" headerRowBorderDxfId="3098" tableBorderDxfId="3096" totalsRowBorderDxfId="3094" headerRowCellStyle="Currency">
  <autoFilter ref="A22:L25"/>
  <tableColumns count="12">
    <tableColumn id="1" name="Fiscal_x000a_Year" totalsRowLabel="2016-17 Total" dataDxfId="3093" totalsRowDxfId="3092"/>
    <tableColumn id="2" name="Program_x000a_Name" totalsRowLabel="N/A" dataDxfId="3091" totalsRowDxfId="3090"/>
    <tableColumn id="3" name="Legal_x000a_Reference_x000a_(Ch./Year)" totalsRowLabel="N/A" dataDxfId="3089" totalsRowDxfId="3088"/>
    <tableColumn id="4" name="Program Number" totalsRowLabel="N/A" dataDxfId="3087" totalsRowDxfId="3086"/>
    <tableColumn id="5" name="Program_x000a_Costs" totalsRowFunction="sum" dataDxfId="3085" totalsRowDxfId="3084"/>
    <tableColumn id="6" name="Less: Net Payments and Offsets 9" totalsRowFunction="sum" dataDxfId="3083" totalsRowDxfId="3082"/>
    <tableColumn id="7" name="Comment" totalsRowLabel="N/A" dataDxfId="3081" totalsRowDxfId="3080"/>
    <tableColumn id="8" name="Accounts Payable_x000a_Balance" totalsRowFunction="sum" dataDxfId="3079" totalsRowDxfId="3078"/>
    <tableColumn id="9" name="Established_x000a_Accounts Receivable" totalsRowFunction="sum" dataDxfId="3077" totalsRowDxfId="3076"/>
    <tableColumn id="10" name="Less: Recovered Amount" totalsRowFunction="sum" dataDxfId="3075" totalsRowDxfId="3074"/>
    <tableColumn id="11" name="Accounts Receivable_x000a_Balance" totalsRowFunction="sum" dataDxfId="3073" totalsRowDxfId="3072"/>
    <tableColumn id="12" name="Net_x000a_Balance" totalsRowFunction="sum" dataDxfId="3071" totalsRowDxfId="307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27.xml><?xml version="1.0" encoding="utf-8"?>
<table xmlns="http://schemas.openxmlformats.org/spreadsheetml/2006/main" id="20" name="local201516" displayName="local201516" ref="A28:L30" totalsRowCount="1" headerRowDxfId="3069" dataDxfId="3067" totalsRowDxfId="3065" headerRowBorderDxfId="3068" tableBorderDxfId="3066" totalsRowBorderDxfId="3064" headerRowCellStyle="Currency">
  <autoFilter ref="A28:L29"/>
  <tableColumns count="12">
    <tableColumn id="1" name="Fiscal_x000a_Year" totalsRowLabel="2015-16 Total" dataDxfId="3063" totalsRowDxfId="3062"/>
    <tableColumn id="2" name="Program_x000a_Name" totalsRowLabel="N/A" dataDxfId="3061" totalsRowDxfId="3060"/>
    <tableColumn id="3" name="Legal_x000a_Reference_x000a_(Ch./Year)" totalsRowLabel="N/A" dataDxfId="3059" totalsRowDxfId="3058"/>
    <tableColumn id="4" name="Program Number" totalsRowLabel="N/A" dataDxfId="3057" totalsRowDxfId="3056"/>
    <tableColumn id="5" name="Program_x000a_Costs" totalsRowFunction="sum" dataDxfId="3055" totalsRowDxfId="3054"/>
    <tableColumn id="6" name="Less: Net Payments and Offsets 9" totalsRowFunction="sum" dataDxfId="3053" totalsRowDxfId="3052"/>
    <tableColumn id="7" name="Comment" totalsRowLabel="N/A" dataDxfId="3051" totalsRowDxfId="3050"/>
    <tableColumn id="8" name="Accounts Payable_x000a_Balance" totalsRowFunction="sum" dataDxfId="3049" totalsRowDxfId="3048"/>
    <tableColumn id="9" name="Established_x000a_Accounts Receivable" totalsRowFunction="sum" dataDxfId="3047" totalsRowDxfId="3046"/>
    <tableColumn id="10" name="Less: Recovered Amount" totalsRowFunction="sum" dataDxfId="3045" totalsRowDxfId="3044"/>
    <tableColumn id="11" name="Accounts Receivable_x000a_Balance" totalsRowFunction="sum" dataDxfId="3043" totalsRowDxfId="3042"/>
    <tableColumn id="12" name="Net_x000a_Balance" totalsRowFunction="sum" dataDxfId="3041" totalsRowDxfId="304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28.xml><?xml version="1.0" encoding="utf-8"?>
<table xmlns="http://schemas.openxmlformats.org/spreadsheetml/2006/main" id="21" name="local201415" displayName="local201415" ref="A32:L34" totalsRowCount="1" headerRowDxfId="3039" dataDxfId="3037" totalsRowDxfId="3035" headerRowBorderDxfId="3038" tableBorderDxfId="3036" totalsRowBorderDxfId="3034" headerRowCellStyle="Currency">
  <autoFilter ref="A32:L33"/>
  <tableColumns count="12">
    <tableColumn id="1" name="Fiscal_x000a_Year" totalsRowLabel="2014-15 Total" dataDxfId="3033" totalsRowDxfId="3032"/>
    <tableColumn id="2" name="Program_x000a_Name" totalsRowLabel="N/A" dataDxfId="3031" totalsRowDxfId="3030"/>
    <tableColumn id="3" name="Legal_x000a_Reference_x000a_(Ch./Year)" totalsRowLabel="N/A" dataDxfId="3029" totalsRowDxfId="3028"/>
    <tableColumn id="4" name="Program Number" totalsRowLabel="N/A" dataDxfId="3027" totalsRowDxfId="3026"/>
    <tableColumn id="5" name="Program_x000a_Costs" totalsRowFunction="sum" dataDxfId="3025" totalsRowDxfId="3024"/>
    <tableColumn id="6" name="Less: Net Payments and Offsets 9" totalsRowFunction="sum" dataDxfId="3023" totalsRowDxfId="3022"/>
    <tableColumn id="7" name="Comment" totalsRowLabel="N/A" dataDxfId="3021" totalsRowDxfId="3020"/>
    <tableColumn id="8" name="Accounts Payable_x000a_Balance" totalsRowFunction="sum" dataDxfId="3019" totalsRowDxfId="3018"/>
    <tableColumn id="9" name="Established_x000a_Accounts Receivable" totalsRowFunction="sum" dataDxfId="3017" totalsRowDxfId="3016"/>
    <tableColumn id="10" name="Less: Recovered Amount" totalsRowFunction="sum" dataDxfId="3015" totalsRowDxfId="3014"/>
    <tableColumn id="11" name="Accounts Receivable_x000a_Balance" totalsRowFunction="sum" dataDxfId="3013" totalsRowDxfId="3012"/>
    <tableColumn id="12" name="Net_x000a_Balance" totalsRowFunction="sum" dataDxfId="3011" totalsRowDxfId="301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29.xml><?xml version="1.0" encoding="utf-8"?>
<table xmlns="http://schemas.openxmlformats.org/spreadsheetml/2006/main" id="22" name="local201314" displayName="local201314" ref="A36:L39" totalsRowCount="1" headerRowDxfId="3009" dataDxfId="3007" totalsRowDxfId="3005" headerRowBorderDxfId="3008" tableBorderDxfId="3006" totalsRowBorderDxfId="3004" headerRowCellStyle="Currency">
  <autoFilter ref="A36:L38"/>
  <tableColumns count="12">
    <tableColumn id="1" name="Fiscal_x000a_Year" totalsRowLabel="2013-14 Total" dataDxfId="3003" totalsRowDxfId="3002"/>
    <tableColumn id="2" name="Program_x000a_Name" totalsRowLabel="N/A" dataDxfId="3001" totalsRowDxfId="3000"/>
    <tableColumn id="3" name="Legal_x000a_Reference_x000a_(Ch./Year)" totalsRowLabel="N/A" dataDxfId="2999" totalsRowDxfId="2998"/>
    <tableColumn id="4" name="Program Number" totalsRowLabel="N/A" dataDxfId="2997" totalsRowDxfId="2996"/>
    <tableColumn id="5" name="Program_x000a_Costs" totalsRowFunction="sum" dataDxfId="2995" totalsRowDxfId="2994"/>
    <tableColumn id="6" name="Less: Net Payments and Offsets 9" totalsRowFunction="sum" dataDxfId="2993" totalsRowDxfId="2992"/>
    <tableColumn id="7" name="Comment" totalsRowLabel="N/A" dataDxfId="2991" totalsRowDxfId="2990"/>
    <tableColumn id="8" name="Accounts Payable_x000a_Balance" totalsRowFunction="sum" dataDxfId="2989" totalsRowDxfId="2988"/>
    <tableColumn id="9" name="Established_x000a_Accounts Receivable" totalsRowFunction="sum" dataDxfId="2987" totalsRowDxfId="2986"/>
    <tableColumn id="10" name="Less: Recovered Amount" totalsRowFunction="sum" dataDxfId="2985" totalsRowDxfId="2984"/>
    <tableColumn id="11" name="Accounts Receivable_x000a_Balance" totalsRowFunction="sum" dataDxfId="2983" totalsRowDxfId="2982"/>
    <tableColumn id="12" name="Net_x000a_Balance" totalsRowFunction="sum" dataDxfId="2981" totalsRowDxfId="298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3.xml><?xml version="1.0" encoding="utf-8"?>
<table xmlns="http://schemas.openxmlformats.org/spreadsheetml/2006/main" id="106" name="pestnongeneralfund" displayName="pestnongeneralfund" ref="A16:O21" totalsRowCount="1" totalsRowDxfId="3590" headerRowBorderDxfId="3592" tableBorderDxfId="3591" totalsRowBorderDxfId="3589">
  <autoFilter ref="A16:O20"/>
  <tableColumns count="15">
    <tableColumn id="1" name="Program Category_x000a_ and Fund" totalsRowLabel="Total Pesticide Regulation-Non-General Fund" dataDxfId="3588" totalsRowDxfId="3587"/>
    <tableColumn id="2" name="Appropriation_x000a_Number" totalsRowLabel="N/A" dataDxfId="3586" totalsRowDxfId="3585"/>
    <tableColumn id="3" name="Legal_x000a_Reference_x000a_(Ch./Year)" totalsRowLabel="N/A" dataDxfId="3584" totalsRowDxfId="3583"/>
    <tableColumn id="4" name="Fiscal Year of_x000a_Claims Paid" totalsRowLabel="N/A" dataDxfId="3582" totalsRowDxfId="3581"/>
    <tableColumn id="5" name="Reversion Date" totalsRowLabel="N/A" totalsRowDxfId="3580"/>
    <tableColumn id="6" name="Original_x000a_Appropriation_x000a_Amount" totalsRowFunction="sum" dataDxfId="3579" totalsRowDxfId="3578"/>
    <tableColumn id="7" name="Appropriation Balances 1 " totalsRowFunction="sum" dataDxfId="3577" totalsRowDxfId="3576"/>
    <tableColumn id="8" name="Comment1" totalsRowLabel="N/A" dataDxfId="3575" totalsRowDxfId="3574"/>
    <tableColumn id="9" name="Budget Adjustments" totalsRowFunction="sum" dataDxfId="3573" totalsRowDxfId="3572"/>
    <tableColumn id="10" name="Comment3" totalsRowLabel="N/A" dataDxfId="3571" totalsRowDxfId="3570"/>
    <tableColumn id="11" name="Add: Receipts_x000a_and Recovered Amounts" totalsRowFunction="sum" dataDxfId="3569" totalsRowDxfId="3568"/>
    <tableColumn id="12" name="Less: Mandated Program Payments, Offsets, and Interest_x000a_(see Schedule A1)" totalsRowFunction="sum" dataDxfId="3567" totalsRowDxfId="3566"/>
    <tableColumn id="13" name="Comment2" totalsRowLabel="N/A" dataDxfId="3565" totalsRowDxfId="3564"/>
    <tableColumn id="14" name="Less: Appropriations for Reversion" totalsRowFunction="sum" dataDxfId="3563" totalsRowDxfId="3562"/>
    <tableColumn id="15" name="Appropriation Balances_x000a_as of 8/31/2020" totalsRowFunction="sum" totalsRowDxfId="3561">
      <calculatedColumnFormula>G17+I17+K17-L17-N17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: Summary of State-Mandated Program Appropriations, Receipts, and Payments. As of August 31, 2020. For Pesticide Regulation-Non General Fund."/>
    </ext>
  </extLst>
</table>
</file>

<file path=xl/tables/table30.xml><?xml version="1.0" encoding="utf-8"?>
<table xmlns="http://schemas.openxmlformats.org/spreadsheetml/2006/main" id="23" name="local201213" displayName="local201213" ref="A41:L43" totalsRowCount="1" headerRowDxfId="2979" dataDxfId="2977" totalsRowDxfId="2975" headerRowBorderDxfId="2978" tableBorderDxfId="2976" totalsRowBorderDxfId="2974" headerRowCellStyle="Currency">
  <autoFilter ref="A41:L42"/>
  <tableColumns count="12">
    <tableColumn id="1" name="Fiscal_x000a_Year" totalsRowLabel="2012-13 Total" dataDxfId="2973" totalsRowDxfId="2972"/>
    <tableColumn id="2" name="Program_x000a_Name" totalsRowLabel="N/A" dataDxfId="2971" totalsRowDxfId="2970"/>
    <tableColumn id="3" name="Legal_x000a_Reference_x000a_(Ch./Year)" totalsRowLabel="N/A" dataDxfId="2969" totalsRowDxfId="2968"/>
    <tableColumn id="4" name="Program Number" totalsRowLabel="N/A" dataDxfId="2967" totalsRowDxfId="2966"/>
    <tableColumn id="5" name="Program_x000a_Costs" totalsRowFunction="sum" dataDxfId="2965" totalsRowDxfId="2964"/>
    <tableColumn id="6" name="Less: Net Payments and Offsets 9" totalsRowFunction="sum" dataDxfId="2963" totalsRowDxfId="2962"/>
    <tableColumn id="7" name="Comment" totalsRowLabel="N/A" dataDxfId="2961" totalsRowDxfId="2960"/>
    <tableColumn id="8" name="Accounts Payable_x000a_Balance" totalsRowFunction="sum" dataDxfId="2959" totalsRowDxfId="2958"/>
    <tableColumn id="9" name="Established_x000a_Accounts Receivable" totalsRowFunction="sum" dataDxfId="2957" totalsRowDxfId="2956"/>
    <tableColumn id="10" name="Less: Recovered Amount" totalsRowFunction="sum" dataDxfId="2955" totalsRowDxfId="2954"/>
    <tableColumn id="11" name="Accounts Receivable_x000a_Balance" totalsRowFunction="sum" dataDxfId="2953" totalsRowDxfId="2952"/>
    <tableColumn id="12" name="Net_x000a_Balance" totalsRowFunction="sum" dataDxfId="2951" totalsRowDxfId="295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" altTextSummary="Schedule B1: Detail of Funded State-Mandated Programs by Fiscal Year. As of August 31, 2020. Local Agencies."/>
    </ext>
  </extLst>
</table>
</file>

<file path=xl/tables/table31.xml><?xml version="1.0" encoding="utf-8"?>
<table xmlns="http://schemas.openxmlformats.org/spreadsheetml/2006/main" id="24" name="local201112" displayName="local201112" ref="A45:L48" totalsRowCount="1" headerRowDxfId="2949" dataDxfId="2947" totalsRowDxfId="2945" headerRowBorderDxfId="2948" tableBorderDxfId="2946" totalsRowBorderDxfId="2944" headerRowCellStyle="Currency">
  <autoFilter ref="A45:L47"/>
  <tableColumns count="12">
    <tableColumn id="1" name="Fiscal_x000a_Year" totalsRowLabel="2011-12 Total" dataDxfId="2943" totalsRowDxfId="2942"/>
    <tableColumn id="2" name="Program_x000a_Name" totalsRowLabel="N/A" dataDxfId="2941" totalsRowDxfId="2940"/>
    <tableColumn id="3" name="Legal_x000a_Reference_x000a_(Ch./Year)" totalsRowLabel="N/A" dataDxfId="2939" totalsRowDxfId="2938"/>
    <tableColumn id="4" name="Program Number" totalsRowLabel="N/A" dataDxfId="2937" totalsRowDxfId="2936"/>
    <tableColumn id="5" name="Program_x000a_Costs" totalsRowFunction="sum" dataDxfId="2935" totalsRowDxfId="2934"/>
    <tableColumn id="6" name="Less: Net Payments and Offsets 9" totalsRowFunction="sum" dataDxfId="2933" totalsRowDxfId="2932"/>
    <tableColumn id="7" name="Comment" totalsRowLabel="N/A" dataDxfId="2931" totalsRowDxfId="2930"/>
    <tableColumn id="8" name="Accounts Payable_x000a_Balance" totalsRowFunction="sum" dataDxfId="2929" totalsRowDxfId="2928"/>
    <tableColumn id="9" name="Established_x000a_Accounts Receivable" totalsRowFunction="sum" dataDxfId="2927" totalsRowDxfId="2926"/>
    <tableColumn id="10" name="Less: Recovered Amount" totalsRowFunction="sum" dataDxfId="2925" totalsRowDxfId="2924"/>
    <tableColumn id="11" name="Accounts Receivable_x000a_Balance" totalsRowFunction="sum" dataDxfId="2923" totalsRowDxfId="2922"/>
    <tableColumn id="12" name="Net_x000a_Balance" totalsRowFunction="sum" dataDxfId="2921" totalsRowDxfId="292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AB 32000 Report" altTextSummary="Schedule B1: Detail of Funded State-Mandated Programs by Fiscal Year. As of August 31, 2020. Local Agencies."/>
    </ext>
  </extLst>
</table>
</file>

<file path=xl/tables/table32.xml><?xml version="1.0" encoding="utf-8"?>
<table xmlns="http://schemas.openxmlformats.org/spreadsheetml/2006/main" id="25" name="local201011" displayName="local201011" ref="A50:L59" totalsRowCount="1" headerRowDxfId="2919" dataDxfId="2917" totalsRowDxfId="2915" headerRowBorderDxfId="2918" tableBorderDxfId="2916" totalsRowBorderDxfId="2914" headerRowCellStyle="Currency">
  <autoFilter ref="A50:L58"/>
  <tableColumns count="12">
    <tableColumn id="1" name="Fiscal_x000a_Year" totalsRowLabel="2010-11 Total" dataDxfId="2913" totalsRowDxfId="2912"/>
    <tableColumn id="2" name="Program_x000a_Name" totalsRowLabel="N/A" dataDxfId="2911" totalsRowDxfId="2910"/>
    <tableColumn id="3" name="Legal_x000a_Reference_x000a_(Ch./Year)" totalsRowLabel="N/A" dataDxfId="2909" totalsRowDxfId="2908"/>
    <tableColumn id="4" name="Program Number" totalsRowLabel="N/A" dataDxfId="2907" totalsRowDxfId="2906"/>
    <tableColumn id="5" name="Program_x000a_Costs" totalsRowFunction="sum" dataDxfId="2905" totalsRowDxfId="2904"/>
    <tableColumn id="6" name="Less: Net Payments and Offsets 9" totalsRowFunction="sum" dataDxfId="2903" totalsRowDxfId="2902"/>
    <tableColumn id="7" name="Comment" totalsRowLabel="N/A" dataDxfId="2901" totalsRowDxfId="2900"/>
    <tableColumn id="8" name="Accounts Payable_x000a_Balance" totalsRowFunction="sum" dataDxfId="2899" totalsRowDxfId="2898"/>
    <tableColumn id="9" name="Established_x000a_Accounts Receivable" totalsRowFunction="sum" dataDxfId="2897" totalsRowDxfId="2896"/>
    <tableColumn id="10" name="Less: Recovered Amount" totalsRowFunction="sum" dataDxfId="2895" totalsRowDxfId="2894"/>
    <tableColumn id="11" name="Accounts Receivable_x000a_Balance" totalsRowFunction="sum" dataDxfId="2893" totalsRowDxfId="2892"/>
    <tableColumn id="12" name="Net_x000a_Balance" totalsRowFunction="sum" dataDxfId="2891" totalsRowDxfId="289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33.xml><?xml version="1.0" encoding="utf-8"?>
<table xmlns="http://schemas.openxmlformats.org/spreadsheetml/2006/main" id="26" name="local200910" displayName="local200910" ref="A61:L87" totalsRowCount="1" headerRowDxfId="2889" dataDxfId="2887" totalsRowDxfId="2885" headerRowBorderDxfId="2888" tableBorderDxfId="2886" totalsRowBorderDxfId="2884" headerRowCellStyle="Currency">
  <autoFilter ref="A61:L86"/>
  <tableColumns count="12">
    <tableColumn id="1" name="Fiscal_x000a_Year" totalsRowLabel="2009-10 Total" dataDxfId="2883" totalsRowDxfId="2882"/>
    <tableColumn id="2" name="Program_x000a_Name" totalsRowLabel="N/A" dataDxfId="2881" totalsRowDxfId="2880"/>
    <tableColumn id="3" name="Legal_x000a_Reference_x000a_(Ch./Year)" totalsRowLabel="N/A" dataDxfId="2879" totalsRowDxfId="2878"/>
    <tableColumn id="4" name="Program Number" totalsRowLabel="N/A" dataDxfId="2877" totalsRowDxfId="2876"/>
    <tableColumn id="5" name="Program_x000a_Costs" totalsRowFunction="sum" dataDxfId="2875" totalsRowDxfId="2874"/>
    <tableColumn id="6" name="Less: Net Payments and Offsets 9" totalsRowFunction="sum" dataDxfId="2873" totalsRowDxfId="2872"/>
    <tableColumn id="7" name="Comment" totalsRowLabel="N/A" dataDxfId="2871" totalsRowDxfId="2870"/>
    <tableColumn id="8" name="Accounts Payable_x000a_Balance" totalsRowFunction="sum" dataDxfId="2869" totalsRowDxfId="2868"/>
    <tableColumn id="9" name="Established_x000a_Accounts Receivable" totalsRowFunction="sum" dataDxfId="2867" totalsRowDxfId="2866"/>
    <tableColumn id="10" name="Less: Recovered Amount" totalsRowFunction="sum" dataDxfId="2865" totalsRowDxfId="2864"/>
    <tableColumn id="11" name="Accounts Receivable_x000a_Balance" totalsRowFunction="sum" dataDxfId="2863" totalsRowDxfId="2862"/>
    <tableColumn id="12" name="Net_x000a_Balance" totalsRowFunction="sum" dataDxfId="2861" totalsRowDxfId="286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34.xml><?xml version="1.0" encoding="utf-8"?>
<table xmlns="http://schemas.openxmlformats.org/spreadsheetml/2006/main" id="27" name="local200809" displayName="local200809" ref="A89:L113" totalsRowCount="1" headerRowDxfId="2859" dataDxfId="2857" totalsRowDxfId="2855" headerRowBorderDxfId="2858" tableBorderDxfId="2856" totalsRowBorderDxfId="2854" headerRowCellStyle="Currency">
  <autoFilter ref="A89:L112"/>
  <tableColumns count="12">
    <tableColumn id="1" name="Fiscal_x000a_Year" totalsRowLabel="2008-09 Total" dataDxfId="2853" totalsRowDxfId="2852"/>
    <tableColumn id="2" name="Program_x000a_Name" totalsRowLabel="N/A" dataDxfId="2851" totalsRowDxfId="2850"/>
    <tableColumn id="3" name="Legal_x000a_Reference_x000a_(Ch./Year)" totalsRowLabel="N/A" dataDxfId="2849" totalsRowDxfId="2848"/>
    <tableColumn id="4" name="Program Number" totalsRowLabel="N/A" dataDxfId="2847" totalsRowDxfId="2846"/>
    <tableColumn id="5" name="Program_x000a_Costs" totalsRowFunction="sum" dataDxfId="2845" totalsRowDxfId="2844"/>
    <tableColumn id="6" name="Less: Net Payments and Offsets 9" totalsRowFunction="sum" dataDxfId="2843" totalsRowDxfId="2842"/>
    <tableColumn id="7" name="Comment" totalsRowLabel="N/A" dataDxfId="2841" totalsRowDxfId="2840"/>
    <tableColumn id="8" name="Accounts Payable_x000a_Balance" totalsRowFunction="sum" dataDxfId="2839" totalsRowDxfId="2838"/>
    <tableColumn id="9" name="Established_x000a_Accounts Receivable" totalsRowFunction="sum" dataDxfId="2837" totalsRowDxfId="2836"/>
    <tableColumn id="10" name="Less: Recovered Amount" totalsRowFunction="sum" dataDxfId="2835" totalsRowDxfId="2834"/>
    <tableColumn id="11" name="Accounts Receivable_x000a_Balance" totalsRowFunction="sum" dataDxfId="2833" totalsRowDxfId="2832"/>
    <tableColumn id="12" name="Net_x000a_Balance" totalsRowFunction="sum" dataDxfId="2831" totalsRowDxfId="283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35.xml><?xml version="1.0" encoding="utf-8"?>
<table xmlns="http://schemas.openxmlformats.org/spreadsheetml/2006/main" id="28" name="local200708" displayName="local200708" ref="A115:L142" totalsRowCount="1" headerRowDxfId="2829" dataDxfId="2827" totalsRowDxfId="2825" headerRowBorderDxfId="2828" tableBorderDxfId="2826" totalsRowBorderDxfId="2824" headerRowCellStyle="Currency">
  <autoFilter ref="A115:L141"/>
  <tableColumns count="12">
    <tableColumn id="1" name="Fiscal_x000a_Year" totalsRowLabel="2007-08 Total" dataDxfId="2823" totalsRowDxfId="2822"/>
    <tableColumn id="2" name="Program_x000a_Name" totalsRowLabel="N/A" dataDxfId="2821" totalsRowDxfId="2820"/>
    <tableColumn id="3" name="Legal_x000a_Reference_x000a_(Ch./Year)" totalsRowLabel="N/A" dataDxfId="2819" totalsRowDxfId="2818"/>
    <tableColumn id="4" name="Program Number" totalsRowLabel="N/A" dataDxfId="2817" totalsRowDxfId="2816"/>
    <tableColumn id="5" name="Program_x000a_Costs" totalsRowFunction="sum" dataDxfId="2815" totalsRowDxfId="2814"/>
    <tableColumn id="6" name="Less: Net Payments and Offsets 9" totalsRowFunction="sum" dataDxfId="2813" totalsRowDxfId="2812"/>
    <tableColumn id="7" name="Comment" totalsRowLabel="N/A" dataDxfId="2811" totalsRowDxfId="2810"/>
    <tableColumn id="8" name="Accounts Payable_x000a_Balance" totalsRowFunction="sum" dataDxfId="2809" totalsRowDxfId="2808"/>
    <tableColumn id="9" name="Established_x000a_Accounts Receivable" totalsRowFunction="sum" dataDxfId="2807" totalsRowDxfId="2806"/>
    <tableColumn id="10" name="Less: Recovered Amount" totalsRowFunction="sum" dataDxfId="2805" totalsRowDxfId="2804"/>
    <tableColumn id="11" name="Accounts Receivable_x000a_Balance" totalsRowFunction="sum" dataDxfId="2803" totalsRowDxfId="2802"/>
    <tableColumn id="12" name="Net_x000a_Balance" totalsRowFunction="sum" dataDxfId="2801" totalsRowDxfId="280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36.xml><?xml version="1.0" encoding="utf-8"?>
<table xmlns="http://schemas.openxmlformats.org/spreadsheetml/2006/main" id="29" name="local200607" displayName="local200607" ref="A144:L156" totalsRowCount="1" headerRowDxfId="2799" dataDxfId="2797" totalsRowDxfId="2795" headerRowBorderDxfId="2798" tableBorderDxfId="2796" totalsRowBorderDxfId="2794" headerRowCellStyle="Currency">
  <autoFilter ref="A144:L155"/>
  <tableColumns count="12">
    <tableColumn id="1" name="Fiscal_x000a_Year" totalsRowLabel="2006-07 Total" dataDxfId="2793" totalsRowDxfId="2792"/>
    <tableColumn id="2" name="Program_x000a_Name" totalsRowLabel="N/A" dataDxfId="2791" totalsRowDxfId="2790"/>
    <tableColumn id="3" name="Legal_x000a_Reference_x000a_(Ch./Year)" totalsRowLabel="N/A" dataDxfId="2789" totalsRowDxfId="2788"/>
    <tableColumn id="4" name="Program Number" totalsRowLabel="N/A" dataDxfId="2787" totalsRowDxfId="2786"/>
    <tableColumn id="5" name="Program_x000a_Costs" totalsRowFunction="sum" dataDxfId="2785" totalsRowDxfId="2784"/>
    <tableColumn id="6" name="Less: Net Payments and Offsets 9" totalsRowFunction="sum" dataDxfId="2783" totalsRowDxfId="2782"/>
    <tableColumn id="7" name="Comment" totalsRowLabel="N/A" dataDxfId="2781" totalsRowDxfId="2780"/>
    <tableColumn id="8" name="Accounts Payable_x000a_Balance" totalsRowFunction="sum" dataDxfId="2779" totalsRowDxfId="2778"/>
    <tableColumn id="9" name="Established_x000a_Accounts Receivable" totalsRowFunction="sum" dataDxfId="2777" totalsRowDxfId="2776"/>
    <tableColumn id="10" name="Less: Recovered Amount" totalsRowFunction="sum" dataDxfId="2775" totalsRowDxfId="2774"/>
    <tableColumn id="11" name="Accounts Receivable_x000a_Balance" totalsRowFunction="sum" dataDxfId="2773" totalsRowDxfId="2772"/>
    <tableColumn id="12" name="Net_x000a_Balance" totalsRowFunction="sum" dataDxfId="2771" totalsRowDxfId="277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37.xml><?xml version="1.0" encoding="utf-8"?>
<table xmlns="http://schemas.openxmlformats.org/spreadsheetml/2006/main" id="30" name="local200506" displayName="local200506" ref="A158:L166" totalsRowCount="1" headerRowDxfId="2769" dataDxfId="2767" totalsRowDxfId="2765" headerRowBorderDxfId="2768" tableBorderDxfId="2766" totalsRowBorderDxfId="2764" headerRowCellStyle="Currency">
  <autoFilter ref="A158:L165"/>
  <tableColumns count="12">
    <tableColumn id="1" name="Fiscal_x000a_Year" totalsRowLabel="2005-06 Total" dataDxfId="2763" totalsRowDxfId="2762"/>
    <tableColumn id="2" name="Program_x000a_Name" totalsRowLabel="N/A" dataDxfId="2761" totalsRowDxfId="2760"/>
    <tableColumn id="3" name="Legal_x000a_Reference_x000a_(Ch./Year)" totalsRowLabel="N/A" dataDxfId="2759" totalsRowDxfId="2758"/>
    <tableColumn id="4" name="Program Number" totalsRowLabel="N/A" dataDxfId="2757" totalsRowDxfId="2756"/>
    <tableColumn id="5" name="Program_x000a_Costs" totalsRowFunction="sum" dataDxfId="2755" totalsRowDxfId="2754"/>
    <tableColumn id="6" name="Less: Net Payments and Offsets 9" totalsRowFunction="sum" dataDxfId="2753" totalsRowDxfId="2752"/>
    <tableColumn id="7" name="Comment" totalsRowLabel="N/A" dataDxfId="2751" totalsRowDxfId="2750"/>
    <tableColumn id="8" name="Accounts Payable_x000a_Balance" totalsRowFunction="sum" dataDxfId="2749" totalsRowDxfId="2748"/>
    <tableColumn id="9" name="Established_x000a_Accounts Receivable" totalsRowFunction="sum" dataDxfId="2747" totalsRowDxfId="2746"/>
    <tableColumn id="10" name="Less: Recovered Amount" totalsRowFunction="sum" dataDxfId="2745" totalsRowDxfId="2744"/>
    <tableColumn id="11" name="Accounts Receivable_x000a_Balance" totalsRowFunction="sum" dataDxfId="2743" totalsRowDxfId="2742"/>
    <tableColumn id="12" name="Net_x000a_Balance" totalsRowFunction="sum" dataDxfId="2741" totalsRowDxfId="274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38.xml><?xml version="1.0" encoding="utf-8"?>
<table xmlns="http://schemas.openxmlformats.org/spreadsheetml/2006/main" id="31" name="local200405" displayName="local200405" ref="A168:L175" totalsRowCount="1" headerRowDxfId="2739" dataDxfId="2737" totalsRowDxfId="2735" headerRowBorderDxfId="2738" tableBorderDxfId="2736" totalsRowBorderDxfId="2734" headerRowCellStyle="Currency">
  <autoFilter ref="A168:L174"/>
  <tableColumns count="12">
    <tableColumn id="1" name="Fiscal_x000a_Year" totalsRowLabel="2004-05 Total" totalsRowDxfId="2733"/>
    <tableColumn id="2" name="Program_x000a_Name" totalsRowLabel="N/A" totalsRowDxfId="2732"/>
    <tableColumn id="3" name="Legal_x000a_Reference_x000a_(Ch./Year)" totalsRowLabel="N/A" totalsRowDxfId="2731"/>
    <tableColumn id="4" name="Program Number" totalsRowLabel="N/A" totalsRowDxfId="2730"/>
    <tableColumn id="5" name="Program_x000a_Costs" totalsRowFunction="sum" totalsRowDxfId="2729"/>
    <tableColumn id="6" name="Less: Net Payments and Offsets 9" totalsRowFunction="sum" totalsRowDxfId="2728"/>
    <tableColumn id="7" name="Comment" totalsRowLabel="N/A" totalsRowDxfId="2727"/>
    <tableColumn id="8" name="Accounts Payable_x000a_Balance" totalsRowFunction="sum" totalsRowDxfId="2726"/>
    <tableColumn id="9" name="Established_x000a_Accounts Receivable" totalsRowFunction="sum" totalsRowDxfId="2725"/>
    <tableColumn id="10" name="Less: Recovered Amount" totalsRowFunction="sum" totalsRowDxfId="2724"/>
    <tableColumn id="11" name="Accounts Receivable_x000a_Balance" totalsRowFunction="sum" totalsRowDxfId="2723"/>
    <tableColumn id="12" name="Net_x000a_Balance" totalsRowFunction="sum" totalsRowDxfId="272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39.xml><?xml version="1.0" encoding="utf-8"?>
<table xmlns="http://schemas.openxmlformats.org/spreadsheetml/2006/main" id="32" name="local200304" displayName="local200304" ref="A177:L180" totalsRowCount="1" headerRowDxfId="2721" dataDxfId="2719" totalsRowDxfId="2717" headerRowBorderDxfId="2720" tableBorderDxfId="2718" totalsRowBorderDxfId="2716" headerRowCellStyle="Currency">
  <autoFilter ref="A177:L179"/>
  <tableColumns count="12">
    <tableColumn id="1" name="Fiscal_x000a_Year" totalsRowLabel="2003-04 Total" dataDxfId="2715" totalsRowDxfId="2714"/>
    <tableColumn id="2" name="Program_x000a_Name" totalsRowLabel="N/A" dataDxfId="2713" totalsRowDxfId="2712"/>
    <tableColumn id="3" name="Legal_x000a_Reference_x000a_(Ch./Year)" totalsRowLabel="N/A" dataDxfId="2711" totalsRowDxfId="2710"/>
    <tableColumn id="4" name="Program Number" totalsRowLabel="N/A" dataDxfId="2709" totalsRowDxfId="2708"/>
    <tableColumn id="5" name="Program_x000a_Costs" totalsRowFunction="sum" dataDxfId="2707" totalsRowDxfId="2706"/>
    <tableColumn id="6" name="Less: Net Payments and Offsets 9" totalsRowFunction="sum" dataDxfId="2705" totalsRowDxfId="2704"/>
    <tableColumn id="7" name="Comment" totalsRowLabel="N/A" dataDxfId="2703" totalsRowDxfId="2702"/>
    <tableColumn id="8" name="Accounts Payable_x000a_Balance" totalsRowFunction="sum" dataDxfId="2701" totalsRowDxfId="2700"/>
    <tableColumn id="9" name="Established_x000a_Accounts Receivable" totalsRowFunction="sum" dataDxfId="2699" totalsRowDxfId="2698"/>
    <tableColumn id="10" name="Less: Recovered Amount" totalsRowFunction="sum" dataDxfId="2697" totalsRowDxfId="2696"/>
    <tableColumn id="11" name="Accounts Receivable_x000a_Balance" totalsRowFunction="sum" dataDxfId="2695" totalsRowDxfId="2694"/>
    <tableColumn id="12" name="Net_x000a_Balance" totalsRowFunction="sum" dataDxfId="2693" totalsRowDxfId="269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4.xml><?xml version="1.0" encoding="utf-8"?>
<table xmlns="http://schemas.openxmlformats.org/spreadsheetml/2006/main" id="121" name="sdgeneralfund" displayName="sdgeneralfund" ref="A23:O28" totalsRowCount="1" totalsRowDxfId="3558" headerRowBorderDxfId="3560" tableBorderDxfId="3559" totalsRowBorderDxfId="3557">
  <autoFilter ref="A23:O27"/>
  <tableColumns count="15">
    <tableColumn id="1" name="Program Category_x000a_ and Fund" totalsRowLabel="Total School Districts-General Fund" dataDxfId="3556" totalsRowDxfId="3555"/>
    <tableColumn id="2" name="Appropriation_x000a_Number" totalsRowLabel="N/A" totalsRowDxfId="3554"/>
    <tableColumn id="3" name="Legal_x000a_Reference_x000a_(Ch./Year)" totalsRowLabel="N/A" dataDxfId="3553" totalsRowDxfId="3552"/>
    <tableColumn id="4" name="Fiscal Year of_x000a_Claims Paid" totalsRowLabel="N/A" totalsRowDxfId="3551"/>
    <tableColumn id="5" name="Reversion Date" totalsRowLabel="N/A" totalsRowDxfId="3550"/>
    <tableColumn id="6" name="Original_x000a_Appropriation_x000a_Amount" totalsRowFunction="sum" totalsRowDxfId="3549"/>
    <tableColumn id="7" name="Appropriation Balances 1 " totalsRowFunction="sum" totalsRowDxfId="3548"/>
    <tableColumn id="8" name="Comment1" totalsRowLabel="N/A" dataDxfId="3547" totalsRowDxfId="3546"/>
    <tableColumn id="9" name="Budget Adjustments" totalsRowFunction="sum" dataDxfId="3545" totalsRowDxfId="3544"/>
    <tableColumn id="10" name="Comment3" totalsRowLabel="N/A" totalsRowDxfId="3543"/>
    <tableColumn id="11" name="Add: Receipts_x000a_and Recovered Amounts" totalsRowFunction="sum" totalsRowDxfId="3542"/>
    <tableColumn id="12" name="Less: Mandated Program Payments, Offsets, and Interest_x000a_(see Schedule A1)" totalsRowFunction="sum" totalsRowDxfId="3541"/>
    <tableColumn id="13" name="Comment2" totalsRowLabel="N/A" totalsRowDxfId="3540"/>
    <tableColumn id="14" name="Less: Appropriations for Reversion" totalsRowFunction="sum" totalsRowDxfId="3539"/>
    <tableColumn id="15" name="Appropriation Balances_x000a_as of 8/31/2020" totalsRowFunction="sum" dataDxfId="3538" totalsRowDxfId="3537" dataCellStyle="Currency">
      <calculatedColumnFormula>G24+I24+K24-L24-N24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: Summary of State-Mandated Program Appropriations, Receipts, and Payments. As of August 31, 2020. For School Districts-General Fund."/>
    </ext>
  </extLst>
</table>
</file>

<file path=xl/tables/table40.xml><?xml version="1.0" encoding="utf-8"?>
<table xmlns="http://schemas.openxmlformats.org/spreadsheetml/2006/main" id="33" name="local200203" displayName="local200203" ref="A182:L185" totalsRowCount="1" headerRowDxfId="2691" dataDxfId="2689" totalsRowDxfId="2687" headerRowBorderDxfId="2690" tableBorderDxfId="2688" headerRowCellStyle="Currency">
  <autoFilter ref="A182:L184"/>
  <tableColumns count="12">
    <tableColumn id="1" name="Fiscal_x000a_Year" totalsRowLabel="2002-03 Total" dataDxfId="2686" totalsRowDxfId="2685"/>
    <tableColumn id="2" name="Program_x000a_Name" totalsRowLabel="N/A" dataDxfId="2684" totalsRowDxfId="2683"/>
    <tableColumn id="3" name="Legal_x000a_Reference_x000a_(Ch./Year)" totalsRowLabel="N/A" dataDxfId="2682" totalsRowDxfId="2681"/>
    <tableColumn id="4" name="Program Number" totalsRowLabel="N/A" dataDxfId="2680" totalsRowDxfId="2679"/>
    <tableColumn id="5" name="Program_x000a_Costs" totalsRowFunction="sum" dataDxfId="2678" totalsRowDxfId="2677"/>
    <tableColumn id="6" name="Less: Net Payments and Offsets 9" totalsRowFunction="sum" dataDxfId="2676" totalsRowDxfId="2675"/>
    <tableColumn id="7" name="Comment" totalsRowLabel="N/A" dataDxfId="2674" totalsRowDxfId="2673"/>
    <tableColumn id="8" name="Accounts Payable_x000a_Balance" totalsRowFunction="sum" dataDxfId="2672" totalsRowDxfId="2671"/>
    <tableColumn id="9" name="Established_x000a_Accounts Receivable" totalsRowFunction="sum" dataDxfId="2670" totalsRowDxfId="2669"/>
    <tableColumn id="10" name="Less: Recovered Amount" totalsRowFunction="sum" dataDxfId="2668" totalsRowDxfId="2667"/>
    <tableColumn id="11" name="Accounts Receivable_x000a_Balance" totalsRowFunction="sum" dataDxfId="2666" totalsRowDxfId="2665"/>
    <tableColumn id="12" name="Net_x000a_Balance" totalsRowFunction="sum" dataDxfId="2664" totalsRowDxfId="266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41.xml><?xml version="1.0" encoding="utf-8"?>
<table xmlns="http://schemas.openxmlformats.org/spreadsheetml/2006/main" id="34" name="local200102" displayName="local200102" ref="A187:L192" totalsRowCount="1" headerRowDxfId="2662" dataDxfId="2660" totalsRowDxfId="2658" headerRowBorderDxfId="2661" tableBorderDxfId="2659" totalsRowBorderDxfId="2657" headerRowCellStyle="Currency">
  <autoFilter ref="A187:L191"/>
  <tableColumns count="12">
    <tableColumn id="1" name="Fiscal_x000a_Year" totalsRowLabel="2001-02 Total" dataDxfId="2656" totalsRowDxfId="2655"/>
    <tableColumn id="2" name="Program_x000a_Name" totalsRowLabel="N/A" dataDxfId="2654" totalsRowDxfId="2653"/>
    <tableColumn id="3" name="Legal_x000a_Reference_x000a_(Ch./Year)" totalsRowLabel="N/A" dataDxfId="2652" totalsRowDxfId="2651"/>
    <tableColumn id="4" name="Program Number" totalsRowLabel="N/A" dataDxfId="2650" totalsRowDxfId="2649"/>
    <tableColumn id="5" name="Program_x000a_Costs" totalsRowFunction="sum" dataDxfId="2648" totalsRowDxfId="2647"/>
    <tableColumn id="6" name="Less: Net Payments and Offsets 9" totalsRowFunction="sum" dataDxfId="2646" totalsRowDxfId="2645"/>
    <tableColumn id="7" name="Comment" totalsRowLabel="N/A" dataDxfId="2644" totalsRowDxfId="2643"/>
    <tableColumn id="8" name="Accounts Payable_x000a_Balance" totalsRowFunction="sum" dataDxfId="2642" totalsRowDxfId="2641"/>
    <tableColumn id="9" name="Established_x000a_Accounts Receivable" totalsRowFunction="sum" dataDxfId="2640" totalsRowDxfId="2639"/>
    <tableColumn id="10" name="Less: Recovered Amount" totalsRowFunction="sum" dataDxfId="2638" totalsRowDxfId="2637"/>
    <tableColumn id="11" name="Accounts Receivable_x000a_Balance" totalsRowFunction="sum" dataDxfId="2636" totalsRowDxfId="2635"/>
    <tableColumn id="12" name="Net_x000a_Balance" totalsRowFunction="sum" dataDxfId="2634" totalsRowDxfId="263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42.xml><?xml version="1.0" encoding="utf-8"?>
<table xmlns="http://schemas.openxmlformats.org/spreadsheetml/2006/main" id="35" name="local200001" displayName="local200001" ref="A194:L196" totalsRowCount="1" headerRowDxfId="2632" dataDxfId="2630" totalsRowDxfId="2628" headerRowBorderDxfId="2631" tableBorderDxfId="2629" totalsRowBorderDxfId="2627" headerRowCellStyle="Currency">
  <autoFilter ref="A194:L195"/>
  <tableColumns count="12">
    <tableColumn id="1" name="Fiscal_x000a_Year" totalsRowLabel="2000-01 Total" dataDxfId="2626" totalsRowDxfId="2625"/>
    <tableColumn id="2" name="Program_x000a_Name" totalsRowLabel="N/A" dataDxfId="2624" totalsRowDxfId="2623"/>
    <tableColumn id="3" name="Legal_x000a_Reference_x000a_(Ch./Year)" totalsRowLabel="N/A" dataDxfId="2622" totalsRowDxfId="2621"/>
    <tableColumn id="4" name="Program Number" totalsRowLabel="N/A" dataDxfId="2620" totalsRowDxfId="2619"/>
    <tableColumn id="5" name="Program_x000a_Costs" totalsRowFunction="sum" dataDxfId="2618" totalsRowDxfId="2617"/>
    <tableColumn id="6" name="Less: Net Payments and Offsets 9" totalsRowFunction="sum" dataDxfId="2616" totalsRowDxfId="2615"/>
    <tableColumn id="7" name="Comment" totalsRowLabel="N/A" dataDxfId="2614" totalsRowDxfId="2613"/>
    <tableColumn id="8" name="Accounts Payable_x000a_Balance" totalsRowFunction="sum" dataDxfId="2612" totalsRowDxfId="2611"/>
    <tableColumn id="9" name="Established_x000a_Accounts Receivable" totalsRowFunction="sum" dataDxfId="2610" totalsRowDxfId="2609"/>
    <tableColumn id="10" name="Less: Recovered Amount" totalsRowFunction="sum" dataDxfId="2608" totalsRowDxfId="2607"/>
    <tableColumn id="11" name="Accounts Receivable_x000a_Balance" totalsRowFunction="sum" dataDxfId="2606" totalsRowDxfId="2605"/>
    <tableColumn id="12" name="Net_x000a_Balance" totalsRowFunction="sum" dataDxfId="2604" totalsRowDxfId="260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43.xml><?xml version="1.0" encoding="utf-8"?>
<table xmlns="http://schemas.openxmlformats.org/spreadsheetml/2006/main" id="36" name="local199900" displayName="local199900" ref="A198:L203" totalsRowCount="1" headerRowDxfId="2602" dataDxfId="2600" totalsRowDxfId="2598" headerRowBorderDxfId="2601" tableBorderDxfId="2599" totalsRowBorderDxfId="2597" headerRowCellStyle="Currency">
  <autoFilter ref="A198:L202"/>
  <tableColumns count="12">
    <tableColumn id="1" name="Fiscal_x000a_Year" totalsRowLabel="1999-00 Total" dataDxfId="2596" totalsRowDxfId="2595"/>
    <tableColumn id="2" name="Program_x000a_Name" totalsRowLabel="N/A" dataDxfId="2594" totalsRowDxfId="2593"/>
    <tableColumn id="3" name="Legal_x000a_Reference_x000a_(Ch./Year)" totalsRowLabel="N/A" dataDxfId="2592" totalsRowDxfId="2591"/>
    <tableColumn id="4" name="Program Number" totalsRowLabel="N/A" dataDxfId="2590" totalsRowDxfId="2589"/>
    <tableColumn id="5" name="Program_x000a_Costs" totalsRowFunction="sum" dataDxfId="2588" totalsRowDxfId="2587"/>
    <tableColumn id="6" name="Less: Net Payments and Offsets 9" totalsRowFunction="sum" dataDxfId="2586" totalsRowDxfId="2585"/>
    <tableColumn id="7" name="Comment" totalsRowLabel="N/A" dataDxfId="2584" totalsRowDxfId="2583"/>
    <tableColumn id="8" name="Accounts Payable_x000a_Balance" totalsRowFunction="sum" dataDxfId="2582" totalsRowDxfId="2581"/>
    <tableColumn id="9" name="Established_x000a_Accounts Receivable" totalsRowFunction="sum" dataDxfId="2580" totalsRowDxfId="2579"/>
    <tableColumn id="10" name="Less: Recovered Amount" totalsRowFunction="sum" dataDxfId="2578" totalsRowDxfId="2577"/>
    <tableColumn id="11" name="Accounts Receivable_x000a_Balance" totalsRowFunction="sum" dataDxfId="2576" totalsRowDxfId="2575"/>
    <tableColumn id="12" name="Net_x000a_Balance" totalsRowFunction="sum" dataDxfId="2574" totalsRowDxfId="257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44.xml><?xml version="1.0" encoding="utf-8"?>
<table xmlns="http://schemas.openxmlformats.org/spreadsheetml/2006/main" id="37" name="local199899" displayName="local199899" ref="A205:L209" totalsRowCount="1" headerRowDxfId="2572" dataDxfId="2570" totalsRowDxfId="2568" headerRowBorderDxfId="2571" tableBorderDxfId="2569" totalsRowBorderDxfId="2567" headerRowCellStyle="Currency">
  <autoFilter ref="A205:L208"/>
  <tableColumns count="12">
    <tableColumn id="1" name="Fiscal_x000a_Year" totalsRowLabel="1998-99 Total" dataDxfId="2566" totalsRowDxfId="2565"/>
    <tableColumn id="2" name="Program_x000a_Name" totalsRowLabel="N/A" dataDxfId="2564" totalsRowDxfId="2563"/>
    <tableColumn id="3" name="Legal_x000a_Reference_x000a_(Ch./Year)" totalsRowLabel="N/A" dataDxfId="2562" totalsRowDxfId="2561"/>
    <tableColumn id="4" name="Program Number" totalsRowLabel="N/A" dataDxfId="2560" totalsRowDxfId="2559"/>
    <tableColumn id="5" name="Program_x000a_Costs" totalsRowFunction="sum" dataDxfId="2558" totalsRowDxfId="2557"/>
    <tableColumn id="6" name="Less: Net Payments and Offsets 9" totalsRowFunction="sum" dataDxfId="2556" totalsRowDxfId="2555"/>
    <tableColumn id="7" name="Comment" totalsRowLabel="N/A" dataDxfId="2554" totalsRowDxfId="2553"/>
    <tableColumn id="8" name="Accounts Payable_x000a_Balance" totalsRowFunction="sum" dataDxfId="2552" totalsRowDxfId="2551"/>
    <tableColumn id="9" name="Established_x000a_Accounts Receivable" totalsRowFunction="sum" dataDxfId="2550" totalsRowDxfId="2549"/>
    <tableColumn id="10" name="Less: Recovered Amount" totalsRowFunction="sum" dataDxfId="2548" totalsRowDxfId="2547"/>
    <tableColumn id="11" name="Accounts Receivable_x000a_Balance" totalsRowFunction="sum" dataDxfId="2546" totalsRowDxfId="2545"/>
    <tableColumn id="12" name="Net_x000a_Balance" totalsRowFunction="sum" dataDxfId="2544" totalsRowDxfId="254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45.xml><?xml version="1.0" encoding="utf-8"?>
<table xmlns="http://schemas.openxmlformats.org/spreadsheetml/2006/main" id="38" name="local199798" displayName="local199798" ref="A211:L214" totalsRowCount="1" headerRowDxfId="2542" dataDxfId="2540" totalsRowDxfId="2538" headerRowBorderDxfId="2541" tableBorderDxfId="2539" totalsRowBorderDxfId="2537" headerRowCellStyle="Currency">
  <autoFilter ref="A211:L213"/>
  <tableColumns count="12">
    <tableColumn id="1" name="Fiscal_x000a_Year" totalsRowLabel="1997-98 Total" dataDxfId="2536" totalsRowDxfId="2535"/>
    <tableColumn id="2" name="Program_x000a_Name" totalsRowLabel="N/A" dataDxfId="2534" totalsRowDxfId="2533"/>
    <tableColumn id="3" name="Legal_x000a_Reference_x000a_(Ch./Year)" totalsRowLabel="N/A" dataDxfId="2532" totalsRowDxfId="2531"/>
    <tableColumn id="4" name="Program Number" totalsRowLabel="N/A" dataDxfId="2530" totalsRowDxfId="2529"/>
    <tableColumn id="5" name="Program_x000a_Costs" totalsRowFunction="sum" dataDxfId="2528" totalsRowDxfId="2527"/>
    <tableColumn id="6" name="Less: Net Payments and Offsets 9" totalsRowFunction="sum" dataDxfId="2526" totalsRowDxfId="2525"/>
    <tableColumn id="7" name="Comment" totalsRowLabel="N/A" dataDxfId="2524" totalsRowDxfId="2523"/>
    <tableColumn id="8" name="Accounts Payable_x000a_Balance" totalsRowFunction="sum" dataDxfId="2522" totalsRowDxfId="2521"/>
    <tableColumn id="9" name="Established_x000a_Accounts Receivable" totalsRowFunction="sum" dataDxfId="2520" totalsRowDxfId="2519"/>
    <tableColumn id="10" name="Less: Recovered Amount" totalsRowFunction="sum" dataDxfId="2518" totalsRowDxfId="2517"/>
    <tableColumn id="11" name="Accounts Receivable_x000a_Balance" totalsRowFunction="sum" dataDxfId="2516" totalsRowDxfId="2515"/>
    <tableColumn id="12" name="Net_x000a_Balance" totalsRowFunction="sum" dataDxfId="2514" totalsRowDxfId="251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46.xml><?xml version="1.0" encoding="utf-8"?>
<table xmlns="http://schemas.openxmlformats.org/spreadsheetml/2006/main" id="39" name="local199697" displayName="local199697" ref="A216:L218" totalsRowCount="1" headerRowDxfId="2512" dataDxfId="2510" totalsRowDxfId="2508" headerRowBorderDxfId="2511" tableBorderDxfId="2509" headerRowCellStyle="Currency">
  <autoFilter ref="A216:L217"/>
  <tableColumns count="12">
    <tableColumn id="1" name="Fiscal_x000a_Year" totalsRowLabel="1996-97 Total" dataDxfId="2507" totalsRowDxfId="2506"/>
    <tableColumn id="2" name="Program_x000a_Name" totalsRowLabel="N/A" dataDxfId="2505" totalsRowDxfId="2504"/>
    <tableColumn id="3" name="Legal_x000a_Reference_x000a_(Ch./Year)" totalsRowLabel="N/A" dataDxfId="2503" totalsRowDxfId="2502"/>
    <tableColumn id="4" name="Program Number" totalsRowLabel="N/A" dataDxfId="2501" totalsRowDxfId="2500"/>
    <tableColumn id="5" name="Program_x000a_Costs" totalsRowFunction="sum" dataDxfId="2499" totalsRowDxfId="2498"/>
    <tableColumn id="6" name="Less: Net Payments and Offsets 9" totalsRowFunction="sum" dataDxfId="2497" totalsRowDxfId="2496"/>
    <tableColumn id="7" name="Comment" totalsRowLabel="N/A" dataDxfId="2495" totalsRowDxfId="2494"/>
    <tableColumn id="8" name="Accounts Payable_x000a_Balance" totalsRowFunction="sum" dataDxfId="2493" totalsRowDxfId="2492"/>
    <tableColumn id="9" name="Established_x000a_Accounts Receivable" totalsRowFunction="sum" dataDxfId="2491" totalsRowDxfId="2490"/>
    <tableColumn id="10" name="Less: Recovered Amount" totalsRowFunction="sum" dataDxfId="2489" totalsRowDxfId="2488"/>
    <tableColumn id="11" name="Accounts Receivable_x000a_Balance" totalsRowFunction="sum" dataDxfId="2487" totalsRowDxfId="2486"/>
    <tableColumn id="12" name="Net_x000a_Balance" totalsRowFunction="sum" dataDxfId="2485" totalsRowDxfId="248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47.xml><?xml version="1.0" encoding="utf-8"?>
<table xmlns="http://schemas.openxmlformats.org/spreadsheetml/2006/main" id="40" name="local199596" displayName="local199596" ref="A220:L223" totalsRowCount="1" headerRowDxfId="2483" dataDxfId="2481" totalsRowDxfId="2479" headerRowBorderDxfId="2482" tableBorderDxfId="2480" totalsRowBorderDxfId="2478" headerRowCellStyle="Currency">
  <autoFilter ref="A220:L222"/>
  <tableColumns count="12">
    <tableColumn id="1" name="Fiscal_x000a_Year" totalsRowLabel="1995-96 Total" dataDxfId="2477" totalsRowDxfId="2476"/>
    <tableColumn id="2" name="Program_x000a_Name" totalsRowLabel="N/A" dataDxfId="2475" totalsRowDxfId="2474"/>
    <tableColumn id="3" name="Legal_x000a_Reference_x000a_(Ch./Year)" totalsRowLabel="N/A" dataDxfId="2473" totalsRowDxfId="2472"/>
    <tableColumn id="4" name="Program Number" totalsRowLabel="N/A" dataDxfId="2471" totalsRowDxfId="2470"/>
    <tableColumn id="5" name="Program_x000a_Costs" totalsRowFunction="sum" dataDxfId="2469" totalsRowDxfId="2468"/>
    <tableColumn id="6" name="Less: Net Payments and Offsets 9" totalsRowFunction="sum" dataDxfId="2467" totalsRowDxfId="2466"/>
    <tableColumn id="7" name="Comment" totalsRowLabel="N/A" dataDxfId="2465" totalsRowDxfId="2464"/>
    <tableColumn id="8" name="Accounts Payable_x000a_Balance" totalsRowFunction="sum" dataDxfId="2463" totalsRowDxfId="2462"/>
    <tableColumn id="9" name="Established_x000a_Accounts Receivable" totalsRowFunction="sum" dataDxfId="2461" totalsRowDxfId="2460"/>
    <tableColumn id="10" name="Less: Recovered Amount" totalsRowFunction="sum" dataDxfId="2459" totalsRowDxfId="2458"/>
    <tableColumn id="11" name="Accounts Receivable_x000a_Balance" totalsRowFunction="sum" dataDxfId="2457" totalsRowDxfId="2456"/>
    <tableColumn id="12" name="Net_x000a_Balance" totalsRowFunction="sum" dataDxfId="2455" totalsRowDxfId="245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48.xml><?xml version="1.0" encoding="utf-8"?>
<table xmlns="http://schemas.openxmlformats.org/spreadsheetml/2006/main" id="41" name="local199495" displayName="local199495" ref="A225:L227" totalsRowCount="1" headerRowDxfId="2453" dataDxfId="2451" totalsRowDxfId="2449" headerRowBorderDxfId="2452" tableBorderDxfId="2450" totalsRowBorderDxfId="2448" headerRowCellStyle="Currency">
  <autoFilter ref="A225:L226"/>
  <tableColumns count="12">
    <tableColumn id="1" name="Fiscal_x000a_Year" totalsRowLabel="1994-95 Total" dataDxfId="2447" totalsRowDxfId="2446"/>
    <tableColumn id="2" name="Program_x000a_Name" totalsRowLabel="N/A" dataDxfId="2445" totalsRowDxfId="2444"/>
    <tableColumn id="3" name="Legal_x000a_Reference_x000a_(Ch./Year)" totalsRowLabel="N/A" dataDxfId="2443" totalsRowDxfId="2442"/>
    <tableColumn id="4" name="Program Number" totalsRowLabel="N/A" dataDxfId="2441" totalsRowDxfId="2440"/>
    <tableColumn id="5" name="Program_x000a_Costs" totalsRowFunction="sum" dataDxfId="2439" totalsRowDxfId="2438"/>
    <tableColumn id="6" name="Less: Net Payments and Offsets 9" totalsRowFunction="sum" dataDxfId="2437" totalsRowDxfId="2436"/>
    <tableColumn id="7" name="Comment" totalsRowLabel="N/A" dataDxfId="2435" totalsRowDxfId="2434"/>
    <tableColumn id="8" name="Accounts Payable_x000a_Balance" totalsRowFunction="sum" dataDxfId="2433" totalsRowDxfId="2432"/>
    <tableColumn id="9" name="Established_x000a_Accounts Receivable" totalsRowFunction="sum" dataDxfId="2431" totalsRowDxfId="2430"/>
    <tableColumn id="10" name="Less: Recovered Amount" totalsRowFunction="sum" dataDxfId="2429" totalsRowDxfId="2428"/>
    <tableColumn id="11" name="Accounts Receivable_x000a_Balance" totalsRowFunction="sum" dataDxfId="2427" totalsRowDxfId="2426"/>
    <tableColumn id="12" name="Net_x000a_Balance" totalsRowFunction="sum" dataDxfId="2425" totalsRowDxfId="242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49.xml><?xml version="1.0" encoding="utf-8"?>
<table xmlns="http://schemas.openxmlformats.org/spreadsheetml/2006/main" id="42" name="local199293" displayName="local199293" ref="A229:L232" totalsRowCount="1" headerRowDxfId="2423" dataDxfId="2421" totalsRowDxfId="2419" headerRowBorderDxfId="2422" tableBorderDxfId="2420" totalsRowBorderDxfId="2418" headerRowCellStyle="Currency">
  <autoFilter ref="A229:L231"/>
  <tableColumns count="12">
    <tableColumn id="1" name="Fiscal_x000a_Year" totalsRowLabel="1992-93 Total" dataDxfId="2417" totalsRowDxfId="2416"/>
    <tableColumn id="2" name="Program_x000a_Name" totalsRowLabel="N/A" dataDxfId="2415" totalsRowDxfId="2414"/>
    <tableColumn id="3" name="Legal_x000a_Reference_x000a_(Ch./Year)" totalsRowLabel="N/A" dataDxfId="2413" totalsRowDxfId="2412"/>
    <tableColumn id="4" name="Program Number" totalsRowLabel="N/A" dataDxfId="2411" totalsRowDxfId="2410"/>
    <tableColumn id="5" name="Program_x000a_Costs" totalsRowFunction="sum" dataDxfId="2409" totalsRowDxfId="2408"/>
    <tableColumn id="6" name="Less: Net Payments and Offsets 9" totalsRowFunction="sum" dataDxfId="2407" totalsRowDxfId="2406"/>
    <tableColumn id="7" name="Comment" totalsRowLabel="N/A" dataDxfId="2405" totalsRowDxfId="2404"/>
    <tableColumn id="8" name="Accounts Payable_x000a_Balance" totalsRowFunction="sum" dataDxfId="2403" totalsRowDxfId="2402"/>
    <tableColumn id="9" name="Established_x000a_Accounts Receivable" totalsRowFunction="sum" dataDxfId="2401" totalsRowDxfId="2400"/>
    <tableColumn id="10" name="Less: Recovered Amount" totalsRowFunction="sum" dataDxfId="2399" totalsRowDxfId="2398"/>
    <tableColumn id="11" name="Accounts Receivable_x000a_Balance" totalsRowFunction="sum" dataDxfId="2397" totalsRowDxfId="2396"/>
    <tableColumn id="12" name="Net_x000a_Balance" totalsRowFunction="sum" dataDxfId="2395" totalsRowDxfId="239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5.xml><?xml version="1.0" encoding="utf-8"?>
<table xmlns="http://schemas.openxmlformats.org/spreadsheetml/2006/main" id="129" name="ccdgeneralfund" displayName="ccdgeneralfund" ref="A30:O35" totalsRowCount="1" totalsRowDxfId="3534" headerRowBorderDxfId="3536" tableBorderDxfId="3535" totalsRowBorderDxfId="3533">
  <autoFilter ref="A30:O34"/>
  <tableColumns count="15">
    <tableColumn id="1" name="Program Category_x000a_ and Fund" totalsRowLabel="Total Community College Districts-General Fund" dataDxfId="3532" totalsRowDxfId="134"/>
    <tableColumn id="2" name="Appropriation_x000a_Number" totalsRowLabel="N/A" totalsRowDxfId="133"/>
    <tableColumn id="3" name="Legal_x000a_Reference_x000a_(Ch./Year)" totalsRowLabel="N/A" dataDxfId="3531" totalsRowDxfId="132"/>
    <tableColumn id="4" name="Fiscal Year of_x000a_Claims Paid" totalsRowLabel="N/A" totalsRowDxfId="131"/>
    <tableColumn id="5" name="Reversion Date" totalsRowLabel="N/A" totalsRowDxfId="130"/>
    <tableColumn id="6" name="Original_x000a_Appropriation_x000a_Amount" totalsRowFunction="sum" totalsRowDxfId="129"/>
    <tableColumn id="7" name="Appropriation Balances 1 " totalsRowFunction="sum" totalsRowDxfId="128"/>
    <tableColumn id="8" name="Comment1" totalsRowLabel="N/A" dataDxfId="3530" totalsRowDxfId="127"/>
    <tableColumn id="9" name="Budget Adjustments" totalsRowFunction="sum" dataDxfId="3529" totalsRowDxfId="126"/>
    <tableColumn id="10" name="Comment3" totalsRowLabel=" N/A " totalsRowDxfId="125"/>
    <tableColumn id="11" name="Add: Receipts_x000a_and Recovered Amounts" totalsRowFunction="sum" totalsRowDxfId="124"/>
    <tableColumn id="12" name="Less: Mandated Program Payments, Offsets, and Interest_x000a_(see Schedule A1)" totalsRowFunction="sum" totalsRowDxfId="123"/>
    <tableColumn id="13" name="Comment2" totalsRowLabel=" N/A " dataDxfId="3528" totalsRowDxfId="122"/>
    <tableColumn id="14" name="Less: Appropriations for Reversion" totalsRowFunction="sum" totalsRowDxfId="121"/>
    <tableColumn id="15" name="Appropriation Balances_x000a_as of 8/31/2020" totalsRowFunction="sum" dataDxfId="3527" totalsRowDxfId="12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: Summary of State-Mandated Program Appropriations, Receipts, and Payments. As of August 31, 2020. For Community College Districts-General Fund."/>
    </ext>
  </extLst>
</table>
</file>

<file path=xl/tables/table50.xml><?xml version="1.0" encoding="utf-8"?>
<table xmlns="http://schemas.openxmlformats.org/spreadsheetml/2006/main" id="43" name="local199192" displayName="local199192" ref="A234:L238" totalsRowCount="1" headerRowDxfId="2393" dataDxfId="2391" totalsRowDxfId="2389" headerRowBorderDxfId="2392" tableBorderDxfId="2390" totalsRowBorderDxfId="2388" headerRowCellStyle="Currency">
  <autoFilter ref="A234:L237"/>
  <tableColumns count="12">
    <tableColumn id="1" name="Fiscal_x000a_Year" totalsRowLabel="1991-92 Total" dataDxfId="2387" totalsRowDxfId="2386"/>
    <tableColumn id="2" name="Program_x000a_Name" totalsRowLabel="N/A" dataDxfId="2385" totalsRowDxfId="2384"/>
    <tableColumn id="3" name="Legal_x000a_Reference_x000a_(Ch./Year)" totalsRowLabel="N/A" dataDxfId="2383" totalsRowDxfId="2382"/>
    <tableColumn id="4" name="Program Number" totalsRowLabel="N/A" dataDxfId="2381" totalsRowDxfId="2380"/>
    <tableColumn id="5" name="Program_x000a_Costs" totalsRowFunction="sum" dataDxfId="2379" totalsRowDxfId="2378"/>
    <tableColumn id="6" name="Less: Net Payments and Offsets 9" totalsRowFunction="sum" dataDxfId="2377" totalsRowDxfId="2376"/>
    <tableColumn id="7" name="Comment" totalsRowLabel="N/A" dataDxfId="2375" totalsRowDxfId="2374"/>
    <tableColumn id="8" name="Accounts Payable_x000a_Balance" totalsRowFunction="sum" dataDxfId="2373" totalsRowDxfId="2372"/>
    <tableColumn id="9" name="Established_x000a_Accounts Receivable" totalsRowFunction="sum" dataDxfId="2371" totalsRowDxfId="2370"/>
    <tableColumn id="10" name="Less: Recovered Amount" totalsRowFunction="sum" dataDxfId="2369" totalsRowDxfId="2368"/>
    <tableColumn id="11" name="Accounts Receivable_x000a_Balance" totalsRowFunction="sum" dataDxfId="2367" totalsRowDxfId="2366"/>
    <tableColumn id="12" name="Net_x000a_Balance" totalsRowFunction="sum" dataDxfId="2365" totalsRowDxfId="236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."/>
    </ext>
  </extLst>
</table>
</file>

<file path=xl/tables/table51.xml><?xml version="1.0" encoding="utf-8"?>
<table xmlns="http://schemas.openxmlformats.org/spreadsheetml/2006/main" id="44" name="Table44" displayName="Table44" ref="A240:L268" totalsRowCount="1" headerRowDxfId="2363" dataDxfId="2361" totalsRowDxfId="2359" headerRowBorderDxfId="2362" tableBorderDxfId="2360" totalsRowBorderDxfId="2358" headerRowCellStyle="Currency">
  <autoFilter ref="A240:L267"/>
  <tableColumns count="12">
    <tableColumn id="1" name="Fiscal_x000a_Year" totalsRowLabel="Total Local Agencies" dataDxfId="2357" totalsRowDxfId="2356"/>
    <tableColumn id="2" name="Program_x000a_Name" totalsRowLabel="N/A" dataDxfId="2355" totalsRowDxfId="2354"/>
    <tableColumn id="3" name="Legal_x000a_Reference_x000a_(Ch./Year)" totalsRowLabel="N/A" dataDxfId="2353" totalsRowDxfId="2352"/>
    <tableColumn id="4" name="Program Number" totalsRowLabel="N/A" dataDxfId="2351" totalsRowDxfId="2350"/>
    <tableColumn id="5" name="Program_x000a_Costs" totalsRowFunction="sum" dataDxfId="2349" totalsRowDxfId="2348"/>
    <tableColumn id="6" name="Less: Net Payments and Offsets 9" totalsRowFunction="sum" dataDxfId="2347" totalsRowDxfId="2346"/>
    <tableColumn id="7" name="Comment" totalsRowLabel="N/A" dataDxfId="2345" totalsRowDxfId="2344"/>
    <tableColumn id="8" name="Accounts Payable_x000a_Balance" totalsRowFunction="sum" dataDxfId="2343" totalsRowDxfId="2342"/>
    <tableColumn id="9" name="Established_x000a_Accounts Receivable" totalsRowFunction="sum" dataDxfId="2341" totalsRowDxfId="2340"/>
    <tableColumn id="10" name="Less: Recovered Amount" totalsRowFunction="sum" dataDxfId="2339" totalsRowDxfId="2338"/>
    <tableColumn id="11" name="Accounts Receivable_x000a_Balance" totalsRowFunction="sum" dataDxfId="2337" totalsRowDxfId="2336"/>
    <tableColumn id="12" name="Net_x000a_Balance" totalsRowFunction="sum" dataDxfId="2335" totalsRowDxfId="233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Local Agencies grand totals."/>
    </ext>
  </extLst>
</table>
</file>

<file path=xl/tables/table52.xml><?xml version="1.0" encoding="utf-8"?>
<table xmlns="http://schemas.openxmlformats.org/spreadsheetml/2006/main" id="45" name="school201819" displayName="school201819" ref="A2:L34" totalsRowCount="1" headerRowDxfId="2333" dataDxfId="2331" totalsRowDxfId="2329" headerRowBorderDxfId="2332" tableBorderDxfId="2330" totalsRowBorderDxfId="2328" headerRowCellStyle="Currency">
  <autoFilter ref="A2:L33"/>
  <tableColumns count="12">
    <tableColumn id="1" name="Fiscal_x000a_Year" totalsRowLabel="2018-19 Total" dataDxfId="2327" totalsRowDxfId="23"/>
    <tableColumn id="2" name="Program_x000a_Name" totalsRowLabel="N/A" dataDxfId="2326" totalsRowDxfId="22"/>
    <tableColumn id="3" name="Legal_x000a_Reference_x000a_(Ch./Year)" totalsRowLabel="N/A" dataDxfId="2325" totalsRowDxfId="21"/>
    <tableColumn id="4" name="Program Number" totalsRowLabel="N/A" dataDxfId="2324" totalsRowDxfId="20"/>
    <tableColumn id="5" name="Program_x000a_Costs" totalsRowFunction="sum" dataDxfId="2323" totalsRowDxfId="19"/>
    <tableColumn id="6" name="Less: Net Payments and Offsets 10" totalsRowFunction="sum" dataDxfId="2322" totalsRowDxfId="18"/>
    <tableColumn id="7" name="Comment: School districts did not receive one-time funding offsets this year. This amount includes offsets applied from prior years." totalsRowLabel="N/A" dataDxfId="2321" totalsRowDxfId="17"/>
    <tableColumn id="8" name="Accounts Payable_x000a_Balance" totalsRowFunction="sum" dataDxfId="2320" totalsRowDxfId="16"/>
    <tableColumn id="9" name="Established_x000a_Accounts Receivable" totalsRowFunction="sum" dataDxfId="2319" totalsRowDxfId="15"/>
    <tableColumn id="10" name="Less: Recovered Amount" totalsRowFunction="sum" dataDxfId="2318" totalsRowDxfId="14"/>
    <tableColumn id="11" name="Accounts Receivable_x000a_Balance" totalsRowFunction="sum" dataDxfId="2317" totalsRowDxfId="13"/>
    <tableColumn id="12" name="Net_x000a_Balance" totalsRowFunction="sum" dataDxfId="2316" totalsRowDxfId="1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53.xml><?xml version="1.0" encoding="utf-8"?>
<table xmlns="http://schemas.openxmlformats.org/spreadsheetml/2006/main" id="46" name="Table46" displayName="Table46" ref="A36:L69" totalsRowCount="1" headerRowDxfId="2315" dataDxfId="2313" totalsRowDxfId="2311" headerRowBorderDxfId="2314" tableBorderDxfId="2312" totalsRowBorderDxfId="2310" headerRowCellStyle="Currency">
  <autoFilter ref="A36:L68"/>
  <tableColumns count="12">
    <tableColumn id="1" name="Fiscal_x000a_Year" totalsRowLabel="2017-18 Total" dataDxfId="2309" totalsRowDxfId="2308"/>
    <tableColumn id="2" name="Program_x000a_Name" totalsRowLabel="N/A" dataDxfId="2307" totalsRowDxfId="2306"/>
    <tableColumn id="3" name="Legal_x000a_Reference_x000a_(Ch./Year)" totalsRowLabel="N/A" dataDxfId="2305" totalsRowDxfId="2304"/>
    <tableColumn id="4" name="Program Number" totalsRowLabel="N/A" dataDxfId="2303" totalsRowDxfId="2302"/>
    <tableColumn id="5" name="Program_x000a_Costs" totalsRowFunction="sum" dataDxfId="2301" totalsRowDxfId="2300"/>
    <tableColumn id="6" name="Less: Net Payments and Offsets 10" totalsRowFunction="sum" dataDxfId="2299" totalsRowDxfId="2298"/>
    <tableColumn id="7" name="Comment" totalsRowLabel="N/A" dataDxfId="2297" totalsRowDxfId="2296"/>
    <tableColumn id="8" name="Accounts Payable_x000a_Balance" totalsRowFunction="sum" dataDxfId="2295" totalsRowDxfId="2294"/>
    <tableColumn id="9" name="Established_x000a_Accounts Receivable" totalsRowFunction="sum" dataDxfId="2293" totalsRowDxfId="2292"/>
    <tableColumn id="10" name="Less: Recovered Amount" totalsRowFunction="sum" dataDxfId="2291" totalsRowDxfId="2290"/>
    <tableColumn id="11" name="Accounts Receivable_x000a_Balance" totalsRowFunction="sum" dataDxfId="2289" totalsRowDxfId="2288"/>
    <tableColumn id="12" name="Net_x000a_Balance" totalsRowFunction="sum" dataDxfId="2287" totalsRowDxfId="228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54.xml><?xml version="1.0" encoding="utf-8"?>
<table xmlns="http://schemas.openxmlformats.org/spreadsheetml/2006/main" id="47" name="school201617" displayName="school201617" ref="A71:L105" totalsRowCount="1" headerRowDxfId="2285" dataDxfId="2283" totalsRowDxfId="2281" headerRowBorderDxfId="2284" tableBorderDxfId="2282" totalsRowBorderDxfId="2280" headerRowCellStyle="Currency">
  <autoFilter ref="A71:L104"/>
  <tableColumns count="12">
    <tableColumn id="1" name="Fiscal_x000a_Year" totalsRowLabel="2016-17 Total" dataDxfId="2279" totalsRowDxfId="2278"/>
    <tableColumn id="2" name="Program_x000a_Name" totalsRowLabel="N/A" dataDxfId="2277" totalsRowDxfId="2276"/>
    <tableColumn id="3" name="Legal_x000a_Reference_x000a_(Ch./Year)" totalsRowLabel="N/A" dataDxfId="2275" totalsRowDxfId="2274"/>
    <tableColumn id="4" name="Program Number" totalsRowLabel="N/A" dataDxfId="2273" totalsRowDxfId="2272"/>
    <tableColumn id="5" name="Program_x000a_Costs" totalsRowFunction="sum" dataDxfId="2271" totalsRowDxfId="2270"/>
    <tableColumn id="6" name="Less: Net Payments and Offsets 10" totalsRowFunction="sum" dataDxfId="2269" totalsRowDxfId="2268"/>
    <tableColumn id="7" name="Comment" totalsRowLabel="N/A" dataDxfId="2267" totalsRowDxfId="2266"/>
    <tableColumn id="8" name="Accounts Payable_x000a_Balance" totalsRowFunction="sum" dataDxfId="2265" totalsRowDxfId="2264"/>
    <tableColumn id="9" name="Established_x000a_Accounts Receivable" totalsRowFunction="sum" dataDxfId="2263" totalsRowDxfId="2262"/>
    <tableColumn id="10" name="Less: Recovered Amount" totalsRowFunction="sum" dataDxfId="2261" totalsRowDxfId="2260"/>
    <tableColumn id="11" name="Accounts Receivable_x000a_Balance" totalsRowFunction="sum" dataDxfId="2259" totalsRowDxfId="2258"/>
    <tableColumn id="12" name="Net_x000a_Balance" totalsRowFunction="sum" dataDxfId="2257" totalsRowDxfId="225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55.xml><?xml version="1.0" encoding="utf-8"?>
<table xmlns="http://schemas.openxmlformats.org/spreadsheetml/2006/main" id="48" name="school201516" displayName="school201516" ref="A107:L141" totalsRowCount="1" headerRowDxfId="2255" dataDxfId="2253" totalsRowDxfId="2251" headerRowBorderDxfId="2254" tableBorderDxfId="2252" totalsRowBorderDxfId="2250" headerRowCellStyle="Currency">
  <autoFilter ref="A107:L140"/>
  <tableColumns count="12">
    <tableColumn id="1" name="Fiscal_x000a_Year" totalsRowLabel="2015-16 Total" dataDxfId="2249" totalsRowDxfId="2248"/>
    <tableColumn id="2" name="Program_x000a_Name" totalsRowLabel="N/A" dataDxfId="2247" totalsRowDxfId="2246"/>
    <tableColumn id="3" name="Legal_x000a_Reference_x000a_(Ch./Year)" totalsRowLabel="N/A" dataDxfId="2245" totalsRowDxfId="2244"/>
    <tableColumn id="4" name="Program Number" totalsRowLabel="N/A" dataDxfId="2243" totalsRowDxfId="2242"/>
    <tableColumn id="5" name="Program_x000a_Costs" totalsRowFunction="sum" dataDxfId="2241" totalsRowDxfId="2240"/>
    <tableColumn id="6" name="Less: Net Payments and Offsets 10" totalsRowFunction="sum" dataDxfId="2239" totalsRowDxfId="2238"/>
    <tableColumn id="7" name="Comment" totalsRowLabel="N/A" dataDxfId="2237" totalsRowDxfId="2236"/>
    <tableColumn id="8" name="Accounts Payable_x000a_Balance" totalsRowFunction="sum" dataDxfId="2235" totalsRowDxfId="2234"/>
    <tableColumn id="9" name="Established_x000a_Accounts Receivable" totalsRowFunction="sum" dataDxfId="2233" totalsRowDxfId="2232"/>
    <tableColumn id="10" name="Less: Recovered Amount" totalsRowFunction="sum" dataDxfId="2231" totalsRowDxfId="2230"/>
    <tableColumn id="11" name="Accounts Receivable_x000a_Balance" totalsRowFunction="sum" dataDxfId="2229" totalsRowDxfId="2228"/>
    <tableColumn id="12" name="Net_x000a_Balance" totalsRowFunction="sum" dataDxfId="2227" totalsRowDxfId="222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56.xml><?xml version="1.0" encoding="utf-8"?>
<table xmlns="http://schemas.openxmlformats.org/spreadsheetml/2006/main" id="49" name="school201415" displayName="school201415" ref="A143:L184" totalsRowCount="1" headerRowDxfId="2225" dataDxfId="2223" totalsRowDxfId="2221" headerRowBorderDxfId="2224" tableBorderDxfId="2222" totalsRowBorderDxfId="2220" headerRowCellStyle="Currency">
  <autoFilter ref="A143:L183"/>
  <tableColumns count="12">
    <tableColumn id="1" name="Fiscal_x000a_Year" totalsRowLabel="2014-15 Total" dataDxfId="2219" totalsRowDxfId="2218"/>
    <tableColumn id="2" name="Program_x000a_Name" totalsRowLabel="N/A" dataDxfId="2217" totalsRowDxfId="2216"/>
    <tableColumn id="3" name="Legal_x000a_Reference_x000a_(Ch./Year)" totalsRowLabel="N/A" dataDxfId="2215" totalsRowDxfId="2214"/>
    <tableColumn id="4" name="Program Number" totalsRowLabel="N/A" dataDxfId="2213" totalsRowDxfId="2212"/>
    <tableColumn id="5" name="Program_x000a_Costs" totalsRowFunction="sum" dataDxfId="2211" totalsRowDxfId="2210"/>
    <tableColumn id="6" name="Less: Net Payments and Offsets 10" totalsRowFunction="sum" dataDxfId="2209" totalsRowDxfId="2208"/>
    <tableColumn id="7" name="Comment" totalsRowLabel="N/A" dataDxfId="2207" totalsRowDxfId="2206"/>
    <tableColumn id="8" name="Accounts Payable_x000a_Balance" totalsRowFunction="sum" dataDxfId="2205" totalsRowDxfId="2204"/>
    <tableColumn id="9" name="Established_x000a_Accounts Receivable" totalsRowFunction="sum" dataDxfId="2203" totalsRowDxfId="2202"/>
    <tableColumn id="10" name="Less: Recovered Amount" totalsRowFunction="sum" dataDxfId="2201" totalsRowDxfId="2200"/>
    <tableColumn id="11" name="Accounts Receivable_x000a_Balance" totalsRowFunction="sum" dataDxfId="2199" totalsRowDxfId="2198"/>
    <tableColumn id="12" name="Net_x000a_Balance" totalsRowFunction="sum" dataDxfId="2197" totalsRowDxfId="219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57.xml><?xml version="1.0" encoding="utf-8"?>
<table xmlns="http://schemas.openxmlformats.org/spreadsheetml/2006/main" id="50" name="school201314" displayName="school201314" ref="A186:L229" totalsRowCount="1" headerRowDxfId="2195" dataDxfId="2193" totalsRowDxfId="2191" headerRowBorderDxfId="2194" tableBorderDxfId="2192" totalsRowBorderDxfId="2190" headerRowCellStyle="Currency">
  <autoFilter ref="A186:L228"/>
  <tableColumns count="12">
    <tableColumn id="1" name="Fiscal_x000a_Year" totalsRowLabel="2013-14 Total" dataDxfId="2189" totalsRowDxfId="2188"/>
    <tableColumn id="2" name="Program_x000a_Name" totalsRowLabel="N/A" dataDxfId="2187" totalsRowDxfId="2186"/>
    <tableColumn id="3" name="Legal_x000a_Reference_x000a_(Ch./Year)" totalsRowLabel="N/A" dataDxfId="2185" totalsRowDxfId="2184"/>
    <tableColumn id="4" name="Program Number" totalsRowLabel="N/A" dataDxfId="2183" totalsRowDxfId="2182"/>
    <tableColumn id="5" name="Program_x000a_Costs" totalsRowFunction="sum" dataDxfId="2181" totalsRowDxfId="2180"/>
    <tableColumn id="6" name="Less: Net Payments and Offsets 10" totalsRowFunction="sum" dataDxfId="2179" totalsRowDxfId="2178"/>
    <tableColumn id="7" name="Comment" totalsRowLabel="N/A" dataDxfId="2177" totalsRowDxfId="2176"/>
    <tableColumn id="8" name="Accounts Payable_x000a_Balance" totalsRowFunction="sum" dataDxfId="2175" totalsRowDxfId="2174"/>
    <tableColumn id="9" name="Established_x000a_Accounts Receivable" totalsRowFunction="sum" dataDxfId="2173" totalsRowDxfId="2172"/>
    <tableColumn id="10" name="Less: Recovered Amount" totalsRowFunction="sum" dataDxfId="2171" totalsRowDxfId="2170"/>
    <tableColumn id="11" name="Accounts Receivable_x000a_Balance" totalsRowFunction="sum" dataDxfId="2169" totalsRowDxfId="2168"/>
    <tableColumn id="12" name="Net_x000a_Balance" totalsRowFunction="sum" dataDxfId="2167" totalsRowDxfId="216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58.xml><?xml version="1.0" encoding="utf-8"?>
<table xmlns="http://schemas.openxmlformats.org/spreadsheetml/2006/main" id="51" name="school201213" displayName="school201213" ref="A231:L276" totalsRowCount="1" headerRowDxfId="2165" dataDxfId="2163" totalsRowDxfId="2161" headerRowBorderDxfId="2164" tableBorderDxfId="2162" totalsRowBorderDxfId="2160" headerRowCellStyle="Currency">
  <autoFilter ref="A231:L275"/>
  <tableColumns count="12">
    <tableColumn id="1" name="Fiscal_x000a_Year" totalsRowLabel="2012-13 Total" dataDxfId="2159" totalsRowDxfId="2158"/>
    <tableColumn id="2" name="Program_x000a_Name" totalsRowLabel="N/A" dataDxfId="2157" totalsRowDxfId="2156"/>
    <tableColumn id="3" name="Legal_x000a_Reference_x000a_(Ch./Year)" totalsRowLabel="N/A" dataDxfId="2155" totalsRowDxfId="2154"/>
    <tableColumn id="4" name="Program Number" totalsRowLabel="N/A" dataDxfId="2153" totalsRowDxfId="2152"/>
    <tableColumn id="5" name="Program_x000a_Costs" totalsRowFunction="sum" dataDxfId="2151" totalsRowDxfId="2150"/>
    <tableColumn id="6" name="Less: Net Payments and Offsets 10" totalsRowFunction="sum" dataDxfId="2149" totalsRowDxfId="2148"/>
    <tableColumn id="7" name="Comment" totalsRowLabel="N/A" dataDxfId="2147" totalsRowDxfId="2146"/>
    <tableColumn id="8" name="Accounts Payable_x000a_Balance" totalsRowFunction="sum" dataDxfId="2145" totalsRowDxfId="2144"/>
    <tableColumn id="9" name="Established_x000a_Accounts Receivable" totalsRowFunction="sum" dataDxfId="2143" totalsRowDxfId="2142"/>
    <tableColumn id="10" name="Less: Recovered Amount" totalsRowFunction="sum" dataDxfId="2141" totalsRowDxfId="2140"/>
    <tableColumn id="11" name="Accounts Receivable_x000a_Balance" totalsRowFunction="sum" dataDxfId="2139" totalsRowDxfId="2138"/>
    <tableColumn id="12" name="Net_x000a_Balance" totalsRowFunction="sum" dataDxfId="2137" totalsRowDxfId="213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59.xml><?xml version="1.0" encoding="utf-8"?>
<table xmlns="http://schemas.openxmlformats.org/spreadsheetml/2006/main" id="52" name="school201112" displayName="school201112" ref="A278:L323" totalsRowCount="1" headerRowDxfId="2135" dataDxfId="2133" totalsRowDxfId="2131" headerRowBorderDxfId="2134" tableBorderDxfId="2132" totalsRowBorderDxfId="2130" headerRowCellStyle="Currency">
  <autoFilter ref="A278:L322"/>
  <tableColumns count="12">
    <tableColumn id="1" name="Fiscal_x000a_Year" totalsRowLabel="2011-12 Total" dataDxfId="2129" totalsRowDxfId="2128"/>
    <tableColumn id="2" name="Program_x000a_Name" totalsRowLabel="N/A" dataDxfId="2127" totalsRowDxfId="2126"/>
    <tableColumn id="3" name="Legal_x000a_Reference_x000a_(Ch./Year)" totalsRowLabel="N/A" dataDxfId="2125" totalsRowDxfId="2124"/>
    <tableColumn id="4" name="Program Number" totalsRowLabel="N/A" dataDxfId="2123" totalsRowDxfId="2122"/>
    <tableColumn id="5" name="Program_x000a_Costs" totalsRowFunction="sum" dataDxfId="2121" totalsRowDxfId="2120"/>
    <tableColumn id="6" name="Less: Net Payments and Offsets 10" totalsRowFunction="sum" dataDxfId="2119" totalsRowDxfId="2118"/>
    <tableColumn id="7" name="Comment" totalsRowLabel="N/A" dataDxfId="2117" totalsRowDxfId="2116"/>
    <tableColumn id="8" name="Accounts Payable_x000a_Balance" totalsRowFunction="sum" dataDxfId="2115" totalsRowDxfId="2114"/>
    <tableColumn id="9" name="Established_x000a_Accounts Receivable" totalsRowFunction="sum" dataDxfId="2113" totalsRowDxfId="2112"/>
    <tableColumn id="10" name="Less: Recovered Amount" totalsRowFunction="sum" dataDxfId="2111" totalsRowDxfId="2110"/>
    <tableColumn id="11" name="Accounts Receivable_x000a_Balance" totalsRowFunction="sum" dataDxfId="2109" totalsRowDxfId="2108"/>
    <tableColumn id="12" name="Net_x000a_Balance" totalsRowFunction="sum" dataDxfId="2107" totalsRowDxfId="210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6.xml><?xml version="1.0" encoding="utf-8"?>
<table xmlns="http://schemas.openxmlformats.org/spreadsheetml/2006/main" id="130" name="grandtotala" displayName="grandtotala" ref="A37:O43" totalsRowCount="1" totalsRowDxfId="3524" headerRowBorderDxfId="3526" tableBorderDxfId="3525" totalsRowBorderDxfId="3523">
  <autoFilter ref="A37:O42"/>
  <tableColumns count="15">
    <tableColumn id="1" name="Program Category_x000a_ and Fund" totalsRowLabel="Grand Total" totalsRowDxfId="3522"/>
    <tableColumn id="2" name="Appropriation_x000a_Number" totalsRowLabel="N/A" dataDxfId="3521" totalsRowDxfId="3520"/>
    <tableColumn id="3" name="Legal_x000a_Reference_x000a_(Ch./Year)" totalsRowLabel="N/A" dataDxfId="3519" totalsRowDxfId="3518"/>
    <tableColumn id="4" name="Fiscal Year of_x000a_Claims Paid" totalsRowLabel="N/A" dataDxfId="3517" totalsRowDxfId="3516"/>
    <tableColumn id="5" name="Reversion Date" totalsRowLabel="N/A" dataDxfId="3515" totalsRowDxfId="3514"/>
    <tableColumn id="6" name="Original_x000a_Appropriation_x000a_Amount" totalsRowFunction="sum" dataDxfId="3513" totalsRowDxfId="3512"/>
    <tableColumn id="7" name="Appropriation Balances 1 " totalsRowFunction="sum" dataDxfId="3511" totalsRowDxfId="3510"/>
    <tableColumn id="8" name="Comment1" totalsRowLabel="N/A" dataDxfId="3509" totalsRowDxfId="3508"/>
    <tableColumn id="9" name="Budget Adjustments" totalsRowFunction="sum" totalsRowDxfId="3507"/>
    <tableColumn id="10" name="Comment3" totalsRowLabel="N/A" dataDxfId="3506" totalsRowDxfId="3505"/>
    <tableColumn id="11" name="Add: Receipts_x000a_and Recovered Amounts" totalsRowFunction="sum" totalsRowDxfId="3504"/>
    <tableColumn id="12" name="Less: Mandated Program Payments, Offsets, and Interest_x000a_(see Schedule A1)" totalsRowFunction="sum" totalsRowDxfId="3503"/>
    <tableColumn id="13" name="Comment2" totalsRowLabel="N/A" dataDxfId="3502" totalsRowDxfId="3501"/>
    <tableColumn id="14" name="Less: Appropriations for Reversion" totalsRowFunction="sum" totalsRowDxfId="3500"/>
    <tableColumn id="15" name="Appropriation Balances_x000a_as of 8/31/2020" totalsRowFunction="sum" dataDxfId="3499" totalsRowDxfId="349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: Summary of State-Mandated Program Appropriations, Receipts, and Payments. As of August 31, 2020. Grand total for all."/>
    </ext>
  </extLst>
</table>
</file>

<file path=xl/tables/table60.xml><?xml version="1.0" encoding="utf-8"?>
<table xmlns="http://schemas.openxmlformats.org/spreadsheetml/2006/main" id="53" name="school201011" displayName="school201011" ref="A325:L375" totalsRowCount="1" headerRowDxfId="2105" dataDxfId="2103" totalsRowDxfId="2101" headerRowBorderDxfId="2104" tableBorderDxfId="2102" totalsRowBorderDxfId="2100" headerRowCellStyle="Currency">
  <autoFilter ref="A325:L374"/>
  <tableColumns count="12">
    <tableColumn id="1" name="Fiscal_x000a_Year" totalsRowLabel="2010-11 Total" dataDxfId="2099" totalsRowDxfId="2098"/>
    <tableColumn id="2" name="Program_x000a_Name" totalsRowLabel="N/A" dataDxfId="2097" totalsRowDxfId="2096"/>
    <tableColumn id="3" name="Legal_x000a_Reference_x000a_(Ch./Year)" totalsRowLabel="N/A" dataDxfId="2095" totalsRowDxfId="2094"/>
    <tableColumn id="4" name="Program Number" totalsRowLabel="N/A" dataDxfId="2093" totalsRowDxfId="2092"/>
    <tableColumn id="5" name="Program_x000a_Costs" totalsRowFunction="sum" dataDxfId="2091" totalsRowDxfId="2090"/>
    <tableColumn id="6" name="Less: Net Payments and Offsets 10" totalsRowFunction="sum" dataDxfId="2089" totalsRowDxfId="2088"/>
    <tableColumn id="7" name="Comment" totalsRowLabel="N/A" dataDxfId="2087" totalsRowDxfId="2086"/>
    <tableColumn id="8" name="Accounts Payable_x000a_Balance" totalsRowFunction="sum" dataDxfId="2085" totalsRowDxfId="2084"/>
    <tableColumn id="9" name="Established_x000a_Accounts Receivable" totalsRowFunction="sum" dataDxfId="2083" totalsRowDxfId="2082"/>
    <tableColumn id="10" name="Less: Recovered Amount" totalsRowFunction="sum" dataDxfId="2081" totalsRowDxfId="2080"/>
    <tableColumn id="11" name="Accounts Receivable_x000a_Balance" totalsRowFunction="sum" dataDxfId="2079" totalsRowDxfId="2078"/>
    <tableColumn id="12" name="Net_x000a_Balance" totalsRowFunction="sum" dataDxfId="2077" totalsRowDxfId="207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61.xml><?xml version="1.0" encoding="utf-8"?>
<table xmlns="http://schemas.openxmlformats.org/spreadsheetml/2006/main" id="54" name="school200910" displayName="school200910" ref="A377:L422" totalsRowCount="1" headerRowDxfId="2075" dataDxfId="2073" totalsRowDxfId="2071" headerRowBorderDxfId="2074" tableBorderDxfId="2072" totalsRowBorderDxfId="2070" headerRowCellStyle="Currency">
  <autoFilter ref="A377:L421"/>
  <tableColumns count="12">
    <tableColumn id="1" name="Fiscal_x000a_Year" totalsRowLabel="2009-10 Total" dataDxfId="2069" totalsRowDxfId="2068"/>
    <tableColumn id="2" name="Program_x000a_Name" totalsRowLabel="N/A" dataDxfId="2067" totalsRowDxfId="2066"/>
    <tableColumn id="3" name="Legal_x000a_Reference_x000a_(Ch./Year)" totalsRowLabel="N/A" dataDxfId="2065" totalsRowDxfId="2064"/>
    <tableColumn id="4" name="Program Number" totalsRowLabel="N/A" dataDxfId="2063" totalsRowDxfId="2062"/>
    <tableColumn id="5" name="Program_x000a_Costs" totalsRowFunction="sum" dataDxfId="2061" totalsRowDxfId="2060"/>
    <tableColumn id="6" name="Less: Net Payments and Offsets 10" totalsRowFunction="sum" dataDxfId="2059" totalsRowDxfId="2058"/>
    <tableColumn id="7" name="Comment" totalsRowLabel="N/A" dataDxfId="2057" totalsRowDxfId="2056"/>
    <tableColumn id="8" name="Accounts Payable_x000a_Balance" totalsRowFunction="sum" dataDxfId="2055" totalsRowDxfId="2054"/>
    <tableColumn id="9" name="Established_x000a_Accounts Receivable" totalsRowFunction="sum" dataDxfId="2053" totalsRowDxfId="2052"/>
    <tableColumn id="10" name="Less: Recovered Amount" totalsRowFunction="sum" dataDxfId="2051" totalsRowDxfId="2050"/>
    <tableColumn id="11" name="Accounts Receivable_x000a_Balance" totalsRowFunction="sum" dataDxfId="2049" totalsRowDxfId="2048"/>
    <tableColumn id="12" name="Net_x000a_Balance" totalsRowFunction="sum" dataDxfId="2047" totalsRowDxfId="204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62.xml><?xml version="1.0" encoding="utf-8"?>
<table xmlns="http://schemas.openxmlformats.org/spreadsheetml/2006/main" id="55" name="school200809" displayName="school200809" ref="A424:L472" totalsRowCount="1" headerRowDxfId="2045" dataDxfId="2043" totalsRowDxfId="2041" headerRowBorderDxfId="2044" tableBorderDxfId="2042" totalsRowBorderDxfId="2040" headerRowCellStyle="Currency">
  <autoFilter ref="A424:L471"/>
  <tableColumns count="12">
    <tableColumn id="1" name="Fiscal_x000a_Year" totalsRowLabel="2008-09 Total" dataDxfId="2039" totalsRowDxfId="2038"/>
    <tableColumn id="2" name="Program_x000a_Name" totalsRowLabel="N/A" dataDxfId="2037" totalsRowDxfId="2036"/>
    <tableColumn id="3" name="Legal_x000a_Reference_x000a_(Ch./Year)" totalsRowLabel="N/A" dataDxfId="2035" totalsRowDxfId="2034"/>
    <tableColumn id="4" name="Program Number" totalsRowLabel="N/A" dataDxfId="2033" totalsRowDxfId="2032"/>
    <tableColumn id="5" name="Program_x000a_Costs" totalsRowFunction="sum" dataDxfId="2031" totalsRowDxfId="2030"/>
    <tableColumn id="6" name="Less: Net Payments and Offsets 10" totalsRowFunction="sum" dataDxfId="2029" totalsRowDxfId="2028"/>
    <tableColumn id="7" name="Comment" totalsRowLabel="N/A" dataDxfId="2027" totalsRowDxfId="2026"/>
    <tableColumn id="8" name="Accounts Payable_x000a_Balance" totalsRowFunction="sum" dataDxfId="2025" totalsRowDxfId="2024"/>
    <tableColumn id="9" name="Established_x000a_Accounts Receivable" totalsRowFunction="sum" dataDxfId="2023" totalsRowDxfId="2022"/>
    <tableColumn id="10" name="Less: Recovered Amount" totalsRowFunction="sum" dataDxfId="2021" totalsRowDxfId="2020"/>
    <tableColumn id="11" name="Accounts Receivable_x000a_Balance" totalsRowFunction="sum" dataDxfId="2019" totalsRowDxfId="2018"/>
    <tableColumn id="12" name="Net_x000a_Balance" totalsRowFunction="sum" dataDxfId="2017" totalsRowDxfId="201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63.xml><?xml version="1.0" encoding="utf-8"?>
<table xmlns="http://schemas.openxmlformats.org/spreadsheetml/2006/main" id="56" name="school200708" displayName="school200708" ref="A474:L524" totalsRowCount="1" headerRowDxfId="2015" dataDxfId="2013" totalsRowDxfId="2011" headerRowBorderDxfId="2014" tableBorderDxfId="2012" totalsRowBorderDxfId="2010" headerRowCellStyle="Currency">
  <autoFilter ref="A474:L523"/>
  <tableColumns count="12">
    <tableColumn id="1" name="Fiscal_x000a_Year" totalsRowLabel="2007-08 Total" dataDxfId="2009" totalsRowDxfId="2008"/>
    <tableColumn id="2" name="Program_x000a_Name" totalsRowLabel="N/A" dataDxfId="2007" totalsRowDxfId="2006"/>
    <tableColumn id="3" name="Legal_x000a_Reference_x000a_(Ch./Year)" totalsRowLabel="N/A" dataDxfId="2005" totalsRowDxfId="2004"/>
    <tableColumn id="4" name="Program Number" totalsRowLabel="N/A" dataDxfId="2003" totalsRowDxfId="2002"/>
    <tableColumn id="5" name="Program_x000a_Costs" totalsRowFunction="sum" dataDxfId="2001" totalsRowDxfId="2000"/>
    <tableColumn id="6" name="Less: Net Payments and Offsets 10" totalsRowFunction="sum" dataDxfId="1999" totalsRowDxfId="1998"/>
    <tableColumn id="7" name="Comment" totalsRowLabel="N/A" dataDxfId="1997" totalsRowDxfId="1996"/>
    <tableColumn id="8" name="Accounts Payable_x000a_Balance" totalsRowFunction="sum" dataDxfId="1995" totalsRowDxfId="1994"/>
    <tableColumn id="9" name="Established_x000a_Accounts Receivable" totalsRowFunction="sum" dataDxfId="1993" totalsRowDxfId="1992"/>
    <tableColumn id="10" name="Less: Recovered Amount" totalsRowFunction="sum" dataDxfId="1991" totalsRowDxfId="1990"/>
    <tableColumn id="11" name="Accounts Receivable_x000a_Balance" totalsRowFunction="sum" dataDxfId="1989" totalsRowDxfId="1988"/>
    <tableColumn id="12" name="Net_x000a_Balance" totalsRowFunction="sum" dataDxfId="1987" totalsRowDxfId="198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64.xml><?xml version="1.0" encoding="utf-8"?>
<table xmlns="http://schemas.openxmlformats.org/spreadsheetml/2006/main" id="57" name="school200607" displayName="school200607" ref="A526:L577" totalsRowCount="1" headerRowDxfId="1985" dataDxfId="1983" totalsRowDxfId="1981" headerRowBorderDxfId="1984" tableBorderDxfId="1982" totalsRowBorderDxfId="1980" headerRowCellStyle="Currency">
  <autoFilter ref="A526:L576"/>
  <tableColumns count="12">
    <tableColumn id="1" name="Fiscal_x000a_Year" totalsRowLabel="2006-07 Total" dataDxfId="1979" totalsRowDxfId="1978"/>
    <tableColumn id="2" name="Program_x000a_Name" totalsRowLabel="N/A" dataDxfId="1977" totalsRowDxfId="1976"/>
    <tableColumn id="3" name="Legal_x000a_Reference_x000a_(Ch./Year)" totalsRowLabel="N/A" dataDxfId="1975" totalsRowDxfId="1974"/>
    <tableColumn id="4" name="Program Number" totalsRowLabel="N/A" dataDxfId="1973" totalsRowDxfId="1972"/>
    <tableColumn id="5" name="Program_x000a_Costs" totalsRowFunction="sum" dataDxfId="1971" totalsRowDxfId="1970"/>
    <tableColumn id="6" name="Less: Net Payments and Offsets 10" totalsRowFunction="sum" dataDxfId="1969" totalsRowDxfId="1968"/>
    <tableColumn id="7" name="Comment" totalsRowLabel="N/A" dataDxfId="1967" totalsRowDxfId="1966"/>
    <tableColumn id="8" name="Accounts Payable_x000a_Balance" totalsRowFunction="sum" dataDxfId="1965" totalsRowDxfId="1964"/>
    <tableColumn id="9" name="Established_x000a_Accounts Receivable" totalsRowFunction="sum" dataDxfId="1963" totalsRowDxfId="1962"/>
    <tableColumn id="10" name="Less: Recovered Amount" totalsRowFunction="sum" dataDxfId="1961" totalsRowDxfId="1960"/>
    <tableColumn id="11" name="Accounts Receivable_x000a_Balance" totalsRowFunction="sum" dataDxfId="1959" totalsRowDxfId="1958"/>
    <tableColumn id="12" name="Net_x000a_Balance" totalsRowFunction="sum" dataDxfId="1957" totalsRowDxfId="195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65.xml><?xml version="1.0" encoding="utf-8"?>
<table xmlns="http://schemas.openxmlformats.org/spreadsheetml/2006/main" id="58" name="school200506" displayName="school200506" ref="A579:L626" totalsRowCount="1" headerRowDxfId="1955" dataDxfId="1953" totalsRowDxfId="1951" headerRowBorderDxfId="1954" tableBorderDxfId="1952" totalsRowBorderDxfId="1950" headerRowCellStyle="Currency">
  <autoFilter ref="A579:L625"/>
  <tableColumns count="12">
    <tableColumn id="1" name="Fiscal_x000a_Year" totalsRowLabel="2005-06 Total" dataDxfId="1949" totalsRowDxfId="1948"/>
    <tableColumn id="2" name="Program_x000a_Name" totalsRowLabel="N/A" dataDxfId="1947" totalsRowDxfId="1946"/>
    <tableColumn id="3" name="Legal_x000a_Reference_x000a_(Ch./Year)" totalsRowLabel="N/A" dataDxfId="1945" totalsRowDxfId="1944"/>
    <tableColumn id="4" name="Program Number" totalsRowLabel="N/A" dataDxfId="1943" totalsRowDxfId="1942"/>
    <tableColumn id="5" name="Program_x000a_Costs" totalsRowFunction="sum" dataDxfId="1941" totalsRowDxfId="1940"/>
    <tableColumn id="6" name="Less: Net Payments and Offsets 10" totalsRowFunction="sum" dataDxfId="1939" totalsRowDxfId="1938"/>
    <tableColumn id="7" name="Comment" totalsRowLabel="N/A" dataDxfId="1937" totalsRowDxfId="1936"/>
    <tableColumn id="8" name="Accounts Payable_x000a_Balance" totalsRowFunction="sum" dataDxfId="1935" totalsRowDxfId="1934"/>
    <tableColumn id="9" name="Established_x000a_Accounts Receivable" totalsRowFunction="sum" dataDxfId="1933" totalsRowDxfId="1932"/>
    <tableColumn id="10" name="Less: Recovered Amount" totalsRowFunction="sum" dataDxfId="1931" totalsRowDxfId="1930"/>
    <tableColumn id="11" name="Accounts Receivable_x000a_Balance" totalsRowFunction="sum" dataDxfId="1929" totalsRowDxfId="1928"/>
    <tableColumn id="12" name="Net_x000a_Balance" totalsRowFunction="sum" dataDxfId="1927" totalsRowDxfId="192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66.xml><?xml version="1.0" encoding="utf-8"?>
<table xmlns="http://schemas.openxmlformats.org/spreadsheetml/2006/main" id="59" name="school200405" displayName="school200405" ref="A628:L669" totalsRowCount="1" headerRowDxfId="1925" dataDxfId="1923" totalsRowDxfId="1921" headerRowBorderDxfId="1924" tableBorderDxfId="1922" totalsRowBorderDxfId="1920" headerRowCellStyle="Currency">
  <autoFilter ref="A628:L668"/>
  <tableColumns count="12">
    <tableColumn id="1" name="Fiscal_x000a_Year" totalsRowLabel="2004-05 Total" dataDxfId="1919" totalsRowDxfId="1918"/>
    <tableColumn id="2" name="Program_x000a_Name" totalsRowLabel="N/A" dataDxfId="1917" totalsRowDxfId="1916"/>
    <tableColumn id="3" name="Legal_x000a_Reference_x000a_(Ch./Year)" totalsRowLabel="N/A" dataDxfId="1915" totalsRowDxfId="1914"/>
    <tableColumn id="4" name="Program Number" totalsRowLabel="N/A" dataDxfId="1913" totalsRowDxfId="1912"/>
    <tableColumn id="5" name="Program_x000a_Costs" totalsRowFunction="sum" dataDxfId="1911" totalsRowDxfId="1910"/>
    <tableColumn id="6" name="Less: Net Payments and Offsets 10" totalsRowFunction="sum" dataDxfId="1909" totalsRowDxfId="1908"/>
    <tableColumn id="7" name="Comment" totalsRowLabel="N/A" dataDxfId="1907" totalsRowDxfId="1906"/>
    <tableColumn id="8" name="Accounts Payable_x000a_Balance" totalsRowFunction="sum" dataDxfId="1905" totalsRowDxfId="1904"/>
    <tableColumn id="9" name="Established_x000a_Accounts Receivable" totalsRowFunction="sum" dataDxfId="1903" totalsRowDxfId="1902"/>
    <tableColumn id="10" name="Less: Recovered Amount" totalsRowFunction="sum" dataDxfId="1901" totalsRowDxfId="1900"/>
    <tableColumn id="11" name="Accounts Receivable_x000a_Balance" totalsRowFunction="sum" dataDxfId="1899" totalsRowDxfId="1898"/>
    <tableColumn id="12" name="Net_x000a_Balance" totalsRowFunction="sum" dataDxfId="1897" totalsRowDxfId="189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67.xml><?xml version="1.0" encoding="utf-8"?>
<table xmlns="http://schemas.openxmlformats.org/spreadsheetml/2006/main" id="60" name="school200304" displayName="school200304" ref="A671:L688" totalsRowCount="1" headerRowDxfId="1895" dataDxfId="1893" totalsRowDxfId="1891" headerRowBorderDxfId="1894" tableBorderDxfId="1892" totalsRowBorderDxfId="1890" headerRowCellStyle="Currency">
  <autoFilter ref="A671:L687"/>
  <tableColumns count="12">
    <tableColumn id="1" name="Fiscal_x000a_Year" totalsRowLabel="2003-04 Total" dataDxfId="1889" totalsRowDxfId="1888"/>
    <tableColumn id="2" name="Program_x000a_Name" totalsRowLabel="N/A" dataDxfId="1887" totalsRowDxfId="1886"/>
    <tableColumn id="3" name="Legal_x000a_Reference_x000a_(Ch./Year)" totalsRowLabel="N/A" dataDxfId="1885" totalsRowDxfId="1884"/>
    <tableColumn id="4" name="Program Number" totalsRowLabel="N/A" dataDxfId="1883" totalsRowDxfId="1882"/>
    <tableColumn id="5" name="Program_x000a_Costs" totalsRowFunction="sum" dataDxfId="1881" totalsRowDxfId="1880"/>
    <tableColumn id="6" name="Less: Net Payments and Offsets 10" totalsRowFunction="sum" dataDxfId="1879" totalsRowDxfId="1878"/>
    <tableColumn id="7" name="Comment" totalsRowLabel="N/A" dataDxfId="1877" totalsRowDxfId="1876"/>
    <tableColumn id="8" name="Accounts Payable_x000a_Balance" totalsRowFunction="sum" dataDxfId="1875" totalsRowDxfId="1874"/>
    <tableColumn id="9" name="Established_x000a_Accounts Receivable" totalsRowFunction="sum" dataDxfId="1873" totalsRowDxfId="1872"/>
    <tableColumn id="10" name="Less: Recovered Amount" totalsRowFunction="sum" dataDxfId="1871" totalsRowDxfId="1870"/>
    <tableColumn id="11" name="Accounts Receivable_x000a_Balance" totalsRowFunction="sum" dataDxfId="1869" totalsRowDxfId="1868"/>
    <tableColumn id="12" name="Net_x000a_Balance" totalsRowFunction="sum" dataDxfId="1867" totalsRowDxfId="186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68.xml><?xml version="1.0" encoding="utf-8"?>
<table xmlns="http://schemas.openxmlformats.org/spreadsheetml/2006/main" id="61" name="school200203" displayName="school200203" ref="A690:L705" totalsRowCount="1" headerRowDxfId="1865" dataDxfId="1863" totalsRowDxfId="1861" headerRowBorderDxfId="1864" tableBorderDxfId="1862" totalsRowBorderDxfId="1860" headerRowCellStyle="Currency">
  <autoFilter ref="A690:L704"/>
  <tableColumns count="12">
    <tableColumn id="1" name="Fiscal_x000a_Year" totalsRowLabel="2002-03 Total" dataDxfId="1859" totalsRowDxfId="1858"/>
    <tableColumn id="2" name="Program_x000a_Name" totalsRowLabel="N/A" dataDxfId="1857" totalsRowDxfId="1856"/>
    <tableColumn id="3" name="Legal_x000a_Reference_x000a_(Ch./Year)" totalsRowLabel="N/A" dataDxfId="1855" totalsRowDxfId="1854"/>
    <tableColumn id="4" name="Program Number" totalsRowLabel="N/A" dataDxfId="1853" totalsRowDxfId="1852"/>
    <tableColumn id="5" name="Program_x000a_Costs" totalsRowFunction="sum" dataDxfId="1851" totalsRowDxfId="1850"/>
    <tableColumn id="6" name="Less: Net Payments and Offsets 10" totalsRowFunction="sum" dataDxfId="1849" totalsRowDxfId="1848"/>
    <tableColumn id="7" name="Comment" totalsRowLabel="N/A" dataDxfId="1847" totalsRowDxfId="1846"/>
    <tableColumn id="8" name="Accounts Payable_x000a_Balance" totalsRowFunction="sum" dataDxfId="1845" totalsRowDxfId="1844"/>
    <tableColumn id="9" name="Established_x000a_Accounts Receivable" totalsRowFunction="sum" dataDxfId="1843" totalsRowDxfId="1842"/>
    <tableColumn id="10" name="Less: Recovered Amount" totalsRowFunction="sum" dataDxfId="1841" totalsRowDxfId="1840"/>
    <tableColumn id="11" name="Accounts Receivable_x000a_Balance" totalsRowFunction="sum" dataDxfId="1839" totalsRowDxfId="1838"/>
    <tableColumn id="12" name="Net_x000a_Balance" totalsRowFunction="sum" dataDxfId="1837" totalsRowDxfId="183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69.xml><?xml version="1.0" encoding="utf-8"?>
<table xmlns="http://schemas.openxmlformats.org/spreadsheetml/2006/main" id="62" name="school200102" displayName="school200102" ref="A707:L739" totalsRowCount="1" headerRowDxfId="1835" dataDxfId="1833" totalsRowDxfId="1831" headerRowBorderDxfId="1834" tableBorderDxfId="1832" totalsRowBorderDxfId="1830" headerRowCellStyle="Currency">
  <autoFilter ref="A707:L738"/>
  <tableColumns count="12">
    <tableColumn id="1" name="Fiscal_x000a_Year" totalsRowLabel="2001-02 Total" dataDxfId="1829" totalsRowDxfId="1828"/>
    <tableColumn id="2" name="Program_x000a_Name" totalsRowLabel="N/A" dataDxfId="1827" totalsRowDxfId="1826"/>
    <tableColumn id="3" name="Legal_x000a_Reference_x000a_(Ch./Year)" totalsRowLabel="N/A" dataDxfId="1825" totalsRowDxfId="1824"/>
    <tableColumn id="4" name="Program Number" totalsRowLabel="N/A" dataDxfId="1823" totalsRowDxfId="1822"/>
    <tableColumn id="5" name="Program_x000a_Costs" totalsRowFunction="sum" dataDxfId="1821" totalsRowDxfId="1820"/>
    <tableColumn id="6" name="Less: Net Payments and Offsets 10" totalsRowFunction="sum" dataDxfId="1819" totalsRowDxfId="1818"/>
    <tableColumn id="7" name="Comment" totalsRowLabel="N/A" dataDxfId="1817" totalsRowDxfId="1816"/>
    <tableColumn id="8" name="Accounts Payable_x000a_Balance" totalsRowFunction="sum" dataDxfId="1815" totalsRowDxfId="1814"/>
    <tableColumn id="9" name="Established_x000a_Accounts Receivable" totalsRowFunction="sum" dataDxfId="1813" totalsRowDxfId="1812"/>
    <tableColumn id="10" name="Less: Recovered Amount" totalsRowFunction="sum" dataDxfId="1811" totalsRowDxfId="1810"/>
    <tableColumn id="11" name="Accounts Receivable_x000a_Balance" totalsRowFunction="sum" dataDxfId="1809" totalsRowDxfId="1808"/>
    <tableColumn id="12" name="Net_x000a_Balance" totalsRowFunction="sum" dataDxfId="1807" totalsRowDxfId="180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7.xml><?xml version="1.0" encoding="utf-8"?>
<table xmlns="http://schemas.openxmlformats.org/spreadsheetml/2006/main" id="8" name="localannualclaim20" displayName="localannualclaim20" ref="A2:I26" totalsRowCount="1" headerRowDxfId="3497" dataDxfId="3495" totalsRowDxfId="3493" headerRowBorderDxfId="3496" tableBorderDxfId="3494" totalsRowBorderDxfId="3492">
  <autoFilter ref="A2:I25"/>
  <tableColumns count="9">
    <tableColumn id="1" name="Program Category_x000a_and Type of Payment" totalsRowLabel="Annual Claim Payments Total" dataDxfId="3491" totalsRowDxfId="3490"/>
    <tableColumn id="2" name="Fiscal _x000a_Year" totalsRowLabel="N/A" dataDxfId="3489" totalsRowDxfId="3488"/>
    <tableColumn id="3" name="Appropriation _x000a_Number" totalsRowLabel="N/A" dataDxfId="3487" totalsRowDxfId="3486"/>
    <tableColumn id="4" name="Program _x000a_Name" totalsRowLabel="N/A" dataDxfId="3485" totalsRowDxfId="3484"/>
    <tableColumn id="5" name="Legal _x000a_Reference_x000a_(Ch./Year)" totalsRowLabel="N/A" dataDxfId="3483" totalsRowDxfId="3482"/>
    <tableColumn id="6" name="Program_x000a_ Number" totalsRowLabel="N/A" dataDxfId="3481" totalsRowDxfId="3480"/>
    <tableColumn id="7" name="Program _x000a_Payments and Offsets" totalsRowFunction="sum" dataDxfId="3479" totalsRowDxfId="3478" dataCellStyle="Currency"/>
    <tableColumn id="8" name="Interest_x000a_Payments and Offsets" totalsRowFunction="sum" dataDxfId="3477" totalsRowDxfId="3476" dataCellStyle="Currency"/>
    <tableColumn id="9" name="Total _x000a_Payments" totalsRowFunction="sum" dataDxfId="3475" totalsRowDxfId="3474" dataCellStyle="Currency">
      <calculatedColumnFormula>G3+H3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1: Detail of State-Mandated Program Payments by Fiscal Year. As of August 31, 2020. Local Agencies-Annual Claim."/>
    </ext>
  </extLst>
</table>
</file>

<file path=xl/tables/table70.xml><?xml version="1.0" encoding="utf-8"?>
<table xmlns="http://schemas.openxmlformats.org/spreadsheetml/2006/main" id="63" name="school200001" displayName="school200001" ref="A741:L763" totalsRowCount="1" headerRowDxfId="1805" dataDxfId="1803" totalsRowDxfId="1801" headerRowBorderDxfId="1804" tableBorderDxfId="1802" totalsRowBorderDxfId="1800" headerRowCellStyle="Currency">
  <autoFilter ref="A741:L762"/>
  <tableColumns count="12">
    <tableColumn id="1" name="Fiscal_x000a_Year" totalsRowLabel="2000-01 Total" dataDxfId="1799" totalsRowDxfId="1798"/>
    <tableColumn id="2" name="Program_x000a_Name" totalsRowLabel="N/A" dataDxfId="1797" totalsRowDxfId="1796"/>
    <tableColumn id="3" name="Legal_x000a_Reference_x000a_(Ch./Year)" totalsRowLabel="N/A" dataDxfId="1795" totalsRowDxfId="1794"/>
    <tableColumn id="4" name="Program Number" totalsRowLabel="N/A" dataDxfId="1793" totalsRowDxfId="1792"/>
    <tableColumn id="5" name="Program_x000a_Costs" totalsRowFunction="sum" dataDxfId="1791" totalsRowDxfId="1790"/>
    <tableColumn id="6" name="Less: Net Payments and Offsets 10" totalsRowFunction="sum" dataDxfId="1789" totalsRowDxfId="1788"/>
    <tableColumn id="7" name="Comment" totalsRowLabel="N/A" dataDxfId="1787" totalsRowDxfId="1786"/>
    <tableColumn id="8" name="Accounts Payable_x000a_Balance" totalsRowFunction="sum" dataDxfId="1785" totalsRowDxfId="1784"/>
    <tableColumn id="9" name="Established_x000a_Accounts Receivable" totalsRowFunction="sum" dataDxfId="1783" totalsRowDxfId="1782"/>
    <tableColumn id="10" name="Less: Recovered Amount" totalsRowFunction="sum" dataDxfId="1781" totalsRowDxfId="1780"/>
    <tableColumn id="11" name="Accounts Receivable_x000a_Balance" totalsRowFunction="sum" dataDxfId="1779" totalsRowDxfId="1778"/>
    <tableColumn id="12" name="Net_x000a_Balance" totalsRowFunction="sum" dataDxfId="1777" totalsRowDxfId="177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71.xml><?xml version="1.0" encoding="utf-8"?>
<table xmlns="http://schemas.openxmlformats.org/spreadsheetml/2006/main" id="64" name="school199900" displayName="school199900" ref="A765:L777" totalsRowCount="1" headerRowDxfId="1775" dataDxfId="1773" totalsRowDxfId="1771" headerRowBorderDxfId="1774" tableBorderDxfId="1772" totalsRowBorderDxfId="1770" headerRowCellStyle="Currency">
  <autoFilter ref="A765:L776"/>
  <tableColumns count="12">
    <tableColumn id="1" name="Fiscal_x000a_Year" totalsRowLabel="1999-00 Total" dataDxfId="1769" totalsRowDxfId="1768"/>
    <tableColumn id="2" name="Program_x000a_Name" totalsRowLabel="N/A" dataDxfId="1767" totalsRowDxfId="1766"/>
    <tableColumn id="3" name="Legal_x000a_Reference_x000a_(Ch./Year)" totalsRowLabel="N/A" dataDxfId="1765" totalsRowDxfId="1764"/>
    <tableColumn id="4" name="Program Number" totalsRowLabel="N/A" dataDxfId="1763" totalsRowDxfId="1762"/>
    <tableColumn id="5" name="Program_x000a_Costs" totalsRowFunction="sum" dataDxfId="1761" totalsRowDxfId="1760"/>
    <tableColumn id="6" name="Less: Net Payments and Offsets 10" totalsRowFunction="sum" dataDxfId="1759" totalsRowDxfId="1758"/>
    <tableColumn id="7" name="Comment" totalsRowLabel="N/A" dataDxfId="1757" totalsRowDxfId="1756"/>
    <tableColumn id="8" name="Accounts Payable_x000a_Balance" totalsRowFunction="sum" dataDxfId="1755" totalsRowDxfId="1754"/>
    <tableColumn id="9" name="Established_x000a_Accounts Receivable" totalsRowFunction="sum" dataDxfId="1753" totalsRowDxfId="1752"/>
    <tableColumn id="10" name="Less: Recovered Amount" totalsRowFunction="sum" dataDxfId="1751" totalsRowDxfId="1750"/>
    <tableColumn id="11" name="Accounts Receivable_x000a_Balance" totalsRowFunction="sum" dataDxfId="1749" totalsRowDxfId="1748"/>
    <tableColumn id="12" name="Net_x000a_Balance" totalsRowFunction="sum" dataDxfId="1747" totalsRowDxfId="174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72.xml><?xml version="1.0" encoding="utf-8"?>
<table xmlns="http://schemas.openxmlformats.org/spreadsheetml/2006/main" id="65" name="school199899" displayName="school199899" ref="A779:L786" totalsRowCount="1" headerRowDxfId="1745" dataDxfId="1743" totalsRowDxfId="1741" headerRowBorderDxfId="1744" tableBorderDxfId="1742" totalsRowBorderDxfId="1740" headerRowCellStyle="Currency">
  <autoFilter ref="A779:L785"/>
  <tableColumns count="12">
    <tableColumn id="1" name="Fiscal_x000a_Year" totalsRowLabel="1998-99 Total" dataDxfId="1739" totalsRowDxfId="1738"/>
    <tableColumn id="2" name="Program_x000a_Name" totalsRowLabel="N/A" dataDxfId="1737" totalsRowDxfId="1736"/>
    <tableColumn id="3" name="Legal_x000a_Reference_x000a_(Ch./Year)" totalsRowLabel="N/A" dataDxfId="1735" totalsRowDxfId="1734"/>
    <tableColumn id="4" name="Program Number" totalsRowLabel="N/A" dataDxfId="1733" totalsRowDxfId="1732"/>
    <tableColumn id="5" name="Program_x000a_Costs" totalsRowFunction="sum" dataDxfId="1731" totalsRowDxfId="1730"/>
    <tableColumn id="6" name="Less: Net Payments and Offsets 10" totalsRowFunction="sum" dataDxfId="1729" totalsRowDxfId="1728"/>
    <tableColumn id="7" name="Comment" totalsRowLabel="N/A" dataDxfId="1727" totalsRowDxfId="1726"/>
    <tableColumn id="8" name="Accounts Payable_x000a_Balance" totalsRowFunction="sum" dataDxfId="1725" totalsRowDxfId="1724"/>
    <tableColumn id="9" name="Established_x000a_Accounts Receivable" totalsRowFunction="sum" dataDxfId="1723" totalsRowDxfId="1722"/>
    <tableColumn id="10" name="Less: Recovered Amount" totalsRowFunction="sum" dataDxfId="1721" totalsRowDxfId="1720"/>
    <tableColumn id="11" name="Accounts Receivable_x000a_Balance" totalsRowFunction="sum" dataDxfId="1719" totalsRowDxfId="1718"/>
    <tableColumn id="12" name="Net_x000a_Balance" totalsRowFunction="sum" dataDxfId="1717" totalsRowDxfId="171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73.xml><?xml version="1.0" encoding="utf-8"?>
<table xmlns="http://schemas.openxmlformats.org/spreadsheetml/2006/main" id="66" name="school199798" displayName="school199798" ref="A788:L795" totalsRowCount="1" headerRowDxfId="1715" dataDxfId="1713" totalsRowDxfId="1711" headerRowBorderDxfId="1714" tableBorderDxfId="1712" totalsRowBorderDxfId="1710" headerRowCellStyle="Currency">
  <autoFilter ref="A788:L794"/>
  <tableColumns count="12">
    <tableColumn id="1" name="Fiscal_x000a_Year" totalsRowLabel="1997-98 Total" dataDxfId="1709" totalsRowDxfId="1708"/>
    <tableColumn id="2" name="Program_x000a_Name" totalsRowLabel="N/A" dataDxfId="1707" totalsRowDxfId="1706"/>
    <tableColumn id="3" name="Legal_x000a_Reference_x000a_(Ch./Year)" totalsRowLabel="N/A" dataDxfId="1705" totalsRowDxfId="1704"/>
    <tableColumn id="4" name="Program Number" totalsRowLabel="N/A" dataDxfId="1703" totalsRowDxfId="1702"/>
    <tableColumn id="5" name="Program_x000a_Costs" totalsRowFunction="sum" dataDxfId="1701" totalsRowDxfId="1700"/>
    <tableColumn id="6" name="Less: Net Payments and Offsets 10" totalsRowFunction="sum" dataDxfId="1699" totalsRowDxfId="1698"/>
    <tableColumn id="7" name="Comment" totalsRowLabel="N/A" dataDxfId="1697" totalsRowDxfId="1696"/>
    <tableColumn id="8" name="Accounts Payable_x000a_Balance" totalsRowFunction="sum" dataDxfId="1695" totalsRowDxfId="1694"/>
    <tableColumn id="9" name="Established_x000a_Accounts Receivable" totalsRowFunction="sum" dataDxfId="1693" totalsRowDxfId="1692"/>
    <tableColumn id="10" name="Less: Recovered Amount" totalsRowFunction="sum" dataDxfId="1691" totalsRowDxfId="1690"/>
    <tableColumn id="11" name="Accounts Receivable_x000a_Balance" totalsRowFunction="sum" dataDxfId="1689" totalsRowDxfId="1688"/>
    <tableColumn id="12" name="Net_x000a_Balance" totalsRowFunction="sum" dataDxfId="1687" totalsRowDxfId="168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74.xml><?xml version="1.0" encoding="utf-8"?>
<table xmlns="http://schemas.openxmlformats.org/spreadsheetml/2006/main" id="67" name="school199697" displayName="school199697" ref="A797:L803" totalsRowCount="1" headerRowDxfId="1685" dataDxfId="1683" totalsRowDxfId="1681" headerRowBorderDxfId="1684" tableBorderDxfId="1682" totalsRowBorderDxfId="1680" headerRowCellStyle="Currency">
  <autoFilter ref="A797:L802"/>
  <tableColumns count="12">
    <tableColumn id="1" name="Fiscal_x000a_Year" totalsRowLabel="1996-97 Total" dataDxfId="1679" totalsRowDxfId="1678"/>
    <tableColumn id="2" name="Program_x000a_Name" totalsRowLabel="N/A" dataDxfId="1677" totalsRowDxfId="1676"/>
    <tableColumn id="3" name="Legal_x000a_Reference_x000a_(Ch./Year)" totalsRowLabel="N/A" dataDxfId="1675" totalsRowDxfId="1674"/>
    <tableColumn id="4" name="Program Number" totalsRowLabel="N/A" dataDxfId="1673" totalsRowDxfId="1672"/>
    <tableColumn id="5" name="Program_x000a_Costs" totalsRowFunction="sum" dataDxfId="1671" totalsRowDxfId="1670"/>
    <tableColumn id="6" name="Less: Net Payments and Offsets 10" totalsRowFunction="sum" dataDxfId="1669" totalsRowDxfId="1668"/>
    <tableColumn id="7" name="Comment" totalsRowLabel="N/A" dataDxfId="1667" totalsRowDxfId="1666"/>
    <tableColumn id="8" name="Accounts Payable_x000a_Balance" totalsRowFunction="sum" dataDxfId="1665" totalsRowDxfId="1664"/>
    <tableColumn id="9" name="Established_x000a_Accounts Receivable" totalsRowFunction="sum" dataDxfId="1663" totalsRowDxfId="1662"/>
    <tableColumn id="10" name="Less: Recovered Amount" totalsRowFunction="sum" dataDxfId="1661" totalsRowDxfId="1660"/>
    <tableColumn id="11" name="Accounts Receivable_x000a_Balance" totalsRowFunction="sum" dataDxfId="1659" totalsRowDxfId="1658"/>
    <tableColumn id="12" name="Net_x000a_Balance" totalsRowFunction="sum" dataDxfId="1657" totalsRowDxfId="165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75.xml><?xml version="1.0" encoding="utf-8"?>
<table xmlns="http://schemas.openxmlformats.org/spreadsheetml/2006/main" id="68" name="school199596" displayName="school199596" ref="A805:L814" totalsRowCount="1" headerRowDxfId="1655" dataDxfId="1653" totalsRowDxfId="1651" headerRowBorderDxfId="1654" tableBorderDxfId="1652" totalsRowBorderDxfId="1650" headerRowCellStyle="Currency">
  <autoFilter ref="A805:L813"/>
  <tableColumns count="12">
    <tableColumn id="1" name="Fiscal_x000a_Year" totalsRowLabel="1995-96 Total" dataDxfId="1649" totalsRowDxfId="1648"/>
    <tableColumn id="2" name="Program_x000a_Name" totalsRowLabel="N/A" dataDxfId="1647" totalsRowDxfId="1646"/>
    <tableColumn id="3" name="Legal_x000a_Reference_x000a_(Ch./Year)" totalsRowLabel="N/A" dataDxfId="1645" totalsRowDxfId="1644"/>
    <tableColumn id="4" name="Program Number" totalsRowLabel="N/A" dataDxfId="1643" totalsRowDxfId="1642"/>
    <tableColumn id="5" name="Program_x000a_Costs" totalsRowFunction="sum" dataDxfId="1641" totalsRowDxfId="1640"/>
    <tableColumn id="6" name="Less: Net Payments and Offsets 10" totalsRowFunction="sum" dataDxfId="1639" totalsRowDxfId="1638"/>
    <tableColumn id="7" name="Comment" totalsRowLabel="N/A" dataDxfId="1637" totalsRowDxfId="1636"/>
    <tableColumn id="8" name="Accounts Payable_x000a_Balance" totalsRowFunction="sum" dataDxfId="1635" totalsRowDxfId="1634"/>
    <tableColumn id="9" name="Established_x000a_Accounts Receivable" totalsRowFunction="sum" dataDxfId="1633" totalsRowDxfId="1632"/>
    <tableColumn id="10" name="Less: Recovered Amount" totalsRowFunction="sum" dataDxfId="1631" totalsRowDxfId="1630"/>
    <tableColumn id="11" name="Accounts Receivable_x000a_Balance" totalsRowFunction="sum" dataDxfId="1629" totalsRowDxfId="1628"/>
    <tableColumn id="12" name="Net_x000a_Balance" totalsRowFunction="sum" dataDxfId="1627" totalsRowDxfId="162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76.xml><?xml version="1.0" encoding="utf-8"?>
<table xmlns="http://schemas.openxmlformats.org/spreadsheetml/2006/main" id="69" name="school199495" displayName="school199495" ref="A816:L821" totalsRowCount="1" headerRowDxfId="1625" dataDxfId="1623" totalsRowDxfId="1621" headerRowBorderDxfId="1624" tableBorderDxfId="1622" totalsRowBorderDxfId="1620" headerRowCellStyle="Currency">
  <autoFilter ref="A816:L820"/>
  <tableColumns count="12">
    <tableColumn id="1" name="Fiscal_x000a_Year" totalsRowLabel="1994-95 Total" dataDxfId="1619" totalsRowDxfId="1618"/>
    <tableColumn id="2" name="Program_x000a_Name" totalsRowLabel="N/A" dataDxfId="1617" totalsRowDxfId="1616"/>
    <tableColumn id="3" name="Legal_x000a_Reference_x000a_(Ch./Year)" totalsRowLabel="N/A" dataDxfId="1615" totalsRowDxfId="1614"/>
    <tableColumn id="4" name="Program Number" totalsRowLabel="N/A" dataDxfId="1613" totalsRowDxfId="1612"/>
    <tableColumn id="5" name="Program_x000a_Costs" totalsRowFunction="sum" dataDxfId="1611" totalsRowDxfId="1610"/>
    <tableColumn id="6" name="Less: Net Payments and Offsets 10" totalsRowFunction="sum" dataDxfId="1609" totalsRowDxfId="1608"/>
    <tableColumn id="7" name="Comment" totalsRowLabel="N/A" dataDxfId="1607" totalsRowDxfId="1606"/>
    <tableColumn id="8" name="Accounts Payable_x000a_Balance" totalsRowFunction="sum" dataDxfId="1605" totalsRowDxfId="1604"/>
    <tableColumn id="9" name="Established_x000a_Accounts Receivable" totalsRowFunction="sum" dataDxfId="1603" totalsRowDxfId="1602"/>
    <tableColumn id="10" name="Less: Recovered Amount" totalsRowFunction="sum" dataDxfId="1601" totalsRowDxfId="1600"/>
    <tableColumn id="11" name="Accounts Receivable_x000a_Balance" totalsRowFunction="sum" dataDxfId="1599" totalsRowDxfId="1598"/>
    <tableColumn id="12" name="Net_x000a_Balance" totalsRowFunction="sum" dataDxfId="1597" totalsRowDxfId="159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77.xml><?xml version="1.0" encoding="utf-8"?>
<table xmlns="http://schemas.openxmlformats.org/spreadsheetml/2006/main" id="70" name="school199394" displayName="school199394" ref="A823:L828" totalsRowCount="1" headerRowDxfId="1595" dataDxfId="1593" totalsRowDxfId="1591" headerRowBorderDxfId="1594" tableBorderDxfId="1592" totalsRowBorderDxfId="1590" headerRowCellStyle="Currency">
  <autoFilter ref="A823:L827"/>
  <tableColumns count="12">
    <tableColumn id="1" name="Fiscal_x000a_Year" totalsRowLabel="1993-94 Total" dataDxfId="1589" totalsRowDxfId="1588"/>
    <tableColumn id="2" name="Program_x000a_Name" totalsRowLabel="N/A" dataDxfId="1587" totalsRowDxfId="1586"/>
    <tableColumn id="3" name="Legal_x000a_Reference_x000a_(Ch./Year)" totalsRowLabel="N/A" dataDxfId="1585" totalsRowDxfId="1584"/>
    <tableColumn id="4" name="Program Number" totalsRowLabel="N/A" dataDxfId="1583" totalsRowDxfId="1582"/>
    <tableColumn id="5" name="Program_x000a_Costs" totalsRowFunction="sum" dataDxfId="1581" totalsRowDxfId="1580"/>
    <tableColumn id="6" name="Less: Net Payments and Offsets 10" totalsRowFunction="sum" dataDxfId="1579" totalsRowDxfId="1578"/>
    <tableColumn id="7" name="Comment" totalsRowLabel="N/A" dataDxfId="1577" totalsRowDxfId="1576"/>
    <tableColumn id="8" name="Accounts Payable_x000a_Balance" totalsRowFunction="sum" dataDxfId="1575" totalsRowDxfId="1574"/>
    <tableColumn id="9" name="Established_x000a_Accounts Receivable" totalsRowFunction="sum" dataDxfId="1573" totalsRowDxfId="1572"/>
    <tableColumn id="10" name="Less: Recovered Amount" totalsRowFunction="sum" dataDxfId="1571" totalsRowDxfId="1570"/>
    <tableColumn id="11" name="Accounts Receivable_x000a_Balance" totalsRowFunction="sum" dataDxfId="1569" totalsRowDxfId="1568"/>
    <tableColumn id="12" name="Net_x000a_Balance" totalsRowFunction="sum" dataDxfId="1567" totalsRowDxfId="156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78.xml><?xml version="1.0" encoding="utf-8"?>
<table xmlns="http://schemas.openxmlformats.org/spreadsheetml/2006/main" id="71" name="school199293" displayName="school199293" ref="A830:L834" totalsRowCount="1" headerRowDxfId="1565" dataDxfId="1563" totalsRowDxfId="1561" headerRowBorderDxfId="1564" tableBorderDxfId="1562" totalsRowBorderDxfId="1560" headerRowCellStyle="Currency">
  <autoFilter ref="A830:L833"/>
  <tableColumns count="12">
    <tableColumn id="1" name="Fiscal_x000a_Year" totalsRowLabel="1992-93 Total" dataDxfId="1559" totalsRowDxfId="1558"/>
    <tableColumn id="2" name="Program_x000a_Name" totalsRowLabel="N/A" dataDxfId="1557" totalsRowDxfId="1556"/>
    <tableColumn id="3" name="Legal_x000a_Reference_x000a_(Ch./Year)" totalsRowLabel="N/A" dataDxfId="1555" totalsRowDxfId="1554"/>
    <tableColumn id="4" name="Program Number" totalsRowLabel="N/A" dataDxfId="1553" totalsRowDxfId="1552"/>
    <tableColumn id="5" name="Program_x000a_Costs" totalsRowFunction="sum" dataDxfId="1551" totalsRowDxfId="1550"/>
    <tableColumn id="6" name="Less: Net Payments and Offsets 10" totalsRowFunction="sum" dataDxfId="1549" totalsRowDxfId="1548"/>
    <tableColumn id="7" name="Comment" totalsRowLabel="N/A" dataDxfId="1547" totalsRowDxfId="1546"/>
    <tableColumn id="8" name="Accounts Payable_x000a_Balance" totalsRowFunction="sum" dataDxfId="1545" totalsRowDxfId="1544"/>
    <tableColumn id="9" name="Established_x000a_Accounts Receivable" totalsRowFunction="sum" dataDxfId="1543" totalsRowDxfId="1542"/>
    <tableColumn id="10" name="Less: Recovered Amount" totalsRowFunction="sum" dataDxfId="1541" totalsRowDxfId="1540"/>
    <tableColumn id="11" name="Accounts Receivable_x000a_Balance" totalsRowFunction="sum" dataDxfId="1539" totalsRowDxfId="1538"/>
    <tableColumn id="12" name="Net_x000a_Balance" totalsRowFunction="sum" dataDxfId="1537" totalsRowDxfId="153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79.xml><?xml version="1.0" encoding="utf-8"?>
<table xmlns="http://schemas.openxmlformats.org/spreadsheetml/2006/main" id="72" name="school199192" displayName="school199192" ref="A836:L839" totalsRowCount="1" headerRowDxfId="1535" dataDxfId="1533" totalsRowDxfId="1531" headerRowBorderDxfId="1534" tableBorderDxfId="1532" totalsRowBorderDxfId="1530" headerRowCellStyle="Currency">
  <autoFilter ref="A836:L838"/>
  <tableColumns count="12">
    <tableColumn id="1" name="Fiscal_x000a_Year" totalsRowLabel="1991-92 Total" dataDxfId="1529" totalsRowDxfId="1528"/>
    <tableColumn id="2" name="Program_x000a_Name" totalsRowLabel="N/A" dataDxfId="1527" totalsRowDxfId="1526"/>
    <tableColumn id="3" name="Legal_x000a_Reference_x000a_(Ch./Year)" totalsRowLabel="N/A" dataDxfId="1525" totalsRowDxfId="1524"/>
    <tableColumn id="4" name="Program Number" totalsRowLabel="N/A" dataDxfId="1523" totalsRowDxfId="1522"/>
    <tableColumn id="5" name="Program_x000a_Costs" totalsRowFunction="sum" dataDxfId="1521" totalsRowDxfId="1520"/>
    <tableColumn id="6" name="Less: Net Payments and Offsets 10" totalsRowFunction="sum" dataDxfId="1519" totalsRowDxfId="1518"/>
    <tableColumn id="7" name="Comment" totalsRowLabel="N/A" dataDxfId="1517" totalsRowDxfId="1516"/>
    <tableColumn id="8" name="Accounts Payable_x000a_Balance" totalsRowFunction="sum" dataDxfId="1515" totalsRowDxfId="1514"/>
    <tableColumn id="9" name="Established_x000a_Accounts Receivable" totalsRowFunction="sum" dataDxfId="1513" totalsRowDxfId="1512"/>
    <tableColumn id="10" name="Less: Recovered Amount" totalsRowFunction="sum" dataDxfId="1511" totalsRowDxfId="1510"/>
    <tableColumn id="11" name="Accounts Receivable_x000a_Balance" totalsRowFunction="sum" dataDxfId="1509" totalsRowDxfId="1508"/>
    <tableColumn id="12" name="Net_x000a_Balance" totalsRowFunction="sum" dataDxfId="1507" totalsRowDxfId="150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8.xml><?xml version="1.0" encoding="utf-8"?>
<table xmlns="http://schemas.openxmlformats.org/spreadsheetml/2006/main" id="10" name="localannualclaim19" displayName="localannualclaim19" ref="A28:I66" totalsRowCount="1" headerRowDxfId="3473" dataDxfId="3471" totalsRowDxfId="3469" headerRowBorderDxfId="3472" tableBorderDxfId="3470" totalsRowBorderDxfId="3468">
  <autoFilter ref="A28:I65"/>
  <tableColumns count="9">
    <tableColumn id="1" name="Program Category_x000a_and Type of Payment" totalsRowLabel="0001-8885-2019-295-98 Total" dataDxfId="3467" totalsRowDxfId="3466"/>
    <tableColumn id="2" name="Fiscal _x000a_Year" totalsRowLabel="N/A" dataDxfId="3465" totalsRowDxfId="3464"/>
    <tableColumn id="3" name="Appropriation _x000a_Number" totalsRowLabel="N/A" dataDxfId="3463" totalsRowDxfId="3462"/>
    <tableColumn id="4" name="Program _x000a_Name" totalsRowLabel="N/A" dataDxfId="3461" totalsRowDxfId="3460"/>
    <tableColumn id="5" name="Legal _x000a_Reference_x000a_(Ch./Year)" totalsRowLabel="N/A" dataDxfId="3459" totalsRowDxfId="3458"/>
    <tableColumn id="6" name="Program_x000a_ Number" totalsRowLabel="N/A" dataDxfId="3457" totalsRowDxfId="3456"/>
    <tableColumn id="7" name="Program _x000a_Payments and Offsets" totalsRowFunction="sum" dataDxfId="3455" totalsRowDxfId="3454" dataCellStyle="Currency"/>
    <tableColumn id="8" name="Interest_x000a_Payments and Offsets" totalsRowFunction="sum" dataDxfId="3453" totalsRowDxfId="3452" dataCellStyle="Currency"/>
    <tableColumn id="9" name="Total _x000a_Payments" totalsRowFunction="sum" dataDxfId="3451" totalsRowDxfId="3450" dataCellStyle="Currency">
      <calculatedColumnFormula>G29+H29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1: Detail of State-Mandated Program Payments by Fiscal Year. As of August 31, 2020. Local Agencies-Annual Claim."/>
    </ext>
  </extLst>
</table>
</file>

<file path=xl/tables/table80.xml><?xml version="1.0" encoding="utf-8"?>
<table xmlns="http://schemas.openxmlformats.org/spreadsheetml/2006/main" id="73" name="school199091" displayName="school199091" ref="A841:L844" totalsRowCount="1" headerRowDxfId="1505" dataDxfId="1503" totalsRowDxfId="1501" headerRowBorderDxfId="1504" tableBorderDxfId="1502" totalsRowBorderDxfId="1500" headerRowCellStyle="Currency">
  <autoFilter ref="A841:L843"/>
  <tableColumns count="12">
    <tableColumn id="1" name="Fiscal_x000a_Year" totalsRowLabel="1990-91 Total" dataDxfId="1499" totalsRowDxfId="1498"/>
    <tableColumn id="2" name="Program_x000a_Name" totalsRowLabel="N/A" dataDxfId="1497" totalsRowDxfId="1496"/>
    <tableColumn id="3" name="Legal_x000a_Reference_x000a_(Ch./Year)" totalsRowLabel="N/A" dataDxfId="1495" totalsRowDxfId="1494"/>
    <tableColumn id="4" name="Program Number" totalsRowLabel="N/A" dataDxfId="1493" totalsRowDxfId="1492"/>
    <tableColumn id="5" name="Program_x000a_Costs" totalsRowFunction="sum" dataDxfId="1491" totalsRowDxfId="1490"/>
    <tableColumn id="6" name="Less: Net Payments and Offsets 10" totalsRowFunction="sum" dataDxfId="1489" totalsRowDxfId="1488"/>
    <tableColumn id="7" name="Comment" totalsRowLabel="N/A" dataDxfId="1487" totalsRowDxfId="1486"/>
    <tableColumn id="8" name="Accounts Payable_x000a_Balance" totalsRowFunction="sum" dataDxfId="1485" totalsRowDxfId="1484"/>
    <tableColumn id="9" name="Established_x000a_Accounts Receivable" totalsRowFunction="sum" dataDxfId="1483" totalsRowDxfId="1482"/>
    <tableColumn id="10" name="Less: Recovered Amount" totalsRowFunction="sum" dataDxfId="1481" totalsRowDxfId="1480"/>
    <tableColumn id="11" name="Accounts Receivable_x000a_Balance" totalsRowFunction="sum" dataDxfId="1479" totalsRowDxfId="1478"/>
    <tableColumn id="12" name="Net_x000a_Balance" totalsRowFunction="sum" dataDxfId="1477" totalsRowDxfId="147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81.xml><?xml version="1.0" encoding="utf-8"?>
<table xmlns="http://schemas.openxmlformats.org/spreadsheetml/2006/main" id="74" name="school198990" displayName="school198990" ref="A846:L849" totalsRowCount="1" headerRowDxfId="1475" dataDxfId="1473" totalsRowDxfId="1471" headerRowBorderDxfId="1474" tableBorderDxfId="1472" totalsRowBorderDxfId="1470" headerRowCellStyle="Currency">
  <autoFilter ref="A846:L848"/>
  <tableColumns count="12">
    <tableColumn id="1" name="Fiscal_x000a_Year" totalsRowLabel="1989-90 Total" dataDxfId="1469" totalsRowDxfId="1468"/>
    <tableColumn id="2" name="Program_x000a_Name" totalsRowLabel="N/A" dataDxfId="1467" totalsRowDxfId="1466"/>
    <tableColumn id="3" name="Legal_x000a_Reference_x000a_(Ch./Year)" totalsRowLabel="N/A" dataDxfId="1465" totalsRowDxfId="1464"/>
    <tableColumn id="4" name="Program Number" totalsRowLabel="N/A" dataDxfId="1463" totalsRowDxfId="1462"/>
    <tableColumn id="5" name="Program_x000a_Costs" totalsRowFunction="sum" dataDxfId="1461" totalsRowDxfId="1460"/>
    <tableColumn id="6" name="Less: Net Payments and Offsets 10" totalsRowFunction="sum" dataDxfId="1459" totalsRowDxfId="1458"/>
    <tableColumn id="7" name="Comment" totalsRowLabel="N/A" dataDxfId="1457" totalsRowDxfId="1456"/>
    <tableColumn id="8" name="Accounts Payable_x000a_Balance" totalsRowFunction="sum" dataDxfId="1455" totalsRowDxfId="1454"/>
    <tableColumn id="9" name="Established_x000a_Accounts Receivable" totalsRowFunction="sum" dataDxfId="1453" totalsRowDxfId="1452"/>
    <tableColumn id="10" name="Less: Recovered Amount" totalsRowFunction="sum" dataDxfId="1451" totalsRowDxfId="1450"/>
    <tableColumn id="11" name="Accounts Receivable_x000a_Balance" totalsRowFunction="sum" dataDxfId="1449" totalsRowDxfId="1448"/>
    <tableColumn id="12" name="Net_x000a_Balance" totalsRowFunction="sum" dataDxfId="1447" totalsRowDxfId="144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82.xml><?xml version="1.0" encoding="utf-8"?>
<table xmlns="http://schemas.openxmlformats.org/spreadsheetml/2006/main" id="75" name="school198889" displayName="school198889" ref="A851:L853" totalsRowCount="1" headerRowDxfId="1445" dataDxfId="1443" totalsRowDxfId="1441" headerRowBorderDxfId="1444" tableBorderDxfId="1442" totalsRowBorderDxfId="1440" headerRowCellStyle="Currency">
  <autoFilter ref="A851:L852"/>
  <tableColumns count="12">
    <tableColumn id="1" name="Fiscal_x000a_Year" totalsRowLabel="1988-89 Total" dataDxfId="1439" totalsRowDxfId="1438"/>
    <tableColumn id="2" name="Program_x000a_Name" totalsRowLabel="N/A" dataDxfId="1437" totalsRowDxfId="1436"/>
    <tableColumn id="3" name="Legal_x000a_Reference_x000a_(Ch./Year)" totalsRowLabel="N/A" dataDxfId="1435" totalsRowDxfId="1434"/>
    <tableColumn id="4" name="Program Number" totalsRowLabel="N/A" dataDxfId="1433" totalsRowDxfId="1432"/>
    <tableColumn id="5" name="Program_x000a_Costs" totalsRowFunction="sum" dataDxfId="1431" totalsRowDxfId="1430"/>
    <tableColumn id="6" name="Less: Net Payments and Offsets 10" totalsRowFunction="sum" dataDxfId="1429" totalsRowDxfId="1428"/>
    <tableColumn id="7" name="Comment" totalsRowLabel="N/A" dataDxfId="1427" totalsRowDxfId="1426"/>
    <tableColumn id="8" name="Accounts Payable_x000a_Balance" totalsRowFunction="sum" dataDxfId="1425" totalsRowDxfId="1424"/>
    <tableColumn id="9" name="Established_x000a_Accounts Receivable" totalsRowFunction="sum" dataDxfId="1423" totalsRowDxfId="1422"/>
    <tableColumn id="10" name="Less: Recovered Amount" totalsRowFunction="sum" dataDxfId="1421" totalsRowDxfId="1420"/>
    <tableColumn id="11" name="Accounts Receivable_x000a_Balance" totalsRowFunction="sum" dataDxfId="1419" totalsRowDxfId="1418"/>
    <tableColumn id="12" name="Net_x000a_Balance" totalsRowFunction="sum" dataDxfId="1417" totalsRowDxfId="141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83.xml><?xml version="1.0" encoding="utf-8"?>
<table xmlns="http://schemas.openxmlformats.org/spreadsheetml/2006/main" id="76" name="school198788" displayName="school198788" ref="A855:L857" totalsRowCount="1" headerRowDxfId="1415" dataDxfId="1413" totalsRowDxfId="1411" headerRowBorderDxfId="1414" tableBorderDxfId="1412" totalsRowBorderDxfId="1410" headerRowCellStyle="Currency">
  <autoFilter ref="A855:L856"/>
  <tableColumns count="12">
    <tableColumn id="1" name="Fiscal_x000a_Year" totalsRowLabel="1987-88 Total" dataDxfId="1409" totalsRowDxfId="1408"/>
    <tableColumn id="2" name="Program_x000a_Name" totalsRowLabel="N/A" dataDxfId="1407" totalsRowDxfId="1406"/>
    <tableColumn id="3" name="Legal_x000a_Reference_x000a_(Ch./Year)" totalsRowLabel="N/A" dataDxfId="1405" totalsRowDxfId="1404"/>
    <tableColumn id="4" name="Program Number" totalsRowLabel="N/A" dataDxfId="1403" totalsRowDxfId="1402"/>
    <tableColumn id="5" name="Program_x000a_Costs" totalsRowFunction="sum" dataDxfId="1401" totalsRowDxfId="1400"/>
    <tableColumn id="6" name="Less: Net Payments and Offsets 10" totalsRowFunction="sum" dataDxfId="1399" totalsRowDxfId="1398"/>
    <tableColumn id="7" name="Comment" totalsRowLabel="N/A" dataDxfId="1397" totalsRowDxfId="1396"/>
    <tableColumn id="8" name="Accounts Payable_x000a_Balance" totalsRowFunction="sum" dataDxfId="1395" totalsRowDxfId="1394"/>
    <tableColumn id="9" name="Established_x000a_Accounts Receivable" totalsRowFunction="sum" dataDxfId="1393" totalsRowDxfId="1392"/>
    <tableColumn id="10" name="Less: Recovered Amount" totalsRowFunction="sum" dataDxfId="1391" totalsRowDxfId="1390"/>
    <tableColumn id="11" name="Accounts Receivable_x000a_Balance" totalsRowFunction="sum" dataDxfId="1389" totalsRowDxfId="1388"/>
    <tableColumn id="12" name="Net_x000a_Balance" totalsRowFunction="sum" dataDxfId="1387" totalsRowDxfId="138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84.xml><?xml version="1.0" encoding="utf-8"?>
<table xmlns="http://schemas.openxmlformats.org/spreadsheetml/2006/main" id="77" name="school198687" displayName="school198687" ref="A859:L861" totalsRowCount="1" headerRowDxfId="1385" dataDxfId="1383" totalsRowDxfId="1381" headerRowBorderDxfId="1384" tableBorderDxfId="1382" totalsRowBorderDxfId="1380" headerRowCellStyle="Currency">
  <autoFilter ref="A859:L860"/>
  <tableColumns count="12">
    <tableColumn id="1" name="Fiscal_x000a_Year" totalsRowLabel="1986-87 Total" dataDxfId="1379" totalsRowDxfId="1378"/>
    <tableColumn id="2" name="Program_x000a_Name" totalsRowLabel="N/A" dataDxfId="1377" totalsRowDxfId="1376"/>
    <tableColumn id="3" name="Legal_x000a_Reference_x000a_(Ch./Year)" totalsRowLabel="N/A" dataDxfId="1375" totalsRowDxfId="1374"/>
    <tableColumn id="4" name="Program Number" totalsRowLabel="N/A" dataDxfId="1373" totalsRowDxfId="1372"/>
    <tableColumn id="5" name="Program_x000a_Costs" totalsRowFunction="sum" dataDxfId="1371" totalsRowDxfId="1370"/>
    <tableColumn id="6" name="Less: Net Payments and Offsets 10" totalsRowFunction="sum" dataDxfId="1369" totalsRowDxfId="1368"/>
    <tableColumn id="7" name="Comment" totalsRowLabel="N/A" dataDxfId="1367" totalsRowDxfId="1366"/>
    <tableColumn id="8" name="Accounts Payable_x000a_Balance" totalsRowFunction="sum" dataDxfId="1365" totalsRowDxfId="1364"/>
    <tableColumn id="9" name="Established_x000a_Accounts Receivable" totalsRowFunction="sum" dataDxfId="1363" totalsRowDxfId="1362"/>
    <tableColumn id="10" name="Less: Recovered Amount" totalsRowFunction="sum" dataDxfId="1361" totalsRowDxfId="1360"/>
    <tableColumn id="11" name="Accounts Receivable_x000a_Balance" totalsRowFunction="sum" dataDxfId="1359" totalsRowDxfId="1358"/>
    <tableColumn id="12" name="Net_x000a_Balance" totalsRowFunction="sum" dataDxfId="1357" totalsRowDxfId="135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85.xml><?xml version="1.0" encoding="utf-8"?>
<table xmlns="http://schemas.openxmlformats.org/spreadsheetml/2006/main" id="78" name="school198586" displayName="school198586" ref="A863:L865" totalsRowCount="1" headerRowDxfId="1355" dataDxfId="1353" totalsRowDxfId="1351" headerRowBorderDxfId="1354" tableBorderDxfId="1352" totalsRowBorderDxfId="1350" headerRowCellStyle="Currency">
  <autoFilter ref="A863:L864"/>
  <tableColumns count="12">
    <tableColumn id="1" name="Fiscal_x000a_Year" totalsRowLabel="1985-86 Total" dataDxfId="1349" totalsRowDxfId="1348"/>
    <tableColumn id="2" name="Program_x000a_Name" totalsRowLabel="N/A" dataDxfId="1347" totalsRowDxfId="1346"/>
    <tableColumn id="3" name="Legal_x000a_Reference_x000a_(Ch./Year)" totalsRowLabel="N/A" dataDxfId="1345" totalsRowDxfId="1344"/>
    <tableColumn id="4" name="Program Number" totalsRowLabel="N/A" dataDxfId="1343" totalsRowDxfId="1342"/>
    <tableColumn id="5" name="Program_x000a_Costs" totalsRowFunction="sum" dataDxfId="1341" totalsRowDxfId="1340"/>
    <tableColumn id="6" name="Less: Net Payments and Offsets 10" totalsRowFunction="sum" dataDxfId="1339" totalsRowDxfId="1338"/>
    <tableColumn id="7" name="Comment" totalsRowLabel="N/A" dataDxfId="1337" totalsRowDxfId="1336"/>
    <tableColumn id="8" name="Accounts Payable_x000a_Balance" totalsRowFunction="sum" dataDxfId="1335" totalsRowDxfId="1334"/>
    <tableColumn id="9" name="Established_x000a_Accounts Receivable" totalsRowFunction="sum" dataDxfId="1333" totalsRowDxfId="1332"/>
    <tableColumn id="10" name="Less: Recovered Amount" totalsRowFunction="sum" dataDxfId="1331" totalsRowDxfId="1330"/>
    <tableColumn id="11" name="Accounts Receivable_x000a_Balance" totalsRowFunction="sum" dataDxfId="1329" totalsRowDxfId="1328"/>
    <tableColumn id="12" name="Net_x000a_Balance" totalsRowFunction="sum" dataDxfId="1327" totalsRowDxfId="132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."/>
    </ext>
  </extLst>
</table>
</file>

<file path=xl/tables/table86.xml><?xml version="1.0" encoding="utf-8"?>
<table xmlns="http://schemas.openxmlformats.org/spreadsheetml/2006/main" id="79" name="schooltotal" displayName="schooltotal" ref="A867:L902" totalsRowCount="1" headerRowDxfId="1325" dataDxfId="1323" totalsRowDxfId="1321" headerRowBorderDxfId="1324" tableBorderDxfId="1322" totalsRowBorderDxfId="1320" headerRowCellStyle="Currency" dataCellStyle="Currency">
  <autoFilter ref="A867:L901"/>
  <tableColumns count="12">
    <tableColumn id="1" name="Fiscal_x000a_Year" totalsRowLabel="School Districts Total" dataDxfId="1319" totalsRowDxfId="1318"/>
    <tableColumn id="2" name="Program_x000a_Name" totalsRowLabel="N/A" dataDxfId="1317" totalsRowDxfId="1316"/>
    <tableColumn id="3" name="Legal_x000a_Reference_x000a_(Ch./Year)" totalsRowLabel="N/A" dataDxfId="1315" totalsRowDxfId="1314"/>
    <tableColumn id="4" name="Program Number" totalsRowLabel="N/A" dataDxfId="1313" totalsRowDxfId="1312"/>
    <tableColumn id="5" name="Program_x000a_Costs" totalsRowFunction="sum" dataDxfId="1311" totalsRowDxfId="1310" dataCellStyle="Currency"/>
    <tableColumn id="6" name="Less: Net Payments and Offsets 10" totalsRowFunction="sum" dataDxfId="1309" totalsRowDxfId="1308" dataCellStyle="Currency"/>
    <tableColumn id="7" name="Comment" totalsRowLabel="N/A" dataDxfId="1307" totalsRowDxfId="1306" dataCellStyle="Currency"/>
    <tableColumn id="8" name="Accounts Payable_x000a_Balance" totalsRowFunction="sum" dataDxfId="1305" totalsRowDxfId="1304" dataCellStyle="Currency"/>
    <tableColumn id="9" name="Established_x000a_Accounts Receivable" totalsRowFunction="sum" dataDxfId="1303" totalsRowDxfId="1302" dataCellStyle="Currency"/>
    <tableColumn id="10" name="Less: Recovered Amount" totalsRowFunction="sum" dataDxfId="1301" totalsRowDxfId="1300" dataCellStyle="Currency"/>
    <tableColumn id="11" name="Accounts Receivable_x000a_Balance" totalsRowFunction="sum" dataDxfId="1299" totalsRowDxfId="1298" dataCellStyle="Currency"/>
    <tableColumn id="12" name="Net_x000a_Balance" totalsRowFunction="sum" dataDxfId="1297" totalsRowDxfId="1296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School Districts grand totals."/>
    </ext>
  </extLst>
</table>
</file>

<file path=xl/tables/table87.xml><?xml version="1.0" encoding="utf-8"?>
<table xmlns="http://schemas.openxmlformats.org/spreadsheetml/2006/main" id="80" name="college201415" displayName="college201415" ref="A2:L6" totalsRowCount="1" headerRowDxfId="1295" dataDxfId="1293" totalsRowDxfId="1291" headerRowBorderDxfId="1294" tableBorderDxfId="1292" totalsRowBorderDxfId="1290" headerRowCellStyle="Currency">
  <autoFilter ref="A2:L5"/>
  <tableColumns count="12">
    <tableColumn id="1" name="Fiscal_x000a_Year" totalsRowLabel="2014-15 Total" dataDxfId="1289" totalsRowDxfId="11"/>
    <tableColumn id="2" name="Program_x000a_Name" totalsRowLabel="N/A" dataDxfId="1288" totalsRowDxfId="10"/>
    <tableColumn id="3" name="Legal_x000a_Reference_x000a_(Ch./Year)" totalsRowLabel="N/A" dataDxfId="1287" totalsRowDxfId="9"/>
    <tableColumn id="4" name="Program Number" totalsRowLabel="N/A" dataDxfId="1286" totalsRowDxfId="8"/>
    <tableColumn id="5" name="Program_x000a_Costs" totalsRowFunction="sum" dataDxfId="1285" totalsRowDxfId="7"/>
    <tableColumn id="6" name="Less: Net Payments and Offsets 11" totalsRowFunction="sum" dataDxfId="1284" totalsRowDxfId="6"/>
    <tableColumn id="7" name="Comment: Community college districts did not receive one-time funding offsets this year. This amount includes offsets applied from prior years." totalsRowLabel="N/A" dataDxfId="1283" totalsRowDxfId="5"/>
    <tableColumn id="8" name="Accounts Payable_x000a_Balance" totalsRowFunction="sum" dataDxfId="1282" totalsRowDxfId="4"/>
    <tableColumn id="9" name="Established_x000a_Accounts Receivable" totalsRowFunction="sum" dataDxfId="1281" totalsRowDxfId="3"/>
    <tableColumn id="10" name="Less: Recovered Amount" totalsRowFunction="sum" dataDxfId="1280" totalsRowDxfId="2"/>
    <tableColumn id="11" name="Accounts Receivable_x000a_Balance" totalsRowFunction="sum" dataDxfId="1279" totalsRowDxfId="1"/>
    <tableColumn id="12" name="Net_x000a_Balance" totalsRowFunction="sum" dataDxfId="1278" totalsRowDxfId="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 " altTextSummary="Schedule B1: Detail of Funded State-Mandated Programs by Fiscal Year. As of August 31, 2020. Community College Districts."/>
    </ext>
  </extLst>
</table>
</file>

<file path=xl/tables/table88.xml><?xml version="1.0" encoding="utf-8"?>
<table xmlns="http://schemas.openxmlformats.org/spreadsheetml/2006/main" id="81" name="college201314" displayName="college201314" ref="A8:L13" totalsRowCount="1" headerRowDxfId="1277" dataDxfId="1275" totalsRowDxfId="1273" headerRowBorderDxfId="1276" tableBorderDxfId="1274" totalsRowBorderDxfId="1272" headerRowCellStyle="Currency">
  <autoFilter ref="A8:L12"/>
  <tableColumns count="12">
    <tableColumn id="1" name="Fiscal_x000a_Year" totalsRowLabel="2013-14 Total" dataDxfId="1271" totalsRowDxfId="1270"/>
    <tableColumn id="2" name="Program_x000a_Name" totalsRowLabel="N/A" dataDxfId="1269" totalsRowDxfId="1268"/>
    <tableColumn id="3" name="Legal_x000a_Reference_x000a_(Ch./Year)" totalsRowLabel="N/A" dataDxfId="1267" totalsRowDxfId="1266"/>
    <tableColumn id="4" name="Program Number" totalsRowLabel="N/A" dataDxfId="1265" totalsRowDxfId="1264"/>
    <tableColumn id="5" name="Program_x000a_Costs" totalsRowFunction="sum" dataDxfId="1263" totalsRowDxfId="1262"/>
    <tableColumn id="6" name="Less: Net Payments and Offsets 11" totalsRowFunction="sum" dataDxfId="1261" totalsRowDxfId="1260"/>
    <tableColumn id="7" name="Comment" totalsRowLabel="N/A" dataDxfId="1259" totalsRowDxfId="1258"/>
    <tableColumn id="8" name="Accounts Payable_x000a_Balance" totalsRowFunction="sum" dataDxfId="1257" totalsRowDxfId="1256"/>
    <tableColumn id="9" name="Established_x000a_Accounts Receivable" totalsRowFunction="sum" dataDxfId="1255" totalsRowDxfId="1254"/>
    <tableColumn id="10" name="Less: Recovered Amount" totalsRowFunction="sum" dataDxfId="1253" totalsRowDxfId="1252"/>
    <tableColumn id="11" name="Accounts Receivable_x000a_Balance" totalsRowFunction="sum" dataDxfId="1251" totalsRowDxfId="1250"/>
    <tableColumn id="12" name="Net_x000a_Balance" totalsRowFunction="sum" dataDxfId="1249" totalsRowDxfId="124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89.xml><?xml version="1.0" encoding="utf-8"?>
<table xmlns="http://schemas.openxmlformats.org/spreadsheetml/2006/main" id="82" name="college201213" displayName="college201213" ref="A15:L22" totalsRowCount="1" headerRowDxfId="1247" dataDxfId="1245" totalsRowDxfId="1243" headerRowBorderDxfId="1246" tableBorderDxfId="1244" totalsRowBorderDxfId="1242" headerRowCellStyle="Currency">
  <autoFilter ref="A15:L21"/>
  <tableColumns count="12">
    <tableColumn id="1" name="Fiscal_x000a_Year" totalsRowLabel="2012-13 Total" dataDxfId="1241" totalsRowDxfId="1240"/>
    <tableColumn id="2" name="Program_x000a_Name" totalsRowLabel="N/A" dataDxfId="1239" totalsRowDxfId="1238"/>
    <tableColumn id="3" name="Legal_x000a_Reference_x000a_(Ch./Year)" totalsRowLabel="N/A" dataDxfId="1237" totalsRowDxfId="1236"/>
    <tableColumn id="4" name="Program Number" totalsRowLabel="N/A" dataDxfId="1235" totalsRowDxfId="1234"/>
    <tableColumn id="5" name="Program_x000a_Costs" totalsRowFunction="sum" dataDxfId="1233" totalsRowDxfId="1232"/>
    <tableColumn id="6" name="Less: Net Payments and Offsets 11" totalsRowFunction="sum" dataDxfId="1231" totalsRowDxfId="1230"/>
    <tableColumn id="7" name="Comment" totalsRowLabel="N/A" dataDxfId="1229" totalsRowDxfId="1228"/>
    <tableColumn id="8" name="Accounts Payable_x000a_Balance" totalsRowFunction="sum" dataDxfId="1227" totalsRowDxfId="1226"/>
    <tableColumn id="9" name="Established_x000a_Accounts Receivable" totalsRowFunction="sum" dataDxfId="1225" totalsRowDxfId="1224"/>
    <tableColumn id="10" name="Less: Recovered Amount" totalsRowFunction="sum" dataDxfId="1223" totalsRowDxfId="1222"/>
    <tableColumn id="11" name="Accounts Receivable_x000a_Balance" totalsRowFunction="sum" dataDxfId="1221" totalsRowDxfId="1220"/>
    <tableColumn id="12" name="Net_x000a_Balance" totalsRowFunction="sum" dataDxfId="1219" totalsRowDxfId="121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9.xml><?xml version="1.0" encoding="utf-8"?>
<table xmlns="http://schemas.openxmlformats.org/spreadsheetml/2006/main" id="11" name="localannualclaim18" displayName="localannualclaim18" ref="A68:I72" totalsRowCount="1" headerRowDxfId="3449" dataDxfId="3447" totalsRowDxfId="3445" headerRowBorderDxfId="3448" tableBorderDxfId="3446" totalsRowBorderDxfId="3444">
  <autoFilter ref="A68:I71"/>
  <tableColumns count="9">
    <tableColumn id="1" name="Program Category_x000a_and Type of Payment" totalsRowLabel="0001-8885-2018-295-98 Total" dataDxfId="3443" totalsRowDxfId="3442"/>
    <tableColumn id="2" name="Fiscal _x000a_Year" totalsRowLabel="N/A" dataDxfId="3441" totalsRowDxfId="3440"/>
    <tableColumn id="3" name="Appropriation _x000a_Number" totalsRowLabel="N/A" dataDxfId="3439" totalsRowDxfId="3438"/>
    <tableColumn id="4" name="Program _x000a_Name" totalsRowLabel="N/A" dataDxfId="3437" totalsRowDxfId="3436"/>
    <tableColumn id="5" name="Legal _x000a_Reference_x000a_(Ch./Year)" totalsRowLabel="N/A" dataDxfId="3435" totalsRowDxfId="3434"/>
    <tableColumn id="6" name="Program_x000a_ Number" totalsRowLabel="N/A" dataDxfId="3433" totalsRowDxfId="3432"/>
    <tableColumn id="7" name="Program _x000a_Payments and Offsets" totalsRowFunction="sum" dataDxfId="3431" totalsRowDxfId="3430" dataCellStyle="Currency"/>
    <tableColumn id="8" name="Interest_x000a_Payments and Offsets" totalsRowFunction="sum" dataDxfId="3429" totalsRowDxfId="3428"/>
    <tableColumn id="9" name="Total _x000a_Payments" totalsRowFunction="sum" dataDxfId="3427" totalsRowDxfId="3426" dataCellStyle="Currency">
      <calculatedColumnFormula>G69+H69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A1: Detail of State-Mandated Program Payments by Fiscal Year. As of August 31, 2020. Local Agencies-Annual Claim."/>
    </ext>
  </extLst>
</table>
</file>

<file path=xl/tables/table90.xml><?xml version="1.0" encoding="utf-8"?>
<table xmlns="http://schemas.openxmlformats.org/spreadsheetml/2006/main" id="83" name="college201112" displayName="college201112" ref="A24:L36" totalsRowCount="1" headerRowDxfId="1217" dataDxfId="1215" totalsRowDxfId="1213" headerRowBorderDxfId="1216" tableBorderDxfId="1214" totalsRowBorderDxfId="1212" headerRowCellStyle="Currency">
  <autoFilter ref="A24:L35"/>
  <tableColumns count="12">
    <tableColumn id="1" name="Fiscal_x000a_Year" totalsRowLabel="2011-12 Total" dataDxfId="1211" totalsRowDxfId="1210"/>
    <tableColumn id="2" name="Program_x000a_Name" totalsRowLabel="N/A" dataDxfId="1209" totalsRowDxfId="1208"/>
    <tableColumn id="3" name="Legal_x000a_Reference_x000a_(Ch./Year)" totalsRowLabel="N/A" dataDxfId="1207" totalsRowDxfId="1206"/>
    <tableColumn id="4" name="Program Number" totalsRowLabel="N/A" dataDxfId="1205" totalsRowDxfId="1204"/>
    <tableColumn id="5" name="Program_x000a_Costs" totalsRowFunction="sum" dataDxfId="1203" totalsRowDxfId="1202"/>
    <tableColumn id="6" name="Less: Net Payments and Offsets 11" totalsRowFunction="sum" dataDxfId="1201" totalsRowDxfId="1200"/>
    <tableColumn id="7" name="Comment" totalsRowLabel="N/A" dataDxfId="1199" totalsRowDxfId="1198"/>
    <tableColumn id="8" name="Accounts Payable_x000a_Balance" totalsRowFunction="sum" dataDxfId="1197" totalsRowDxfId="1196"/>
    <tableColumn id="9" name="Established_x000a_Accounts Receivable" totalsRowFunction="sum" dataDxfId="1195" totalsRowDxfId="1194"/>
    <tableColumn id="10" name="Less: Recovered Amount" totalsRowFunction="sum" dataDxfId="1193" totalsRowDxfId="1192"/>
    <tableColumn id="11" name="Accounts Receivable_x000a_Balance" totalsRowFunction="sum" dataDxfId="1191" totalsRowDxfId="1190"/>
    <tableColumn id="12" name="Net_x000a_Balance" totalsRowFunction="sum" dataDxfId="1189" totalsRowDxfId="118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91.xml><?xml version="1.0" encoding="utf-8"?>
<table xmlns="http://schemas.openxmlformats.org/spreadsheetml/2006/main" id="84" name="college201011" displayName="college201011" ref="A38:L51" totalsRowCount="1" headerRowDxfId="1187" dataDxfId="1185" totalsRowDxfId="1183" headerRowBorderDxfId="1186" tableBorderDxfId="1184" totalsRowBorderDxfId="1182" headerRowCellStyle="Currency">
  <autoFilter ref="A38:L50"/>
  <tableColumns count="12">
    <tableColumn id="1" name="Fiscal_x000a_Year" totalsRowLabel="2010-11 Total" dataDxfId="1181" totalsRowDxfId="1180"/>
    <tableColumn id="2" name="Program_x000a_Name" totalsRowLabel="N/A" dataDxfId="1179" totalsRowDxfId="1178"/>
    <tableColumn id="3" name="Legal_x000a_Reference_x000a_(Ch./Year)" totalsRowLabel="N/A" dataDxfId="1177" totalsRowDxfId="1176"/>
    <tableColumn id="4" name="Program Number" totalsRowLabel="N/A" dataDxfId="1175" totalsRowDxfId="1174"/>
    <tableColumn id="5" name="Program_x000a_Costs" totalsRowFunction="sum" dataDxfId="1173" totalsRowDxfId="1172"/>
    <tableColumn id="6" name="Less: Net Payments and Offsets 11" totalsRowFunction="sum" dataDxfId="1171" totalsRowDxfId="1170"/>
    <tableColumn id="7" name="Comment" totalsRowLabel="N/A" dataDxfId="1169" totalsRowDxfId="1168"/>
    <tableColumn id="8" name="Accounts Payable_x000a_Balance" totalsRowFunction="sum" dataDxfId="1167" totalsRowDxfId="1166"/>
    <tableColumn id="9" name="Established_x000a_Accounts Receivable" totalsRowFunction="sum" dataDxfId="1165" totalsRowDxfId="1164"/>
    <tableColumn id="10" name="Less: Recovered Amount" totalsRowFunction="sum" dataDxfId="1163" totalsRowDxfId="1162"/>
    <tableColumn id="11" name="Accounts Receivable_x000a_Balance" totalsRowFunction="sum" dataDxfId="1161" totalsRowDxfId="1160"/>
    <tableColumn id="12" name="Net_x000a_Balance" totalsRowFunction="sum" dataDxfId="1159" totalsRowDxfId="115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92.xml><?xml version="1.0" encoding="utf-8"?>
<table xmlns="http://schemas.openxmlformats.org/spreadsheetml/2006/main" id="85" name="college200910" displayName="college200910" ref="A53:L65" totalsRowCount="1" headerRowDxfId="1157" dataDxfId="1155" totalsRowDxfId="1153" headerRowBorderDxfId="1156" tableBorderDxfId="1154" totalsRowBorderDxfId="1152" headerRowCellStyle="Currency">
  <autoFilter ref="A53:L64"/>
  <tableColumns count="12">
    <tableColumn id="1" name="Fiscal_x000a_Year" totalsRowLabel="2009-10 Total" dataDxfId="1151" totalsRowDxfId="1150"/>
    <tableColumn id="2" name="Program_x000a_Name" totalsRowLabel="N/A" dataDxfId="1149" totalsRowDxfId="1148"/>
    <tableColumn id="3" name="Legal_x000a_Reference_x000a_(Ch./Year)" totalsRowLabel="N/A" dataDxfId="1147" totalsRowDxfId="1146"/>
    <tableColumn id="4" name="Program Number" totalsRowLabel="N/A" dataDxfId="1145" totalsRowDxfId="1144"/>
    <tableColumn id="5" name="Program_x000a_Costs" totalsRowFunction="sum" dataDxfId="1143" totalsRowDxfId="1142"/>
    <tableColumn id="6" name="Less: Net Payments and Offsets 11" totalsRowFunction="sum" dataDxfId="1141" totalsRowDxfId="1140"/>
    <tableColumn id="7" name="Comment" totalsRowLabel="N/A" dataDxfId="1139" totalsRowDxfId="1138"/>
    <tableColumn id="8" name="Accounts Payable_x000a_Balance" totalsRowFunction="sum" dataDxfId="1137" totalsRowDxfId="1136"/>
    <tableColumn id="9" name="Established_x000a_Accounts Receivable" totalsRowFunction="sum" dataDxfId="1135" totalsRowDxfId="1134"/>
    <tableColumn id="10" name="Less: Recovered Amount" totalsRowFunction="sum" dataDxfId="1133" totalsRowDxfId="1132"/>
    <tableColumn id="11" name="Accounts Receivable_x000a_Balance" totalsRowFunction="sum" dataDxfId="1131" totalsRowDxfId="1130"/>
    <tableColumn id="12" name="Net_x000a_Balance" totalsRowFunction="sum" dataDxfId="1129" totalsRowDxfId="112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93.xml><?xml version="1.0" encoding="utf-8"?>
<table xmlns="http://schemas.openxmlformats.org/spreadsheetml/2006/main" id="86" name="college200809" displayName="college200809" ref="A67:L80" totalsRowCount="1" headerRowDxfId="1127" dataDxfId="1125" totalsRowDxfId="1123" headerRowBorderDxfId="1126" tableBorderDxfId="1124" totalsRowBorderDxfId="1122" headerRowCellStyle="Currency">
  <autoFilter ref="A67:L79"/>
  <tableColumns count="12">
    <tableColumn id="1" name="Fiscal_x000a_Year" totalsRowLabel="2008-09 Total" dataDxfId="1121" totalsRowDxfId="1120"/>
    <tableColumn id="2" name="Program_x000a_Name" totalsRowLabel="N/A" dataDxfId="1119" totalsRowDxfId="1118"/>
    <tableColumn id="3" name="Legal_x000a_Reference_x000a_(Ch./Year)" totalsRowLabel="N/A" dataDxfId="1117" totalsRowDxfId="1116"/>
    <tableColumn id="4" name="Program Number" totalsRowLabel="N/A" dataDxfId="1115" totalsRowDxfId="1114"/>
    <tableColumn id="5" name="Program_x000a_Costs" totalsRowFunction="sum" dataDxfId="1113" totalsRowDxfId="1112"/>
    <tableColumn id="6" name="Less: Net Payments and Offsets 11" totalsRowFunction="sum" dataDxfId="1111" totalsRowDxfId="1110"/>
    <tableColumn id="7" name="Comment" totalsRowLabel="N/A" dataDxfId="1109" totalsRowDxfId="1108"/>
    <tableColumn id="8" name="Accounts Payable_x000a_Balance" totalsRowFunction="sum" dataDxfId="1107" totalsRowDxfId="1106"/>
    <tableColumn id="9" name="Established_x000a_Accounts Receivable" totalsRowFunction="sum" dataDxfId="1105" totalsRowDxfId="1104"/>
    <tableColumn id="10" name="Less: Recovered Amount" totalsRowFunction="sum" dataDxfId="1103" totalsRowDxfId="1102"/>
    <tableColumn id="11" name="Accounts Receivable_x000a_Balance" totalsRowFunction="sum" dataDxfId="1101" totalsRowDxfId="1100"/>
    <tableColumn id="12" name="Net_x000a_Balance" totalsRowFunction="sum" dataDxfId="1099" totalsRowDxfId="109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94.xml><?xml version="1.0" encoding="utf-8"?>
<table xmlns="http://schemas.openxmlformats.org/spreadsheetml/2006/main" id="87" name="college200708" displayName="college200708" ref="A82:L98" totalsRowCount="1" headerRowDxfId="1097" dataDxfId="1095" totalsRowDxfId="1093" headerRowBorderDxfId="1096" tableBorderDxfId="1094" totalsRowBorderDxfId="1092" headerRowCellStyle="Currency">
  <autoFilter ref="A82:L97"/>
  <tableColumns count="12">
    <tableColumn id="1" name="Fiscal_x000a_Year" totalsRowLabel="2007-08 Total" dataDxfId="1091" totalsRowDxfId="1090"/>
    <tableColumn id="2" name="Program_x000a_Name" totalsRowLabel="N/A" dataDxfId="1089" totalsRowDxfId="1088"/>
    <tableColumn id="3" name="Legal_x000a_Reference_x000a_(Ch./Year)" totalsRowLabel="N/A" dataDxfId="1087" totalsRowDxfId="1086"/>
    <tableColumn id="4" name="Program Number" totalsRowLabel="N/A" dataDxfId="1085" totalsRowDxfId="1084"/>
    <tableColumn id="5" name="Program_x000a_Costs" totalsRowFunction="sum" dataDxfId="1083" totalsRowDxfId="1082"/>
    <tableColumn id="6" name="Less: Net Payments and Offsets 11" totalsRowFunction="sum" dataDxfId="1081" totalsRowDxfId="1080"/>
    <tableColumn id="7" name="Comment" totalsRowLabel="N/A" dataDxfId="1079" totalsRowDxfId="1078"/>
    <tableColumn id="8" name="Accounts Payable_x000a_Balance" totalsRowFunction="sum" dataDxfId="1077" totalsRowDxfId="1076"/>
    <tableColumn id="9" name="Established_x000a_Accounts Receivable" totalsRowFunction="sum" dataDxfId="1075" totalsRowDxfId="1074"/>
    <tableColumn id="10" name="Less: Recovered Amount" totalsRowFunction="sum" dataDxfId="1073" totalsRowDxfId="1072"/>
    <tableColumn id="11" name="Accounts Receivable_x000a_Balance" totalsRowFunction="sum" dataDxfId="1071" totalsRowDxfId="1070"/>
    <tableColumn id="12" name="Net_x000a_Balance" totalsRowFunction="sum" dataDxfId="1069" totalsRowDxfId="106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95.xml><?xml version="1.0" encoding="utf-8"?>
<table xmlns="http://schemas.openxmlformats.org/spreadsheetml/2006/main" id="88" name="college200607" displayName="college200607" ref="A100:L109" totalsRowCount="1" headerRowDxfId="1067" dataDxfId="1065" totalsRowDxfId="1063" headerRowBorderDxfId="1066" tableBorderDxfId="1064" totalsRowBorderDxfId="1062" headerRowCellStyle="Currency">
  <autoFilter ref="A100:L108"/>
  <tableColumns count="12">
    <tableColumn id="1" name="Fiscal_x000a_Year" totalsRowLabel="2006-07 Total" dataDxfId="1061" totalsRowDxfId="1060"/>
    <tableColumn id="2" name="Program_x000a_Name" totalsRowLabel="N/A" dataDxfId="1059" totalsRowDxfId="1058"/>
    <tableColumn id="3" name="Legal_x000a_Reference_x000a_(Ch./Year)" totalsRowLabel="N/A" dataDxfId="1057" totalsRowDxfId="1056"/>
    <tableColumn id="4" name="Program Number" totalsRowLabel="N/A" dataDxfId="1055" totalsRowDxfId="1054"/>
    <tableColumn id="5" name="Program_x000a_Costs" totalsRowFunction="sum" dataDxfId="1053" totalsRowDxfId="1052"/>
    <tableColumn id="6" name="Less: Net Payments and Offsets 11" totalsRowFunction="sum" dataDxfId="1051" totalsRowDxfId="1050"/>
    <tableColumn id="7" name="Comment" totalsRowLabel="N/A" dataDxfId="1049" totalsRowDxfId="1048"/>
    <tableColumn id="8" name="Accounts Payable_x000a_Balance" totalsRowFunction="sum" dataDxfId="1047" totalsRowDxfId="1046"/>
    <tableColumn id="9" name="Established_x000a_Accounts Receivable" totalsRowFunction="sum" dataDxfId="1045" totalsRowDxfId="1044"/>
    <tableColumn id="10" name="Less: Recovered Amount" totalsRowFunction="sum" dataDxfId="1043" totalsRowDxfId="1042"/>
    <tableColumn id="11" name="Accounts Receivable_x000a_Balance" totalsRowFunction="sum" dataDxfId="1041" totalsRowDxfId="1040"/>
    <tableColumn id="12" name="Net_x000a_Balance" totalsRowFunction="sum" dataDxfId="1039" totalsRowDxfId="103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96.xml><?xml version="1.0" encoding="utf-8"?>
<table xmlns="http://schemas.openxmlformats.org/spreadsheetml/2006/main" id="89" name="college200506" displayName="college200506" ref="A111:L115" totalsRowCount="1" headerRowDxfId="1037" dataDxfId="1035" totalsRowDxfId="1033" headerRowBorderDxfId="1036" tableBorderDxfId="1034" totalsRowBorderDxfId="1032" headerRowCellStyle="Currency">
  <autoFilter ref="A111:L114"/>
  <tableColumns count="12">
    <tableColumn id="1" name="Fiscal_x000a_Year" totalsRowLabel="2005-06 Total" dataDxfId="1031" totalsRowDxfId="1030"/>
    <tableColumn id="2" name="Program_x000a_Name" totalsRowLabel="N/A" dataDxfId="1029" totalsRowDxfId="1028"/>
    <tableColumn id="3" name="Legal_x000a_Reference_x000a_(Ch./Year)" totalsRowLabel="N/A" dataDxfId="1027" totalsRowDxfId="1026"/>
    <tableColumn id="4" name="Program Number" totalsRowLabel="N/A" dataDxfId="1025" totalsRowDxfId="1024"/>
    <tableColumn id="5" name="Program_x000a_Costs" totalsRowFunction="sum" dataDxfId="1023" totalsRowDxfId="1022"/>
    <tableColumn id="6" name="Less: Net Payments and Offsets 11" totalsRowFunction="sum" dataDxfId="1021" totalsRowDxfId="1020"/>
    <tableColumn id="7" name="Comment" totalsRowLabel="N/A" dataDxfId="1019" totalsRowDxfId="1018"/>
    <tableColumn id="8" name="Accounts Payable_x000a_Balance" totalsRowFunction="sum" dataDxfId="1017" totalsRowDxfId="1016"/>
    <tableColumn id="9" name="Established_x000a_Accounts Receivable" totalsRowFunction="sum" dataDxfId="1015" totalsRowDxfId="1014"/>
    <tableColumn id="10" name="Less: Recovered Amount" totalsRowFunction="sum" dataDxfId="1013" totalsRowDxfId="1012"/>
    <tableColumn id="11" name="Accounts Receivable_x000a_Balance" totalsRowFunction="sum" dataDxfId="1011" totalsRowDxfId="1010"/>
    <tableColumn id="12" name="Net_x000a_Balance" totalsRowFunction="sum" dataDxfId="1009" totalsRowDxfId="100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97.xml><?xml version="1.0" encoding="utf-8"?>
<table xmlns="http://schemas.openxmlformats.org/spreadsheetml/2006/main" id="90" name="college200304" displayName="college200304" ref="A117:L119" totalsRowCount="1" headerRowDxfId="1007" dataDxfId="1005" totalsRowDxfId="1003" headerRowBorderDxfId="1006" tableBorderDxfId="1004" totalsRowBorderDxfId="1002" headerRowCellStyle="Currency">
  <autoFilter ref="A117:L118"/>
  <tableColumns count="12">
    <tableColumn id="1" name="Fiscal_x000a_Year" totalsRowLabel="2003-04 Total" dataDxfId="1001" totalsRowDxfId="1000"/>
    <tableColumn id="2" name="Program_x000a_Name" totalsRowLabel="N/A" dataDxfId="999" totalsRowDxfId="998"/>
    <tableColumn id="3" name="Legal_x000a_Reference_x000a_(Ch./Year)" totalsRowLabel="N/A" dataDxfId="997" totalsRowDxfId="996"/>
    <tableColumn id="4" name="Program Number" totalsRowLabel="N/A" dataDxfId="995" totalsRowDxfId="994"/>
    <tableColumn id="5" name="Program_x000a_Costs" totalsRowFunction="sum" dataDxfId="993" totalsRowDxfId="992"/>
    <tableColumn id="6" name="Less: Net Payments and Offsets 11" totalsRowFunction="sum" dataDxfId="991" totalsRowDxfId="990"/>
    <tableColumn id="7" name="Comment" totalsRowLabel="N/A" dataDxfId="989" totalsRowDxfId="988"/>
    <tableColumn id="8" name="Accounts Payable_x000a_Balance" totalsRowFunction="sum" dataDxfId="987" totalsRowDxfId="986"/>
    <tableColumn id="9" name="Established_x000a_Accounts Receivable" totalsRowFunction="sum" dataDxfId="985" totalsRowDxfId="984"/>
    <tableColumn id="10" name="Less: Recovered Amount" totalsRowFunction="sum" dataDxfId="983" totalsRowDxfId="982"/>
    <tableColumn id="11" name="Accounts Receivable_x000a_Balance" totalsRowFunction="sum" dataDxfId="981" totalsRowDxfId="980"/>
    <tableColumn id="12" name="Net_x000a_Balance" totalsRowFunction="sum" dataDxfId="979" totalsRowDxfId="97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98.xml><?xml version="1.0" encoding="utf-8"?>
<table xmlns="http://schemas.openxmlformats.org/spreadsheetml/2006/main" id="91" name="college200203" displayName="college200203" ref="A121:L125" totalsRowCount="1" headerRowDxfId="977" dataDxfId="975" totalsRowDxfId="973" headerRowBorderDxfId="976" tableBorderDxfId="974" totalsRowBorderDxfId="972" headerRowCellStyle="Currency">
  <autoFilter ref="A121:L124"/>
  <tableColumns count="12">
    <tableColumn id="1" name="Fiscal_x000a_Year" totalsRowLabel="2002-03 Total" dataDxfId="971" totalsRowDxfId="970"/>
    <tableColumn id="2" name="Program_x000a_Name" totalsRowLabel="N/A" dataDxfId="969" totalsRowDxfId="968"/>
    <tableColumn id="3" name="Legal_x000a_Reference_x000a_(Ch./Year)" totalsRowLabel="N/A" dataDxfId="967" totalsRowDxfId="966"/>
    <tableColumn id="4" name="Program Number" totalsRowLabel="N/A" dataDxfId="965" totalsRowDxfId="964"/>
    <tableColumn id="5" name="Program_x000a_Costs" totalsRowFunction="sum" dataDxfId="963" totalsRowDxfId="962"/>
    <tableColumn id="6" name="Less: Net Payments and Offsets 11" totalsRowFunction="sum" dataDxfId="961" totalsRowDxfId="960"/>
    <tableColumn id="7" name="Comment" totalsRowLabel="N/A" dataDxfId="959" totalsRowDxfId="958"/>
    <tableColumn id="8" name="Accounts Payable_x000a_Balance" totalsRowFunction="sum" dataDxfId="957" totalsRowDxfId="956"/>
    <tableColumn id="9" name="Established_x000a_Accounts Receivable" totalsRowFunction="sum" dataDxfId="955" totalsRowDxfId="954"/>
    <tableColumn id="10" name="Less: Recovered Amount" totalsRowFunction="sum" dataDxfId="953" totalsRowDxfId="952"/>
    <tableColumn id="11" name="Accounts Receivable_x000a_Balance" totalsRowFunction="sum" dataDxfId="951" totalsRowDxfId="950"/>
    <tableColumn id="12" name="Net_x000a_Balance" totalsRowFunction="sum" dataDxfId="949" totalsRowDxfId="94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ables/table99.xml><?xml version="1.0" encoding="utf-8"?>
<table xmlns="http://schemas.openxmlformats.org/spreadsheetml/2006/main" id="92" name="college200102" displayName="college200102" ref="A127:L131" totalsRowCount="1" headerRowDxfId="947" dataDxfId="945" totalsRowDxfId="943" headerRowBorderDxfId="946" tableBorderDxfId="944" totalsRowBorderDxfId="942" headerRowCellStyle="Currency">
  <autoFilter ref="A127:L130"/>
  <tableColumns count="12">
    <tableColumn id="1" name="Fiscal_x000a_Year" totalsRowLabel="2001-02 Total" dataDxfId="941" totalsRowDxfId="940"/>
    <tableColumn id="2" name="Program_x000a_Name" totalsRowLabel="N/A" dataDxfId="939" totalsRowDxfId="938"/>
    <tableColumn id="3" name="Legal_x000a_Reference_x000a_(Ch./Year)" totalsRowLabel="N/A" dataDxfId="937" totalsRowDxfId="936"/>
    <tableColumn id="4" name="Program Number" totalsRowLabel="N/A" dataDxfId="935" totalsRowDxfId="934"/>
    <tableColumn id="5" name="Program_x000a_Costs" totalsRowFunction="sum" dataDxfId="933" totalsRowDxfId="932"/>
    <tableColumn id="6" name="Less: Net Payments and Offsets 11" totalsRowFunction="sum" dataDxfId="931" totalsRowDxfId="930"/>
    <tableColumn id="7" name="Comment" totalsRowLabel="N/A" dataDxfId="929" totalsRowDxfId="928"/>
    <tableColumn id="8" name="Accounts Payable_x000a_Balance" totalsRowFunction="sum" dataDxfId="927" totalsRowDxfId="926"/>
    <tableColumn id="9" name="Established_x000a_Accounts Receivable" totalsRowFunction="sum" dataDxfId="925" totalsRowDxfId="924"/>
    <tableColumn id="10" name="Less: Recovered Amount" totalsRowFunction="sum" dataDxfId="923" totalsRowDxfId="922"/>
    <tableColumn id="11" name="Accounts Receivable_x000a_Balance" totalsRowFunction="sum" dataDxfId="921" totalsRowDxfId="920"/>
    <tableColumn id="12" name="Net_x000a_Balance" totalsRowFunction="sum" dataDxfId="919" totalsRowDxfId="91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B 3000 Report" altTextSummary="Schedule B1: Detail of Funded State-Mandated Programs by Fiscal Year. As of August 31, 2020. Community College Districts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1.xml"/><Relationship Id="rId13" Type="http://schemas.openxmlformats.org/officeDocument/2006/relationships/table" Target="../tables/table116.xml"/><Relationship Id="rId18" Type="http://schemas.openxmlformats.org/officeDocument/2006/relationships/table" Target="../tables/table121.xml"/><Relationship Id="rId3" Type="http://schemas.openxmlformats.org/officeDocument/2006/relationships/table" Target="../tables/table106.xml"/><Relationship Id="rId7" Type="http://schemas.openxmlformats.org/officeDocument/2006/relationships/table" Target="../tables/table110.xml"/><Relationship Id="rId12" Type="http://schemas.openxmlformats.org/officeDocument/2006/relationships/table" Target="../tables/table115.xml"/><Relationship Id="rId17" Type="http://schemas.openxmlformats.org/officeDocument/2006/relationships/table" Target="../tables/table120.xml"/><Relationship Id="rId2" Type="http://schemas.openxmlformats.org/officeDocument/2006/relationships/table" Target="../tables/table105.xml"/><Relationship Id="rId16" Type="http://schemas.openxmlformats.org/officeDocument/2006/relationships/table" Target="../tables/table119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09.xml"/><Relationship Id="rId11" Type="http://schemas.openxmlformats.org/officeDocument/2006/relationships/table" Target="../tables/table114.xml"/><Relationship Id="rId5" Type="http://schemas.openxmlformats.org/officeDocument/2006/relationships/table" Target="../tables/table108.xml"/><Relationship Id="rId15" Type="http://schemas.openxmlformats.org/officeDocument/2006/relationships/table" Target="../tables/table118.xml"/><Relationship Id="rId10" Type="http://schemas.openxmlformats.org/officeDocument/2006/relationships/table" Target="../tables/table113.xml"/><Relationship Id="rId4" Type="http://schemas.openxmlformats.org/officeDocument/2006/relationships/table" Target="../tables/table107.xml"/><Relationship Id="rId9" Type="http://schemas.openxmlformats.org/officeDocument/2006/relationships/table" Target="../tables/table112.xml"/><Relationship Id="rId14" Type="http://schemas.openxmlformats.org/officeDocument/2006/relationships/table" Target="../tables/table1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3.xml"/><Relationship Id="rId2" Type="http://schemas.openxmlformats.org/officeDocument/2006/relationships/table" Target="../tables/table1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5.xml"/><Relationship Id="rId2" Type="http://schemas.openxmlformats.org/officeDocument/2006/relationships/table" Target="../tables/table124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2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7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.xml"/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Relationship Id="rId9" Type="http://schemas.openxmlformats.org/officeDocument/2006/relationships/table" Target="../tables/table1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table" Target="../tables/table16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.xml"/><Relationship Id="rId3" Type="http://schemas.openxmlformats.org/officeDocument/2006/relationships/table" Target="../tables/table17.xml"/><Relationship Id="rId7" Type="http://schemas.openxmlformats.org/officeDocument/2006/relationships/table" Target="../tables/table2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0.xml"/><Relationship Id="rId5" Type="http://schemas.openxmlformats.org/officeDocument/2006/relationships/table" Target="../tables/table19.xml"/><Relationship Id="rId10" Type="http://schemas.openxmlformats.org/officeDocument/2006/relationships/comments" Target="../comments3.xml"/><Relationship Id="rId4" Type="http://schemas.openxmlformats.org/officeDocument/2006/relationships/table" Target="../tables/table18.xml"/><Relationship Id="rId9" Type="http://schemas.openxmlformats.org/officeDocument/2006/relationships/table" Target="../tables/table2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9.xml"/><Relationship Id="rId13" Type="http://schemas.openxmlformats.org/officeDocument/2006/relationships/table" Target="../tables/table34.xml"/><Relationship Id="rId18" Type="http://schemas.openxmlformats.org/officeDocument/2006/relationships/table" Target="../tables/table39.xml"/><Relationship Id="rId26" Type="http://schemas.openxmlformats.org/officeDocument/2006/relationships/table" Target="../tables/table47.xml"/><Relationship Id="rId3" Type="http://schemas.openxmlformats.org/officeDocument/2006/relationships/table" Target="../tables/table24.xml"/><Relationship Id="rId21" Type="http://schemas.openxmlformats.org/officeDocument/2006/relationships/table" Target="../tables/table42.xml"/><Relationship Id="rId7" Type="http://schemas.openxmlformats.org/officeDocument/2006/relationships/table" Target="../tables/table28.xml"/><Relationship Id="rId12" Type="http://schemas.openxmlformats.org/officeDocument/2006/relationships/table" Target="../tables/table33.xml"/><Relationship Id="rId17" Type="http://schemas.openxmlformats.org/officeDocument/2006/relationships/table" Target="../tables/table38.xml"/><Relationship Id="rId25" Type="http://schemas.openxmlformats.org/officeDocument/2006/relationships/table" Target="../tables/table46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37.xml"/><Relationship Id="rId20" Type="http://schemas.openxmlformats.org/officeDocument/2006/relationships/table" Target="../tables/table41.xml"/><Relationship Id="rId29" Type="http://schemas.openxmlformats.org/officeDocument/2006/relationships/table" Target="../tables/table50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7.xml"/><Relationship Id="rId11" Type="http://schemas.openxmlformats.org/officeDocument/2006/relationships/table" Target="../tables/table32.xml"/><Relationship Id="rId24" Type="http://schemas.openxmlformats.org/officeDocument/2006/relationships/table" Target="../tables/table45.xml"/><Relationship Id="rId5" Type="http://schemas.openxmlformats.org/officeDocument/2006/relationships/table" Target="../tables/table26.xml"/><Relationship Id="rId15" Type="http://schemas.openxmlformats.org/officeDocument/2006/relationships/table" Target="../tables/table36.xml"/><Relationship Id="rId23" Type="http://schemas.openxmlformats.org/officeDocument/2006/relationships/table" Target="../tables/table44.xml"/><Relationship Id="rId28" Type="http://schemas.openxmlformats.org/officeDocument/2006/relationships/table" Target="../tables/table49.xml"/><Relationship Id="rId10" Type="http://schemas.openxmlformats.org/officeDocument/2006/relationships/table" Target="../tables/table31.xml"/><Relationship Id="rId19" Type="http://schemas.openxmlformats.org/officeDocument/2006/relationships/table" Target="../tables/table40.xml"/><Relationship Id="rId31" Type="http://schemas.openxmlformats.org/officeDocument/2006/relationships/comments" Target="../comments4.xml"/><Relationship Id="rId4" Type="http://schemas.openxmlformats.org/officeDocument/2006/relationships/table" Target="../tables/table25.xml"/><Relationship Id="rId9" Type="http://schemas.openxmlformats.org/officeDocument/2006/relationships/table" Target="../tables/table30.xml"/><Relationship Id="rId14" Type="http://schemas.openxmlformats.org/officeDocument/2006/relationships/table" Target="../tables/table35.xml"/><Relationship Id="rId22" Type="http://schemas.openxmlformats.org/officeDocument/2006/relationships/table" Target="../tables/table43.xml"/><Relationship Id="rId27" Type="http://schemas.openxmlformats.org/officeDocument/2006/relationships/table" Target="../tables/table48.xml"/><Relationship Id="rId30" Type="http://schemas.openxmlformats.org/officeDocument/2006/relationships/table" Target="../tables/table5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7.xml"/><Relationship Id="rId13" Type="http://schemas.openxmlformats.org/officeDocument/2006/relationships/table" Target="../tables/table62.xml"/><Relationship Id="rId18" Type="http://schemas.openxmlformats.org/officeDocument/2006/relationships/table" Target="../tables/table67.xml"/><Relationship Id="rId26" Type="http://schemas.openxmlformats.org/officeDocument/2006/relationships/table" Target="../tables/table75.xml"/><Relationship Id="rId3" Type="http://schemas.openxmlformats.org/officeDocument/2006/relationships/table" Target="../tables/table52.xml"/><Relationship Id="rId21" Type="http://schemas.openxmlformats.org/officeDocument/2006/relationships/table" Target="../tables/table70.xml"/><Relationship Id="rId34" Type="http://schemas.openxmlformats.org/officeDocument/2006/relationships/table" Target="../tables/table83.xml"/><Relationship Id="rId7" Type="http://schemas.openxmlformats.org/officeDocument/2006/relationships/table" Target="../tables/table56.xml"/><Relationship Id="rId12" Type="http://schemas.openxmlformats.org/officeDocument/2006/relationships/table" Target="../tables/table61.xml"/><Relationship Id="rId17" Type="http://schemas.openxmlformats.org/officeDocument/2006/relationships/table" Target="../tables/table66.xml"/><Relationship Id="rId25" Type="http://schemas.openxmlformats.org/officeDocument/2006/relationships/table" Target="../tables/table74.xml"/><Relationship Id="rId33" Type="http://schemas.openxmlformats.org/officeDocument/2006/relationships/table" Target="../tables/table82.xml"/><Relationship Id="rId38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6" Type="http://schemas.openxmlformats.org/officeDocument/2006/relationships/table" Target="../tables/table65.xml"/><Relationship Id="rId20" Type="http://schemas.openxmlformats.org/officeDocument/2006/relationships/table" Target="../tables/table69.xml"/><Relationship Id="rId29" Type="http://schemas.openxmlformats.org/officeDocument/2006/relationships/table" Target="../tables/table7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5.xml"/><Relationship Id="rId11" Type="http://schemas.openxmlformats.org/officeDocument/2006/relationships/table" Target="../tables/table60.xml"/><Relationship Id="rId24" Type="http://schemas.openxmlformats.org/officeDocument/2006/relationships/table" Target="../tables/table73.xml"/><Relationship Id="rId32" Type="http://schemas.openxmlformats.org/officeDocument/2006/relationships/table" Target="../tables/table81.xml"/><Relationship Id="rId37" Type="http://schemas.openxmlformats.org/officeDocument/2006/relationships/table" Target="../tables/table86.xml"/><Relationship Id="rId5" Type="http://schemas.openxmlformats.org/officeDocument/2006/relationships/table" Target="../tables/table54.xml"/><Relationship Id="rId15" Type="http://schemas.openxmlformats.org/officeDocument/2006/relationships/table" Target="../tables/table64.xml"/><Relationship Id="rId23" Type="http://schemas.openxmlformats.org/officeDocument/2006/relationships/table" Target="../tables/table72.xml"/><Relationship Id="rId28" Type="http://schemas.openxmlformats.org/officeDocument/2006/relationships/table" Target="../tables/table77.xml"/><Relationship Id="rId36" Type="http://schemas.openxmlformats.org/officeDocument/2006/relationships/table" Target="../tables/table85.xml"/><Relationship Id="rId10" Type="http://schemas.openxmlformats.org/officeDocument/2006/relationships/table" Target="../tables/table59.xml"/><Relationship Id="rId19" Type="http://schemas.openxmlformats.org/officeDocument/2006/relationships/table" Target="../tables/table68.xml"/><Relationship Id="rId31" Type="http://schemas.openxmlformats.org/officeDocument/2006/relationships/table" Target="../tables/table80.xml"/><Relationship Id="rId4" Type="http://schemas.openxmlformats.org/officeDocument/2006/relationships/table" Target="../tables/table53.xml"/><Relationship Id="rId9" Type="http://schemas.openxmlformats.org/officeDocument/2006/relationships/table" Target="../tables/table58.xml"/><Relationship Id="rId14" Type="http://schemas.openxmlformats.org/officeDocument/2006/relationships/table" Target="../tables/table63.xml"/><Relationship Id="rId22" Type="http://schemas.openxmlformats.org/officeDocument/2006/relationships/table" Target="../tables/table71.xml"/><Relationship Id="rId27" Type="http://schemas.openxmlformats.org/officeDocument/2006/relationships/table" Target="../tables/table76.xml"/><Relationship Id="rId30" Type="http://schemas.openxmlformats.org/officeDocument/2006/relationships/table" Target="../tables/table79.xml"/><Relationship Id="rId35" Type="http://schemas.openxmlformats.org/officeDocument/2006/relationships/table" Target="../tables/table8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2.xml"/><Relationship Id="rId13" Type="http://schemas.openxmlformats.org/officeDocument/2006/relationships/table" Target="../tables/table97.xml"/><Relationship Id="rId18" Type="http://schemas.openxmlformats.org/officeDocument/2006/relationships/table" Target="../tables/table102.xml"/><Relationship Id="rId3" Type="http://schemas.openxmlformats.org/officeDocument/2006/relationships/table" Target="../tables/table87.xml"/><Relationship Id="rId21" Type="http://schemas.openxmlformats.org/officeDocument/2006/relationships/comments" Target="../comments6.xml"/><Relationship Id="rId7" Type="http://schemas.openxmlformats.org/officeDocument/2006/relationships/table" Target="../tables/table91.xml"/><Relationship Id="rId12" Type="http://schemas.openxmlformats.org/officeDocument/2006/relationships/table" Target="../tables/table96.xml"/><Relationship Id="rId17" Type="http://schemas.openxmlformats.org/officeDocument/2006/relationships/table" Target="../tables/table101.xml"/><Relationship Id="rId2" Type="http://schemas.openxmlformats.org/officeDocument/2006/relationships/vmlDrawing" Target="../drawings/vmlDrawing6.vml"/><Relationship Id="rId16" Type="http://schemas.openxmlformats.org/officeDocument/2006/relationships/table" Target="../tables/table100.xml"/><Relationship Id="rId20" Type="http://schemas.openxmlformats.org/officeDocument/2006/relationships/table" Target="../tables/table104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90.xml"/><Relationship Id="rId11" Type="http://schemas.openxmlformats.org/officeDocument/2006/relationships/table" Target="../tables/table95.xml"/><Relationship Id="rId5" Type="http://schemas.openxmlformats.org/officeDocument/2006/relationships/table" Target="../tables/table89.xml"/><Relationship Id="rId15" Type="http://schemas.openxmlformats.org/officeDocument/2006/relationships/table" Target="../tables/table99.xml"/><Relationship Id="rId10" Type="http://schemas.openxmlformats.org/officeDocument/2006/relationships/table" Target="../tables/table94.xml"/><Relationship Id="rId19" Type="http://schemas.openxmlformats.org/officeDocument/2006/relationships/table" Target="../tables/table103.xml"/><Relationship Id="rId4" Type="http://schemas.openxmlformats.org/officeDocument/2006/relationships/table" Target="../tables/table88.xml"/><Relationship Id="rId9" Type="http://schemas.openxmlformats.org/officeDocument/2006/relationships/table" Target="../tables/table93.xml"/><Relationship Id="rId14" Type="http://schemas.openxmlformats.org/officeDocument/2006/relationships/table" Target="../tables/table9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tabSelected="1" zoomScale="70" zoomScaleNormal="70" workbookViewId="0"/>
  </sheetViews>
  <sheetFormatPr defaultRowHeight="15" x14ac:dyDescent="0.25"/>
  <cols>
    <col min="1" max="1" width="126.7109375" customWidth="1"/>
  </cols>
  <sheetData>
    <row r="1" spans="1:12" ht="30" x14ac:dyDescent="0.25">
      <c r="A1" s="406" t="s">
        <v>599</v>
      </c>
    </row>
    <row r="2" spans="1:12" ht="45" x14ac:dyDescent="0.25">
      <c r="A2" s="407" t="s">
        <v>600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</row>
    <row r="3" spans="1:12" ht="45" customHeight="1" x14ac:dyDescent="0.25">
      <c r="A3" s="407" t="s">
        <v>604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</row>
    <row r="4" spans="1:12" ht="30" x14ac:dyDescent="0.25">
      <c r="A4" s="406" t="s">
        <v>605</v>
      </c>
    </row>
    <row r="5" spans="1:12" ht="30" x14ac:dyDescent="0.25">
      <c r="A5" s="406" t="s">
        <v>606</v>
      </c>
    </row>
    <row r="6" spans="1:12" x14ac:dyDescent="0.25">
      <c r="A6" s="410" t="s">
        <v>500</v>
      </c>
    </row>
    <row r="7" spans="1:12" x14ac:dyDescent="0.25">
      <c r="A7" s="410" t="s">
        <v>500</v>
      </c>
    </row>
    <row r="8" spans="1:12" x14ac:dyDescent="0.25">
      <c r="A8" s="410" t="s">
        <v>500</v>
      </c>
    </row>
    <row r="9" spans="1:12" x14ac:dyDescent="0.25">
      <c r="A9" s="410" t="s">
        <v>500</v>
      </c>
    </row>
    <row r="10" spans="1:12" x14ac:dyDescent="0.25">
      <c r="A10" s="410" t="s">
        <v>500</v>
      </c>
    </row>
    <row r="11" spans="1:12" x14ac:dyDescent="0.25">
      <c r="A11" s="410" t="s">
        <v>500</v>
      </c>
    </row>
    <row r="12" spans="1:12" x14ac:dyDescent="0.25">
      <c r="A12" s="410" t="s">
        <v>500</v>
      </c>
    </row>
    <row r="13" spans="1:12" x14ac:dyDescent="0.25">
      <c r="A13" s="410" t="s">
        <v>500</v>
      </c>
    </row>
    <row r="14" spans="1:12" x14ac:dyDescent="0.25">
      <c r="A14" s="410" t="s">
        <v>500</v>
      </c>
    </row>
    <row r="15" spans="1:12" x14ac:dyDescent="0.25">
      <c r="A15" s="410" t="s">
        <v>500</v>
      </c>
    </row>
    <row r="16" spans="1:12" x14ac:dyDescent="0.25">
      <c r="A16" s="410" t="s">
        <v>500</v>
      </c>
    </row>
    <row r="17" spans="1:10" x14ac:dyDescent="0.25">
      <c r="A17" s="410" t="s">
        <v>500</v>
      </c>
    </row>
    <row r="18" spans="1:10" x14ac:dyDescent="0.25">
      <c r="A18" s="410" t="s">
        <v>500</v>
      </c>
    </row>
    <row r="19" spans="1:10" x14ac:dyDescent="0.25">
      <c r="A19" s="410" t="s">
        <v>500</v>
      </c>
    </row>
    <row r="20" spans="1:10" x14ac:dyDescent="0.25">
      <c r="A20" s="410" t="s">
        <v>500</v>
      </c>
    </row>
    <row r="21" spans="1:10" x14ac:dyDescent="0.25">
      <c r="A21" s="410" t="s">
        <v>500</v>
      </c>
    </row>
    <row r="22" spans="1:10" x14ac:dyDescent="0.25">
      <c r="A22" s="410" t="s">
        <v>500</v>
      </c>
    </row>
    <row r="23" spans="1:10" x14ac:dyDescent="0.25">
      <c r="A23" s="410" t="s">
        <v>500</v>
      </c>
      <c r="F23" s="408"/>
      <c r="G23" s="408"/>
      <c r="H23" s="408"/>
    </row>
    <row r="24" spans="1:10" ht="15.75" x14ac:dyDescent="0.25">
      <c r="A24" s="411" t="s">
        <v>601</v>
      </c>
      <c r="D24" s="408"/>
      <c r="E24" s="408"/>
      <c r="F24" s="408"/>
      <c r="G24" s="408"/>
      <c r="H24" s="408"/>
      <c r="I24" s="408"/>
      <c r="J24" s="408"/>
    </row>
    <row r="25" spans="1:10" ht="41.25" x14ac:dyDescent="0.25">
      <c r="A25" s="412" t="s">
        <v>602</v>
      </c>
    </row>
    <row r="26" spans="1:10" ht="30" x14ac:dyDescent="0.25">
      <c r="A26" s="406" t="s">
        <v>603</v>
      </c>
    </row>
  </sheetData>
  <pageMargins left="0.7" right="0.7" top="0.75" bottom="0.75" header="0.3" footer="0.3"/>
  <pageSetup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9"/>
  <sheetViews>
    <sheetView zoomScaleNormal="100" zoomScalePageLayoutView="80" workbookViewId="0"/>
  </sheetViews>
  <sheetFormatPr defaultColWidth="9.140625" defaultRowHeight="15.75" outlineLevelRow="2" x14ac:dyDescent="0.25"/>
  <cols>
    <col min="1" max="1" width="76.5703125" style="273" customWidth="1"/>
    <col min="2" max="2" width="12.5703125" style="193" customWidth="1"/>
    <col min="3" max="3" width="14.5703125" style="302" customWidth="1"/>
    <col min="4" max="4" width="12.5703125" style="193" customWidth="1"/>
    <col min="5" max="5" width="17.7109375" style="208" customWidth="1"/>
    <col min="6" max="6" width="15.5703125" style="209" customWidth="1"/>
    <col min="7" max="7" width="17.7109375" style="208" customWidth="1"/>
    <col min="8" max="9" width="15.5703125" style="209" customWidth="1"/>
    <col min="10" max="10" width="15.5703125" style="208" customWidth="1"/>
    <col min="11" max="11" width="17.7109375" style="208" customWidth="1"/>
    <col min="12" max="16384" width="9.140625" style="20"/>
  </cols>
  <sheetData>
    <row r="1" spans="1:11" s="201" customFormat="1" ht="54" customHeight="1" x14ac:dyDescent="0.25">
      <c r="A1" s="198" t="s">
        <v>539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2" spans="1:11" s="272" customFormat="1" ht="50.1" customHeight="1" outlineLevel="1" x14ac:dyDescent="0.25">
      <c r="A2" s="176" t="s">
        <v>99</v>
      </c>
      <c r="B2" s="176" t="s">
        <v>1</v>
      </c>
      <c r="C2" s="176" t="s">
        <v>195</v>
      </c>
      <c r="D2" s="176" t="s">
        <v>98</v>
      </c>
      <c r="E2" s="210" t="s">
        <v>188</v>
      </c>
      <c r="F2" s="239" t="s">
        <v>442</v>
      </c>
      <c r="G2" s="210" t="s">
        <v>528</v>
      </c>
      <c r="H2" s="210" t="s">
        <v>529</v>
      </c>
      <c r="I2" s="210" t="s">
        <v>197</v>
      </c>
      <c r="J2" s="210" t="s">
        <v>530</v>
      </c>
      <c r="K2" s="210" t="s">
        <v>196</v>
      </c>
    </row>
    <row r="3" spans="1:11" outlineLevel="2" x14ac:dyDescent="0.25">
      <c r="A3" s="303" t="s">
        <v>443</v>
      </c>
      <c r="B3" s="272" t="s">
        <v>444</v>
      </c>
      <c r="C3" s="243">
        <v>288</v>
      </c>
      <c r="D3" s="243" t="s">
        <v>305</v>
      </c>
      <c r="E3" s="246">
        <v>130288</v>
      </c>
      <c r="F3" s="297">
        <v>0</v>
      </c>
      <c r="G3" s="246">
        <v>130288</v>
      </c>
      <c r="H3" s="297">
        <v>0</v>
      </c>
      <c r="I3" s="297">
        <v>0</v>
      </c>
      <c r="J3" s="297">
        <v>0</v>
      </c>
      <c r="K3" s="246">
        <v>130288</v>
      </c>
    </row>
    <row r="4" spans="1:11" outlineLevel="2" x14ac:dyDescent="0.25">
      <c r="A4" s="303" t="s">
        <v>443</v>
      </c>
      <c r="B4" s="272" t="s">
        <v>444</v>
      </c>
      <c r="C4" s="243">
        <v>288</v>
      </c>
      <c r="D4" s="243" t="s">
        <v>410</v>
      </c>
      <c r="E4" s="246">
        <v>85888</v>
      </c>
      <c r="F4" s="297">
        <v>0</v>
      </c>
      <c r="G4" s="246">
        <v>85888</v>
      </c>
      <c r="H4" s="297">
        <v>0</v>
      </c>
      <c r="I4" s="297">
        <v>0</v>
      </c>
      <c r="J4" s="297">
        <v>0</v>
      </c>
      <c r="K4" s="246">
        <v>85888</v>
      </c>
    </row>
    <row r="5" spans="1:11" outlineLevel="2" x14ac:dyDescent="0.25">
      <c r="A5" s="271" t="s">
        <v>445</v>
      </c>
      <c r="B5" s="74" t="s">
        <v>500</v>
      </c>
      <c r="C5" s="180" t="s">
        <v>500</v>
      </c>
      <c r="D5" s="180" t="s">
        <v>500</v>
      </c>
      <c r="E5" s="78">
        <f>SUBTOTAL(109,local288[Program
Costs])</f>
        <v>216176</v>
      </c>
      <c r="F5" s="179">
        <f>SUBTOTAL(109,local288[Less: Net Payments and Offsets])</f>
        <v>0</v>
      </c>
      <c r="G5" s="78">
        <f>SUBTOTAL(109,local288[Accounts Payable
Balance])</f>
        <v>216176</v>
      </c>
      <c r="H5" s="179">
        <f>SUBTOTAL(109,local288[Established
Accounts Receivable])</f>
        <v>0</v>
      </c>
      <c r="I5" s="179">
        <f>SUBTOTAL(109,local288[Less: Recovered Amount])</f>
        <v>0</v>
      </c>
      <c r="J5" s="179">
        <f>SUBTOTAL(109,local288[Accounts Receivable
Balance])</f>
        <v>0</v>
      </c>
      <c r="K5" s="78">
        <f>SUBTOTAL(109,local288[Net
Balance])</f>
        <v>216176</v>
      </c>
    </row>
    <row r="6" spans="1:11" outlineLevel="2" x14ac:dyDescent="0.25">
      <c r="A6" s="304" t="s">
        <v>508</v>
      </c>
      <c r="B6" s="272"/>
      <c r="C6" s="243"/>
      <c r="D6" s="243"/>
      <c r="E6" s="246"/>
      <c r="F6" s="246"/>
      <c r="G6" s="246"/>
      <c r="H6" s="246"/>
      <c r="I6" s="246"/>
      <c r="J6" s="246"/>
      <c r="K6" s="246"/>
    </row>
    <row r="7" spans="1:11" ht="50.1" customHeight="1" outlineLevel="2" x14ac:dyDescent="0.25">
      <c r="A7" s="176" t="s">
        <v>99</v>
      </c>
      <c r="B7" s="176" t="s">
        <v>1</v>
      </c>
      <c r="C7" s="176" t="s">
        <v>195</v>
      </c>
      <c r="D7" s="176" t="s">
        <v>98</v>
      </c>
      <c r="E7" s="210" t="s">
        <v>188</v>
      </c>
      <c r="F7" s="239" t="s">
        <v>442</v>
      </c>
      <c r="G7" s="210" t="s">
        <v>528</v>
      </c>
      <c r="H7" s="210" t="s">
        <v>529</v>
      </c>
      <c r="I7" s="210" t="s">
        <v>197</v>
      </c>
      <c r="J7" s="210" t="s">
        <v>530</v>
      </c>
      <c r="K7" s="210" t="s">
        <v>196</v>
      </c>
    </row>
    <row r="8" spans="1:11" outlineLevel="2" x14ac:dyDescent="0.25">
      <c r="A8" s="303" t="s">
        <v>446</v>
      </c>
      <c r="B8" s="272" t="s">
        <v>447</v>
      </c>
      <c r="C8" s="243">
        <v>310</v>
      </c>
      <c r="D8" s="243" t="s">
        <v>185</v>
      </c>
      <c r="E8" s="246">
        <v>12735457</v>
      </c>
      <c r="F8" s="297">
        <v>0</v>
      </c>
      <c r="G8" s="246">
        <v>12735457</v>
      </c>
      <c r="H8" s="297">
        <v>0</v>
      </c>
      <c r="I8" s="297">
        <v>0</v>
      </c>
      <c r="J8" s="297">
        <v>0</v>
      </c>
      <c r="K8" s="246">
        <v>12735457</v>
      </c>
    </row>
    <row r="9" spans="1:11" outlineLevel="2" x14ac:dyDescent="0.25">
      <c r="A9" s="303" t="s">
        <v>446</v>
      </c>
      <c r="B9" s="272" t="s">
        <v>447</v>
      </c>
      <c r="C9" s="243">
        <v>310</v>
      </c>
      <c r="D9" s="243" t="s">
        <v>84</v>
      </c>
      <c r="E9" s="246">
        <v>14472523</v>
      </c>
      <c r="F9" s="297">
        <v>0</v>
      </c>
      <c r="G9" s="246">
        <v>14472523</v>
      </c>
      <c r="H9" s="297">
        <v>0</v>
      </c>
      <c r="I9" s="297">
        <v>0</v>
      </c>
      <c r="J9" s="297">
        <v>0</v>
      </c>
      <c r="K9" s="246">
        <v>14472523</v>
      </c>
    </row>
    <row r="10" spans="1:11" outlineLevel="2" x14ac:dyDescent="0.25">
      <c r="A10" s="303" t="s">
        <v>446</v>
      </c>
      <c r="B10" s="272" t="s">
        <v>447</v>
      </c>
      <c r="C10" s="243">
        <v>310</v>
      </c>
      <c r="D10" s="243" t="s">
        <v>87</v>
      </c>
      <c r="E10" s="246">
        <v>13496836</v>
      </c>
      <c r="F10" s="297">
        <v>0</v>
      </c>
      <c r="G10" s="246">
        <v>13496836</v>
      </c>
      <c r="H10" s="297">
        <v>0</v>
      </c>
      <c r="I10" s="297">
        <v>0</v>
      </c>
      <c r="J10" s="297">
        <v>0</v>
      </c>
      <c r="K10" s="246">
        <v>13496836</v>
      </c>
    </row>
    <row r="11" spans="1:11" outlineLevel="2" x14ac:dyDescent="0.25">
      <c r="A11" s="303" t="s">
        <v>446</v>
      </c>
      <c r="B11" s="272" t="s">
        <v>447</v>
      </c>
      <c r="C11" s="243">
        <v>310</v>
      </c>
      <c r="D11" s="243" t="s">
        <v>76</v>
      </c>
      <c r="E11" s="246">
        <v>12955417</v>
      </c>
      <c r="F11" s="297">
        <v>0</v>
      </c>
      <c r="G11" s="246">
        <v>12955417</v>
      </c>
      <c r="H11" s="297">
        <v>0</v>
      </c>
      <c r="I11" s="297">
        <v>0</v>
      </c>
      <c r="J11" s="297">
        <v>0</v>
      </c>
      <c r="K11" s="246">
        <v>12955417</v>
      </c>
    </row>
    <row r="12" spans="1:11" outlineLevel="2" x14ac:dyDescent="0.25">
      <c r="A12" s="303" t="s">
        <v>446</v>
      </c>
      <c r="B12" s="272" t="s">
        <v>447</v>
      </c>
      <c r="C12" s="243">
        <v>310</v>
      </c>
      <c r="D12" s="243" t="s">
        <v>79</v>
      </c>
      <c r="E12" s="246">
        <v>12242575</v>
      </c>
      <c r="F12" s="297">
        <v>0</v>
      </c>
      <c r="G12" s="246">
        <v>12242575</v>
      </c>
      <c r="H12" s="297">
        <v>0</v>
      </c>
      <c r="I12" s="297">
        <v>0</v>
      </c>
      <c r="J12" s="297">
        <v>0</v>
      </c>
      <c r="K12" s="246">
        <v>12242575</v>
      </c>
    </row>
    <row r="13" spans="1:11" outlineLevel="2" x14ac:dyDescent="0.25">
      <c r="A13" s="303" t="s">
        <v>446</v>
      </c>
      <c r="B13" s="272" t="s">
        <v>447</v>
      </c>
      <c r="C13" s="243">
        <v>310</v>
      </c>
      <c r="D13" s="243" t="s">
        <v>80</v>
      </c>
      <c r="E13" s="246">
        <v>12477252</v>
      </c>
      <c r="F13" s="297">
        <v>0</v>
      </c>
      <c r="G13" s="246">
        <v>12477252</v>
      </c>
      <c r="H13" s="297">
        <v>0</v>
      </c>
      <c r="I13" s="297">
        <v>0</v>
      </c>
      <c r="J13" s="297">
        <v>0</v>
      </c>
      <c r="K13" s="246">
        <v>12477252</v>
      </c>
    </row>
    <row r="14" spans="1:11" outlineLevel="2" x14ac:dyDescent="0.25">
      <c r="A14" s="303" t="s">
        <v>446</v>
      </c>
      <c r="B14" s="272" t="s">
        <v>447</v>
      </c>
      <c r="C14" s="243">
        <v>310</v>
      </c>
      <c r="D14" s="243" t="s">
        <v>81</v>
      </c>
      <c r="E14" s="246">
        <v>11697963</v>
      </c>
      <c r="F14" s="297">
        <v>0</v>
      </c>
      <c r="G14" s="246">
        <v>11697963</v>
      </c>
      <c r="H14" s="297">
        <v>0</v>
      </c>
      <c r="I14" s="297">
        <v>0</v>
      </c>
      <c r="J14" s="297">
        <v>0</v>
      </c>
      <c r="K14" s="246">
        <v>11697963</v>
      </c>
    </row>
    <row r="15" spans="1:11" outlineLevel="2" x14ac:dyDescent="0.25">
      <c r="A15" s="303" t="s">
        <v>446</v>
      </c>
      <c r="B15" s="272" t="s">
        <v>447</v>
      </c>
      <c r="C15" s="243">
        <v>310</v>
      </c>
      <c r="D15" s="243" t="s">
        <v>82</v>
      </c>
      <c r="E15" s="246">
        <v>11500918</v>
      </c>
      <c r="F15" s="297">
        <v>0</v>
      </c>
      <c r="G15" s="246">
        <v>11500918</v>
      </c>
      <c r="H15" s="297">
        <v>0</v>
      </c>
      <c r="I15" s="297">
        <v>0</v>
      </c>
      <c r="J15" s="297">
        <v>0</v>
      </c>
      <c r="K15" s="246">
        <v>11500918</v>
      </c>
    </row>
    <row r="16" spans="1:11" outlineLevel="2" x14ac:dyDescent="0.25">
      <c r="A16" s="303" t="s">
        <v>446</v>
      </c>
      <c r="B16" s="272" t="s">
        <v>447</v>
      </c>
      <c r="C16" s="243">
        <v>310</v>
      </c>
      <c r="D16" s="243" t="s">
        <v>83</v>
      </c>
      <c r="E16" s="246">
        <v>10737360</v>
      </c>
      <c r="F16" s="297">
        <v>0</v>
      </c>
      <c r="G16" s="246">
        <v>10737360</v>
      </c>
      <c r="H16" s="297">
        <v>0</v>
      </c>
      <c r="I16" s="297">
        <v>0</v>
      </c>
      <c r="J16" s="297">
        <v>0</v>
      </c>
      <c r="K16" s="246">
        <v>10737360</v>
      </c>
    </row>
    <row r="17" spans="1:11" outlineLevel="2" x14ac:dyDescent="0.25">
      <c r="A17" s="303" t="s">
        <v>446</v>
      </c>
      <c r="B17" s="272" t="s">
        <v>447</v>
      </c>
      <c r="C17" s="243">
        <v>310</v>
      </c>
      <c r="D17" s="243" t="s">
        <v>71</v>
      </c>
      <c r="E17" s="246">
        <v>9856349</v>
      </c>
      <c r="F17" s="297">
        <v>0</v>
      </c>
      <c r="G17" s="246">
        <v>9856349</v>
      </c>
      <c r="H17" s="297">
        <v>0</v>
      </c>
      <c r="I17" s="297">
        <v>0</v>
      </c>
      <c r="J17" s="297">
        <v>0</v>
      </c>
      <c r="K17" s="246">
        <v>9856349</v>
      </c>
    </row>
    <row r="18" spans="1:11" outlineLevel="1" x14ac:dyDescent="0.25">
      <c r="A18" s="303" t="s">
        <v>446</v>
      </c>
      <c r="B18" s="272" t="s">
        <v>447</v>
      </c>
      <c r="C18" s="243">
        <v>310</v>
      </c>
      <c r="D18" s="243" t="s">
        <v>74</v>
      </c>
      <c r="E18" s="246">
        <v>9411007</v>
      </c>
      <c r="F18" s="297">
        <v>0</v>
      </c>
      <c r="G18" s="246">
        <v>9411007</v>
      </c>
      <c r="H18" s="297">
        <v>0</v>
      </c>
      <c r="I18" s="297">
        <v>0</v>
      </c>
      <c r="J18" s="297">
        <v>0</v>
      </c>
      <c r="K18" s="246">
        <v>9411007</v>
      </c>
    </row>
    <row r="19" spans="1:11" outlineLevel="1" x14ac:dyDescent="0.25">
      <c r="A19" s="271" t="s">
        <v>448</v>
      </c>
      <c r="B19" s="74" t="s">
        <v>500</v>
      </c>
      <c r="C19" s="180" t="s">
        <v>500</v>
      </c>
      <c r="D19" s="180" t="s">
        <v>500</v>
      </c>
      <c r="E19" s="78">
        <f>SUBTOTAL(109,local310[Program
Costs])</f>
        <v>131583657</v>
      </c>
      <c r="F19" s="179">
        <f>SUBTOTAL(109,local310[Less: Net Payments and Offsets])</f>
        <v>0</v>
      </c>
      <c r="G19" s="78">
        <f>SUBTOTAL(109,local310[Accounts Payable
Balance])</f>
        <v>131583657</v>
      </c>
      <c r="H19" s="179">
        <f>SUBTOTAL(109,local310[Established
Accounts Receivable])</f>
        <v>0</v>
      </c>
      <c r="I19" s="179">
        <f>SUBTOTAL(109,local310[Less: Recovered Amount])</f>
        <v>0</v>
      </c>
      <c r="J19" s="179">
        <f>SUBTOTAL(109,local310[Accounts Receivable
Balance])</f>
        <v>0</v>
      </c>
      <c r="K19" s="78">
        <f>SUBTOTAL(109,local310[Net
Balance])</f>
        <v>131583657</v>
      </c>
    </row>
    <row r="20" spans="1:11" s="272" customFormat="1" ht="15" outlineLevel="2" x14ac:dyDescent="0.2">
      <c r="A20" s="304" t="s">
        <v>508</v>
      </c>
      <c r="C20" s="243"/>
      <c r="D20" s="243"/>
      <c r="E20" s="246"/>
      <c r="F20" s="246"/>
      <c r="G20" s="246"/>
      <c r="H20" s="246"/>
      <c r="I20" s="246"/>
      <c r="J20" s="246"/>
      <c r="K20" s="246"/>
    </row>
    <row r="21" spans="1:11" ht="50.1" customHeight="1" outlineLevel="2" x14ac:dyDescent="0.25">
      <c r="A21" s="176" t="s">
        <v>99</v>
      </c>
      <c r="B21" s="176" t="s">
        <v>1</v>
      </c>
      <c r="C21" s="176" t="s">
        <v>195</v>
      </c>
      <c r="D21" s="176" t="s">
        <v>98</v>
      </c>
      <c r="E21" s="210" t="s">
        <v>188</v>
      </c>
      <c r="F21" s="239" t="s">
        <v>442</v>
      </c>
      <c r="G21" s="210" t="s">
        <v>528</v>
      </c>
      <c r="H21" s="210" t="s">
        <v>529</v>
      </c>
      <c r="I21" s="210" t="s">
        <v>197</v>
      </c>
      <c r="J21" s="210" t="s">
        <v>530</v>
      </c>
      <c r="K21" s="210" t="s">
        <v>196</v>
      </c>
    </row>
    <row r="22" spans="1:11" outlineLevel="2" x14ac:dyDescent="0.25">
      <c r="A22" s="303" t="s">
        <v>449</v>
      </c>
      <c r="B22" s="272" t="s">
        <v>450</v>
      </c>
      <c r="C22" s="243">
        <v>306</v>
      </c>
      <c r="D22" s="243" t="s">
        <v>84</v>
      </c>
      <c r="E22" s="246">
        <v>57816</v>
      </c>
      <c r="F22" s="297">
        <v>0</v>
      </c>
      <c r="G22" s="246">
        <v>57816</v>
      </c>
      <c r="H22" s="297">
        <v>0</v>
      </c>
      <c r="I22" s="297">
        <v>0</v>
      </c>
      <c r="J22" s="297">
        <v>0</v>
      </c>
      <c r="K22" s="246">
        <v>57816</v>
      </c>
    </row>
    <row r="23" spans="1:11" outlineLevel="2" x14ac:dyDescent="0.25">
      <c r="A23" s="303" t="s">
        <v>449</v>
      </c>
      <c r="B23" s="272" t="s">
        <v>450</v>
      </c>
      <c r="C23" s="243">
        <v>306</v>
      </c>
      <c r="D23" s="243" t="s">
        <v>87</v>
      </c>
      <c r="E23" s="246">
        <v>297792</v>
      </c>
      <c r="F23" s="297">
        <v>0</v>
      </c>
      <c r="G23" s="246">
        <v>297792</v>
      </c>
      <c r="H23" s="297">
        <v>0</v>
      </c>
      <c r="I23" s="297">
        <v>0</v>
      </c>
      <c r="J23" s="297">
        <v>0</v>
      </c>
      <c r="K23" s="246">
        <v>297792</v>
      </c>
    </row>
    <row r="24" spans="1:11" outlineLevel="2" x14ac:dyDescent="0.25">
      <c r="A24" s="303" t="s">
        <v>449</v>
      </c>
      <c r="B24" s="272" t="s">
        <v>450</v>
      </c>
      <c r="C24" s="243">
        <v>306</v>
      </c>
      <c r="D24" s="243" t="s">
        <v>76</v>
      </c>
      <c r="E24" s="246">
        <v>263698</v>
      </c>
      <c r="F24" s="297">
        <v>0</v>
      </c>
      <c r="G24" s="246">
        <v>263698</v>
      </c>
      <c r="H24" s="297">
        <v>0</v>
      </c>
      <c r="I24" s="297">
        <v>0</v>
      </c>
      <c r="J24" s="297">
        <v>0</v>
      </c>
      <c r="K24" s="246">
        <v>263698</v>
      </c>
    </row>
    <row r="25" spans="1:11" outlineLevel="2" x14ac:dyDescent="0.25">
      <c r="A25" s="303" t="s">
        <v>449</v>
      </c>
      <c r="B25" s="272" t="s">
        <v>450</v>
      </c>
      <c r="C25" s="243">
        <v>306</v>
      </c>
      <c r="D25" s="243" t="s">
        <v>79</v>
      </c>
      <c r="E25" s="246">
        <v>275387</v>
      </c>
      <c r="F25" s="297">
        <v>0</v>
      </c>
      <c r="G25" s="246">
        <v>275387</v>
      </c>
      <c r="H25" s="297">
        <v>0</v>
      </c>
      <c r="I25" s="297">
        <v>0</v>
      </c>
      <c r="J25" s="297">
        <v>0</v>
      </c>
      <c r="K25" s="246">
        <v>275387</v>
      </c>
    </row>
    <row r="26" spans="1:11" outlineLevel="2" x14ac:dyDescent="0.25">
      <c r="A26" s="303" t="s">
        <v>449</v>
      </c>
      <c r="B26" s="272" t="s">
        <v>450</v>
      </c>
      <c r="C26" s="243">
        <v>306</v>
      </c>
      <c r="D26" s="243" t="s">
        <v>80</v>
      </c>
      <c r="E26" s="246">
        <v>253715</v>
      </c>
      <c r="F26" s="297">
        <v>0</v>
      </c>
      <c r="G26" s="246">
        <v>253715</v>
      </c>
      <c r="H26" s="297">
        <v>0</v>
      </c>
      <c r="I26" s="297">
        <v>0</v>
      </c>
      <c r="J26" s="297">
        <v>0</v>
      </c>
      <c r="K26" s="246">
        <v>253715</v>
      </c>
    </row>
    <row r="27" spans="1:11" outlineLevel="2" x14ac:dyDescent="0.25">
      <c r="A27" s="303" t="s">
        <v>449</v>
      </c>
      <c r="B27" s="272" t="s">
        <v>450</v>
      </c>
      <c r="C27" s="243">
        <v>306</v>
      </c>
      <c r="D27" s="243" t="s">
        <v>81</v>
      </c>
      <c r="E27" s="246">
        <v>228442</v>
      </c>
      <c r="F27" s="297">
        <v>0</v>
      </c>
      <c r="G27" s="246">
        <v>228442</v>
      </c>
      <c r="H27" s="297">
        <v>0</v>
      </c>
      <c r="I27" s="297">
        <v>0</v>
      </c>
      <c r="J27" s="297">
        <v>0</v>
      </c>
      <c r="K27" s="246">
        <v>228442</v>
      </c>
    </row>
    <row r="28" spans="1:11" outlineLevel="2" x14ac:dyDescent="0.25">
      <c r="A28" s="303" t="s">
        <v>449</v>
      </c>
      <c r="B28" s="272" t="s">
        <v>450</v>
      </c>
      <c r="C28" s="243">
        <v>306</v>
      </c>
      <c r="D28" s="243" t="s">
        <v>82</v>
      </c>
      <c r="E28" s="246">
        <v>222536</v>
      </c>
      <c r="F28" s="297">
        <v>0</v>
      </c>
      <c r="G28" s="246">
        <v>222536</v>
      </c>
      <c r="H28" s="297">
        <v>0</v>
      </c>
      <c r="I28" s="297">
        <v>0</v>
      </c>
      <c r="J28" s="297">
        <v>0</v>
      </c>
      <c r="K28" s="246">
        <v>222536</v>
      </c>
    </row>
    <row r="29" spans="1:11" outlineLevel="2" x14ac:dyDescent="0.25">
      <c r="A29" s="303" t="s">
        <v>449</v>
      </c>
      <c r="B29" s="272" t="s">
        <v>450</v>
      </c>
      <c r="C29" s="243">
        <v>306</v>
      </c>
      <c r="D29" s="243" t="s">
        <v>83</v>
      </c>
      <c r="E29" s="246">
        <v>198432</v>
      </c>
      <c r="F29" s="297">
        <v>0</v>
      </c>
      <c r="G29" s="246">
        <v>198432</v>
      </c>
      <c r="H29" s="297">
        <v>0</v>
      </c>
      <c r="I29" s="297">
        <v>0</v>
      </c>
      <c r="J29" s="297">
        <v>0</v>
      </c>
      <c r="K29" s="246">
        <v>198432</v>
      </c>
    </row>
    <row r="30" spans="1:11" outlineLevel="1" x14ac:dyDescent="0.25">
      <c r="A30" s="303" t="s">
        <v>449</v>
      </c>
      <c r="B30" s="272" t="s">
        <v>450</v>
      </c>
      <c r="C30" s="243">
        <v>306</v>
      </c>
      <c r="D30" s="243" t="s">
        <v>71</v>
      </c>
      <c r="E30" s="246">
        <v>159800</v>
      </c>
      <c r="F30" s="297">
        <v>0</v>
      </c>
      <c r="G30" s="246">
        <v>159800</v>
      </c>
      <c r="H30" s="297">
        <v>0</v>
      </c>
      <c r="I30" s="297">
        <v>0</v>
      </c>
      <c r="J30" s="297">
        <v>0</v>
      </c>
      <c r="K30" s="246">
        <v>159800</v>
      </c>
    </row>
    <row r="31" spans="1:11" outlineLevel="2" x14ac:dyDescent="0.25">
      <c r="A31" s="303" t="s">
        <v>449</v>
      </c>
      <c r="B31" s="272" t="s">
        <v>450</v>
      </c>
      <c r="C31" s="243">
        <v>306</v>
      </c>
      <c r="D31" s="243" t="s">
        <v>74</v>
      </c>
      <c r="E31" s="246">
        <v>51990</v>
      </c>
      <c r="F31" s="297">
        <v>0</v>
      </c>
      <c r="G31" s="246">
        <v>51990</v>
      </c>
      <c r="H31" s="297">
        <v>0</v>
      </c>
      <c r="I31" s="297">
        <v>0</v>
      </c>
      <c r="J31" s="297">
        <v>0</v>
      </c>
      <c r="K31" s="246">
        <v>51990</v>
      </c>
    </row>
    <row r="32" spans="1:11" outlineLevel="2" x14ac:dyDescent="0.25">
      <c r="A32" s="271" t="s">
        <v>451</v>
      </c>
      <c r="B32" s="74" t="s">
        <v>500</v>
      </c>
      <c r="C32" s="180" t="s">
        <v>500</v>
      </c>
      <c r="D32" s="180" t="s">
        <v>500</v>
      </c>
      <c r="E32" s="78">
        <f>SUBTOTAL(109,locals306[Program
Costs])</f>
        <v>2009608</v>
      </c>
      <c r="F32" s="179">
        <f>SUBTOTAL(109,locals306[Less: Net Payments and Offsets])</f>
        <v>0</v>
      </c>
      <c r="G32" s="78">
        <f>SUBTOTAL(109,locals306[Accounts Payable
Balance])</f>
        <v>2009608</v>
      </c>
      <c r="H32" s="179">
        <f>SUBTOTAL(109,locals306[Established
Accounts Receivable])</f>
        <v>0</v>
      </c>
      <c r="I32" s="179">
        <f>SUBTOTAL(109,locals306[Less: Recovered Amount])</f>
        <v>0</v>
      </c>
      <c r="J32" s="179">
        <f>SUBTOTAL(109,locals306[Accounts Receivable
Balance])</f>
        <v>0</v>
      </c>
      <c r="K32" s="78">
        <f>SUBTOTAL(109,locals306[Net
Balance])</f>
        <v>2009608</v>
      </c>
    </row>
    <row r="33" spans="1:11" s="272" customFormat="1" ht="15" outlineLevel="2" x14ac:dyDescent="0.2">
      <c r="A33" s="304" t="s">
        <v>508</v>
      </c>
      <c r="C33" s="243"/>
      <c r="D33" s="243"/>
      <c r="E33" s="246"/>
      <c r="F33" s="246"/>
      <c r="G33" s="246"/>
      <c r="H33" s="246"/>
      <c r="I33" s="246"/>
      <c r="J33" s="246"/>
      <c r="K33" s="246"/>
    </row>
    <row r="34" spans="1:11" ht="50.1" customHeight="1" outlineLevel="2" x14ac:dyDescent="0.25">
      <c r="A34" s="176" t="s">
        <v>99</v>
      </c>
      <c r="B34" s="176" t="s">
        <v>1</v>
      </c>
      <c r="C34" s="176" t="s">
        <v>195</v>
      </c>
      <c r="D34" s="176" t="s">
        <v>98</v>
      </c>
      <c r="E34" s="210" t="s">
        <v>188</v>
      </c>
      <c r="F34" s="239" t="s">
        <v>442</v>
      </c>
      <c r="G34" s="210" t="s">
        <v>528</v>
      </c>
      <c r="H34" s="210" t="s">
        <v>529</v>
      </c>
      <c r="I34" s="210" t="s">
        <v>197</v>
      </c>
      <c r="J34" s="210" t="s">
        <v>530</v>
      </c>
      <c r="K34" s="210" t="s">
        <v>196</v>
      </c>
    </row>
    <row r="35" spans="1:11" outlineLevel="2" x14ac:dyDescent="0.25">
      <c r="A35" s="303" t="s">
        <v>452</v>
      </c>
      <c r="B35" s="272" t="s">
        <v>453</v>
      </c>
      <c r="C35" s="243">
        <v>322</v>
      </c>
      <c r="D35" s="243" t="s">
        <v>184</v>
      </c>
      <c r="E35" s="246">
        <v>1007989</v>
      </c>
      <c r="F35" s="297">
        <v>0</v>
      </c>
      <c r="G35" s="246">
        <v>1007989</v>
      </c>
      <c r="H35" s="297">
        <v>0</v>
      </c>
      <c r="I35" s="297">
        <v>0</v>
      </c>
      <c r="J35" s="297">
        <v>0</v>
      </c>
      <c r="K35" s="246">
        <v>1007989</v>
      </c>
    </row>
    <row r="36" spans="1:11" outlineLevel="2" x14ac:dyDescent="0.25">
      <c r="A36" s="303" t="s">
        <v>452</v>
      </c>
      <c r="B36" s="272" t="s">
        <v>453</v>
      </c>
      <c r="C36" s="243">
        <v>322</v>
      </c>
      <c r="D36" s="243" t="s">
        <v>185</v>
      </c>
      <c r="E36" s="246">
        <v>1255634</v>
      </c>
      <c r="F36" s="297">
        <v>0</v>
      </c>
      <c r="G36" s="246">
        <v>1255634</v>
      </c>
      <c r="H36" s="297">
        <v>0</v>
      </c>
      <c r="I36" s="297">
        <v>0</v>
      </c>
      <c r="J36" s="297">
        <v>0</v>
      </c>
      <c r="K36" s="246">
        <v>1255634</v>
      </c>
    </row>
    <row r="37" spans="1:11" outlineLevel="2" x14ac:dyDescent="0.25">
      <c r="A37" s="303" t="s">
        <v>452</v>
      </c>
      <c r="B37" s="272" t="s">
        <v>453</v>
      </c>
      <c r="C37" s="243">
        <v>322</v>
      </c>
      <c r="D37" s="243" t="s">
        <v>84</v>
      </c>
      <c r="E37" s="246">
        <v>1272627</v>
      </c>
      <c r="F37" s="297">
        <v>0</v>
      </c>
      <c r="G37" s="246">
        <v>1272627</v>
      </c>
      <c r="H37" s="297">
        <v>0</v>
      </c>
      <c r="I37" s="297">
        <v>0</v>
      </c>
      <c r="J37" s="297">
        <v>0</v>
      </c>
      <c r="K37" s="246">
        <v>1272627</v>
      </c>
    </row>
    <row r="38" spans="1:11" outlineLevel="2" x14ac:dyDescent="0.25">
      <c r="A38" s="303" t="s">
        <v>452</v>
      </c>
      <c r="B38" s="272" t="s">
        <v>453</v>
      </c>
      <c r="C38" s="243">
        <v>322</v>
      </c>
      <c r="D38" s="243" t="s">
        <v>87</v>
      </c>
      <c r="E38" s="246">
        <v>1083952</v>
      </c>
      <c r="F38" s="297">
        <v>0</v>
      </c>
      <c r="G38" s="246">
        <v>1083952</v>
      </c>
      <c r="H38" s="297">
        <v>0</v>
      </c>
      <c r="I38" s="297">
        <v>0</v>
      </c>
      <c r="J38" s="297">
        <v>0</v>
      </c>
      <c r="K38" s="246">
        <v>1083952</v>
      </c>
    </row>
    <row r="39" spans="1:11" outlineLevel="2" x14ac:dyDescent="0.25">
      <c r="A39" s="303" t="s">
        <v>452</v>
      </c>
      <c r="B39" s="272" t="s">
        <v>453</v>
      </c>
      <c r="C39" s="243">
        <v>322</v>
      </c>
      <c r="D39" s="243" t="s">
        <v>76</v>
      </c>
      <c r="E39" s="246">
        <v>1106027</v>
      </c>
      <c r="F39" s="297">
        <v>0</v>
      </c>
      <c r="G39" s="246">
        <v>1106027</v>
      </c>
      <c r="H39" s="297">
        <v>0</v>
      </c>
      <c r="I39" s="297">
        <v>0</v>
      </c>
      <c r="J39" s="297">
        <v>0</v>
      </c>
      <c r="K39" s="246">
        <v>1106027</v>
      </c>
    </row>
    <row r="40" spans="1:11" outlineLevel="2" x14ac:dyDescent="0.25">
      <c r="A40" s="303" t="s">
        <v>452</v>
      </c>
      <c r="B40" s="272" t="s">
        <v>453</v>
      </c>
      <c r="C40" s="243">
        <v>322</v>
      </c>
      <c r="D40" s="243" t="s">
        <v>79</v>
      </c>
      <c r="E40" s="246">
        <v>1058326</v>
      </c>
      <c r="F40" s="297">
        <v>0</v>
      </c>
      <c r="G40" s="246">
        <v>1058326</v>
      </c>
      <c r="H40" s="297">
        <v>0</v>
      </c>
      <c r="I40" s="297">
        <v>0</v>
      </c>
      <c r="J40" s="297">
        <v>0</v>
      </c>
      <c r="K40" s="246">
        <v>1058326</v>
      </c>
    </row>
    <row r="41" spans="1:11" outlineLevel="2" x14ac:dyDescent="0.25">
      <c r="A41" s="303" t="s">
        <v>452</v>
      </c>
      <c r="B41" s="272" t="s">
        <v>453</v>
      </c>
      <c r="C41" s="243">
        <v>322</v>
      </c>
      <c r="D41" s="243" t="s">
        <v>80</v>
      </c>
      <c r="E41" s="246">
        <v>983574</v>
      </c>
      <c r="F41" s="297">
        <v>0</v>
      </c>
      <c r="G41" s="246">
        <v>983574</v>
      </c>
      <c r="H41" s="297">
        <v>0</v>
      </c>
      <c r="I41" s="297">
        <v>0</v>
      </c>
      <c r="J41" s="297">
        <v>0</v>
      </c>
      <c r="K41" s="246">
        <v>983574</v>
      </c>
    </row>
    <row r="42" spans="1:11" outlineLevel="2" x14ac:dyDescent="0.25">
      <c r="A42" s="303" t="s">
        <v>452</v>
      </c>
      <c r="B42" s="272" t="s">
        <v>453</v>
      </c>
      <c r="C42" s="243">
        <v>322</v>
      </c>
      <c r="D42" s="243" t="s">
        <v>81</v>
      </c>
      <c r="E42" s="246">
        <v>963520</v>
      </c>
      <c r="F42" s="297">
        <v>0</v>
      </c>
      <c r="G42" s="246">
        <v>963520</v>
      </c>
      <c r="H42" s="297">
        <v>0</v>
      </c>
      <c r="I42" s="297">
        <v>0</v>
      </c>
      <c r="J42" s="297">
        <v>0</v>
      </c>
      <c r="K42" s="246">
        <v>963520</v>
      </c>
    </row>
    <row r="43" spans="1:11" outlineLevel="2" x14ac:dyDescent="0.25">
      <c r="A43" s="303" t="s">
        <v>452</v>
      </c>
      <c r="B43" s="272" t="s">
        <v>453</v>
      </c>
      <c r="C43" s="243">
        <v>322</v>
      </c>
      <c r="D43" s="243" t="s">
        <v>82</v>
      </c>
      <c r="E43" s="246">
        <v>902976</v>
      </c>
      <c r="F43" s="297">
        <v>0</v>
      </c>
      <c r="G43" s="246">
        <v>902976</v>
      </c>
      <c r="H43" s="297">
        <v>0</v>
      </c>
      <c r="I43" s="297">
        <v>0</v>
      </c>
      <c r="J43" s="297">
        <v>0</v>
      </c>
      <c r="K43" s="246">
        <v>902976</v>
      </c>
    </row>
    <row r="44" spans="1:11" outlineLevel="1" x14ac:dyDescent="0.25">
      <c r="A44" s="303" t="s">
        <v>452</v>
      </c>
      <c r="B44" s="272" t="s">
        <v>453</v>
      </c>
      <c r="C44" s="243">
        <v>322</v>
      </c>
      <c r="D44" s="243" t="s">
        <v>83</v>
      </c>
      <c r="E44" s="246">
        <v>947582</v>
      </c>
      <c r="F44" s="297">
        <v>0</v>
      </c>
      <c r="G44" s="246">
        <v>947582</v>
      </c>
      <c r="H44" s="297">
        <v>0</v>
      </c>
      <c r="I44" s="297">
        <v>0</v>
      </c>
      <c r="J44" s="297">
        <v>0</v>
      </c>
      <c r="K44" s="246">
        <v>947582</v>
      </c>
    </row>
    <row r="45" spans="1:11" ht="14.45" customHeight="1" outlineLevel="2" x14ac:dyDescent="0.25">
      <c r="A45" s="303" t="s">
        <v>452</v>
      </c>
      <c r="B45" s="272" t="s">
        <v>453</v>
      </c>
      <c r="C45" s="243">
        <v>322</v>
      </c>
      <c r="D45" s="243" t="s">
        <v>71</v>
      </c>
      <c r="E45" s="246">
        <v>876657</v>
      </c>
      <c r="F45" s="297">
        <v>0</v>
      </c>
      <c r="G45" s="246">
        <v>876657</v>
      </c>
      <c r="H45" s="297">
        <v>0</v>
      </c>
      <c r="I45" s="297">
        <v>0</v>
      </c>
      <c r="J45" s="297">
        <v>0</v>
      </c>
      <c r="K45" s="246">
        <v>876657</v>
      </c>
    </row>
    <row r="46" spans="1:11" ht="14.45" customHeight="1" outlineLevel="2" x14ac:dyDescent="0.25">
      <c r="A46" s="303" t="s">
        <v>452</v>
      </c>
      <c r="B46" s="272" t="s">
        <v>453</v>
      </c>
      <c r="C46" s="243">
        <v>322</v>
      </c>
      <c r="D46" s="243" t="s">
        <v>74</v>
      </c>
      <c r="E46" s="246">
        <v>468430</v>
      </c>
      <c r="F46" s="297">
        <v>0</v>
      </c>
      <c r="G46" s="246">
        <v>468430</v>
      </c>
      <c r="H46" s="297">
        <v>0</v>
      </c>
      <c r="I46" s="297">
        <v>0</v>
      </c>
      <c r="J46" s="297">
        <v>0</v>
      </c>
      <c r="K46" s="246">
        <v>468430</v>
      </c>
    </row>
    <row r="47" spans="1:11" ht="14.45" customHeight="1" outlineLevel="2" x14ac:dyDescent="0.25">
      <c r="A47" s="271" t="s">
        <v>454</v>
      </c>
      <c r="B47" s="74" t="s">
        <v>500</v>
      </c>
      <c r="C47" s="74" t="s">
        <v>500</v>
      </c>
      <c r="D47" s="74" t="s">
        <v>500</v>
      </c>
      <c r="E47" s="78">
        <f>SUBTOTAL(109,locals322[Program
Costs])</f>
        <v>11927294</v>
      </c>
      <c r="F47" s="179">
        <f>SUBTOTAL(109,locals322[Less: Net Payments and Offsets])</f>
        <v>0</v>
      </c>
      <c r="G47" s="78">
        <f>SUBTOTAL(109,locals322[Accounts Payable
Balance])</f>
        <v>11927294</v>
      </c>
      <c r="H47" s="179">
        <f>SUBTOTAL(109,locals322[Established
Accounts Receivable])</f>
        <v>0</v>
      </c>
      <c r="I47" s="179">
        <f>SUBTOTAL(109,locals322[Less: Recovered Amount])</f>
        <v>0</v>
      </c>
      <c r="J47" s="179">
        <f>SUBTOTAL(109,locals322[Accounts Receivable
Balance])</f>
        <v>0</v>
      </c>
      <c r="K47" s="78">
        <f>SUBTOTAL(109,locals322[Net
Balance])</f>
        <v>11927294</v>
      </c>
    </row>
    <row r="48" spans="1:11" s="272" customFormat="1" ht="14.45" customHeight="1" outlineLevel="2" x14ac:dyDescent="0.2">
      <c r="A48" s="304" t="s">
        <v>508</v>
      </c>
      <c r="C48" s="243"/>
      <c r="D48" s="243"/>
      <c r="E48" s="246"/>
      <c r="F48" s="246"/>
      <c r="G48" s="246"/>
      <c r="H48" s="246"/>
      <c r="I48" s="246"/>
      <c r="J48" s="246"/>
      <c r="K48" s="246"/>
    </row>
    <row r="49" spans="1:11" ht="50.1" customHeight="1" outlineLevel="2" x14ac:dyDescent="0.25">
      <c r="A49" s="176" t="s">
        <v>99</v>
      </c>
      <c r="B49" s="176" t="s">
        <v>1</v>
      </c>
      <c r="C49" s="176" t="s">
        <v>195</v>
      </c>
      <c r="D49" s="176" t="s">
        <v>98</v>
      </c>
      <c r="E49" s="210" t="s">
        <v>188</v>
      </c>
      <c r="F49" s="239" t="s">
        <v>442</v>
      </c>
      <c r="G49" s="210" t="s">
        <v>528</v>
      </c>
      <c r="H49" s="210" t="s">
        <v>529</v>
      </c>
      <c r="I49" s="210" t="s">
        <v>197</v>
      </c>
      <c r="J49" s="210" t="s">
        <v>530</v>
      </c>
      <c r="K49" s="210" t="s">
        <v>196</v>
      </c>
    </row>
    <row r="50" spans="1:11" ht="14.45" customHeight="1" outlineLevel="2" x14ac:dyDescent="0.25">
      <c r="A50" s="303" t="s">
        <v>455</v>
      </c>
      <c r="B50" s="272" t="s">
        <v>456</v>
      </c>
      <c r="C50" s="243">
        <v>293</v>
      </c>
      <c r="D50" s="243" t="s">
        <v>87</v>
      </c>
      <c r="E50" s="246">
        <v>4732</v>
      </c>
      <c r="F50" s="297">
        <v>0</v>
      </c>
      <c r="G50" s="246">
        <v>4732</v>
      </c>
      <c r="H50" s="297">
        <v>0</v>
      </c>
      <c r="I50" s="297">
        <v>0</v>
      </c>
      <c r="J50" s="297">
        <v>0</v>
      </c>
      <c r="K50" s="246">
        <v>4732</v>
      </c>
    </row>
    <row r="51" spans="1:11" ht="14.45" customHeight="1" outlineLevel="2" x14ac:dyDescent="0.25">
      <c r="A51" s="303" t="s">
        <v>455</v>
      </c>
      <c r="B51" s="272" t="s">
        <v>456</v>
      </c>
      <c r="C51" s="243">
        <v>293</v>
      </c>
      <c r="D51" s="243" t="s">
        <v>76</v>
      </c>
      <c r="E51" s="246">
        <v>31906</v>
      </c>
      <c r="F51" s="297">
        <v>0</v>
      </c>
      <c r="G51" s="246">
        <v>31906</v>
      </c>
      <c r="H51" s="297">
        <v>0</v>
      </c>
      <c r="I51" s="297">
        <v>0</v>
      </c>
      <c r="J51" s="297">
        <v>0</v>
      </c>
      <c r="K51" s="246">
        <v>31906</v>
      </c>
    </row>
    <row r="52" spans="1:11" ht="14.45" customHeight="1" outlineLevel="2" x14ac:dyDescent="0.25">
      <c r="A52" s="303" t="s">
        <v>455</v>
      </c>
      <c r="B52" s="272" t="s">
        <v>456</v>
      </c>
      <c r="C52" s="243">
        <v>293</v>
      </c>
      <c r="D52" s="243" t="s">
        <v>79</v>
      </c>
      <c r="E52" s="246">
        <v>27775</v>
      </c>
      <c r="F52" s="297">
        <v>0</v>
      </c>
      <c r="G52" s="246">
        <v>27775</v>
      </c>
      <c r="H52" s="297">
        <v>0</v>
      </c>
      <c r="I52" s="297">
        <v>0</v>
      </c>
      <c r="J52" s="297">
        <v>0</v>
      </c>
      <c r="K52" s="246">
        <v>27775</v>
      </c>
    </row>
    <row r="53" spans="1:11" ht="14.45" customHeight="1" outlineLevel="2" x14ac:dyDescent="0.25">
      <c r="A53" s="303" t="s">
        <v>455</v>
      </c>
      <c r="B53" s="272" t="s">
        <v>456</v>
      </c>
      <c r="C53" s="243">
        <v>293</v>
      </c>
      <c r="D53" s="243" t="s">
        <v>80</v>
      </c>
      <c r="E53" s="246">
        <v>17343</v>
      </c>
      <c r="F53" s="297">
        <v>0</v>
      </c>
      <c r="G53" s="246">
        <v>17343</v>
      </c>
      <c r="H53" s="297">
        <v>0</v>
      </c>
      <c r="I53" s="297">
        <v>0</v>
      </c>
      <c r="J53" s="297">
        <v>0</v>
      </c>
      <c r="K53" s="246">
        <v>17343</v>
      </c>
    </row>
    <row r="54" spans="1:11" ht="14.45" customHeight="1" outlineLevel="2" x14ac:dyDescent="0.25">
      <c r="A54" s="303" t="s">
        <v>455</v>
      </c>
      <c r="B54" s="272" t="s">
        <v>456</v>
      </c>
      <c r="C54" s="243">
        <v>293</v>
      </c>
      <c r="D54" s="243" t="s">
        <v>81</v>
      </c>
      <c r="E54" s="246">
        <v>14818</v>
      </c>
      <c r="F54" s="297">
        <v>0</v>
      </c>
      <c r="G54" s="246">
        <v>14818</v>
      </c>
      <c r="H54" s="297">
        <v>0</v>
      </c>
      <c r="I54" s="297">
        <v>0</v>
      </c>
      <c r="J54" s="297">
        <v>0</v>
      </c>
      <c r="K54" s="246">
        <v>14818</v>
      </c>
    </row>
    <row r="55" spans="1:11" ht="14.45" customHeight="1" outlineLevel="2" x14ac:dyDescent="0.25">
      <c r="A55" s="303" t="s">
        <v>455</v>
      </c>
      <c r="B55" s="272" t="s">
        <v>456</v>
      </c>
      <c r="C55" s="243">
        <v>293</v>
      </c>
      <c r="D55" s="243" t="s">
        <v>82</v>
      </c>
      <c r="E55" s="246">
        <v>9385</v>
      </c>
      <c r="F55" s="297">
        <v>0</v>
      </c>
      <c r="G55" s="246">
        <v>9385</v>
      </c>
      <c r="H55" s="297">
        <v>0</v>
      </c>
      <c r="I55" s="297">
        <v>0</v>
      </c>
      <c r="J55" s="297">
        <v>0</v>
      </c>
      <c r="K55" s="246">
        <v>9385</v>
      </c>
    </row>
    <row r="56" spans="1:11" outlineLevel="1" x14ac:dyDescent="0.25">
      <c r="A56" s="303" t="s">
        <v>455</v>
      </c>
      <c r="B56" s="272" t="s">
        <v>456</v>
      </c>
      <c r="C56" s="243">
        <v>293</v>
      </c>
      <c r="D56" s="243" t="s">
        <v>83</v>
      </c>
      <c r="E56" s="246">
        <v>10431</v>
      </c>
      <c r="F56" s="297">
        <v>0</v>
      </c>
      <c r="G56" s="246">
        <v>10431</v>
      </c>
      <c r="H56" s="297">
        <v>0</v>
      </c>
      <c r="I56" s="297">
        <v>0</v>
      </c>
      <c r="J56" s="297">
        <v>0</v>
      </c>
      <c r="K56" s="246">
        <v>10431</v>
      </c>
    </row>
    <row r="57" spans="1:11" outlineLevel="2" x14ac:dyDescent="0.25">
      <c r="A57" s="303" t="s">
        <v>455</v>
      </c>
      <c r="B57" s="272" t="s">
        <v>456</v>
      </c>
      <c r="C57" s="243">
        <v>293</v>
      </c>
      <c r="D57" s="243" t="s">
        <v>71</v>
      </c>
      <c r="E57" s="246">
        <v>12410</v>
      </c>
      <c r="F57" s="297">
        <v>0</v>
      </c>
      <c r="G57" s="246">
        <v>12410</v>
      </c>
      <c r="H57" s="297">
        <v>0</v>
      </c>
      <c r="I57" s="297">
        <v>0</v>
      </c>
      <c r="J57" s="297">
        <v>0</v>
      </c>
      <c r="K57" s="246">
        <v>12410</v>
      </c>
    </row>
    <row r="58" spans="1:11" outlineLevel="2" x14ac:dyDescent="0.25">
      <c r="A58" s="303" t="s">
        <v>455</v>
      </c>
      <c r="B58" s="272" t="s">
        <v>456</v>
      </c>
      <c r="C58" s="243">
        <v>293</v>
      </c>
      <c r="D58" s="243" t="s">
        <v>74</v>
      </c>
      <c r="E58" s="246">
        <v>15208</v>
      </c>
      <c r="F58" s="297">
        <v>0</v>
      </c>
      <c r="G58" s="246">
        <v>15208</v>
      </c>
      <c r="H58" s="297">
        <v>0</v>
      </c>
      <c r="I58" s="297">
        <v>0</v>
      </c>
      <c r="J58" s="297">
        <v>0</v>
      </c>
      <c r="K58" s="246">
        <v>15208</v>
      </c>
    </row>
    <row r="59" spans="1:11" outlineLevel="2" x14ac:dyDescent="0.25">
      <c r="A59" s="303" t="s">
        <v>455</v>
      </c>
      <c r="B59" s="272" t="s">
        <v>456</v>
      </c>
      <c r="C59" s="243">
        <v>293</v>
      </c>
      <c r="D59" s="243" t="s">
        <v>75</v>
      </c>
      <c r="E59" s="246">
        <v>13248</v>
      </c>
      <c r="F59" s="297">
        <v>0</v>
      </c>
      <c r="G59" s="246">
        <v>13248</v>
      </c>
      <c r="H59" s="297">
        <v>0</v>
      </c>
      <c r="I59" s="297">
        <v>0</v>
      </c>
      <c r="J59" s="297">
        <v>0</v>
      </c>
      <c r="K59" s="246">
        <v>13248</v>
      </c>
    </row>
    <row r="60" spans="1:11" outlineLevel="2" x14ac:dyDescent="0.25">
      <c r="A60" s="271" t="s">
        <v>457</v>
      </c>
      <c r="B60" s="74" t="s">
        <v>500</v>
      </c>
      <c r="C60" s="180" t="s">
        <v>500</v>
      </c>
      <c r="D60" s="180" t="s">
        <v>500</v>
      </c>
      <c r="E60" s="78">
        <f>SUBTOTAL(109,locals293[Program
Costs])</f>
        <v>157256</v>
      </c>
      <c r="F60" s="179">
        <f>SUBTOTAL(109,locals293[Less: Net Payments and Offsets])</f>
        <v>0</v>
      </c>
      <c r="G60" s="78">
        <f>SUBTOTAL(109,locals293[Accounts Payable
Balance])</f>
        <v>157256</v>
      </c>
      <c r="H60" s="179">
        <f>SUBTOTAL(109,locals293[Established
Accounts Receivable])</f>
        <v>0</v>
      </c>
      <c r="I60" s="179">
        <f>SUBTOTAL(109,locals293[Less: Recovered Amount])</f>
        <v>0</v>
      </c>
      <c r="J60" s="179">
        <f>SUBTOTAL(109,locals293[Accounts Receivable
Balance])</f>
        <v>0</v>
      </c>
      <c r="K60" s="78">
        <f>SUBTOTAL(109,locals293[Net
Balance])</f>
        <v>157256</v>
      </c>
    </row>
    <row r="61" spans="1:11" s="272" customFormat="1" ht="15" outlineLevel="2" x14ac:dyDescent="0.2">
      <c r="A61" s="304" t="s">
        <v>508</v>
      </c>
      <c r="C61" s="243"/>
      <c r="D61" s="243"/>
      <c r="E61" s="246"/>
      <c r="F61" s="246"/>
      <c r="G61" s="246"/>
      <c r="H61" s="246"/>
      <c r="I61" s="246"/>
      <c r="J61" s="246"/>
      <c r="K61" s="246"/>
    </row>
    <row r="62" spans="1:11" ht="50.1" customHeight="1" outlineLevel="2" x14ac:dyDescent="0.25">
      <c r="A62" s="176" t="s">
        <v>99</v>
      </c>
      <c r="B62" s="176" t="s">
        <v>1</v>
      </c>
      <c r="C62" s="176" t="s">
        <v>195</v>
      </c>
      <c r="D62" s="176" t="s">
        <v>98</v>
      </c>
      <c r="E62" s="210" t="s">
        <v>188</v>
      </c>
      <c r="F62" s="239" t="s">
        <v>442</v>
      </c>
      <c r="G62" s="210" t="s">
        <v>528</v>
      </c>
      <c r="H62" s="210" t="s">
        <v>529</v>
      </c>
      <c r="I62" s="210" t="s">
        <v>197</v>
      </c>
      <c r="J62" s="210" t="s">
        <v>530</v>
      </c>
      <c r="K62" s="210" t="s">
        <v>196</v>
      </c>
    </row>
    <row r="63" spans="1:11" outlineLevel="2" x14ac:dyDescent="0.25">
      <c r="A63" s="303" t="s">
        <v>458</v>
      </c>
      <c r="B63" s="272" t="s">
        <v>459</v>
      </c>
      <c r="C63" s="243">
        <v>321</v>
      </c>
      <c r="D63" s="243" t="s">
        <v>184</v>
      </c>
      <c r="E63" s="246">
        <v>9430557</v>
      </c>
      <c r="F63" s="297">
        <v>0</v>
      </c>
      <c r="G63" s="246">
        <v>9430557</v>
      </c>
      <c r="H63" s="297">
        <v>0</v>
      </c>
      <c r="I63" s="297">
        <v>0</v>
      </c>
      <c r="J63" s="297">
        <v>0</v>
      </c>
      <c r="K63" s="246">
        <v>9430557</v>
      </c>
    </row>
    <row r="64" spans="1:11" outlineLevel="2" x14ac:dyDescent="0.25">
      <c r="A64" s="303" t="s">
        <v>458</v>
      </c>
      <c r="B64" s="272" t="s">
        <v>459</v>
      </c>
      <c r="C64" s="243">
        <v>321</v>
      </c>
      <c r="D64" s="243" t="s">
        <v>185</v>
      </c>
      <c r="E64" s="246">
        <v>8631738</v>
      </c>
      <c r="F64" s="297">
        <v>0</v>
      </c>
      <c r="G64" s="246">
        <v>8631738</v>
      </c>
      <c r="H64" s="297">
        <v>0</v>
      </c>
      <c r="I64" s="297">
        <v>0</v>
      </c>
      <c r="J64" s="297">
        <v>0</v>
      </c>
      <c r="K64" s="246">
        <v>8631738</v>
      </c>
    </row>
    <row r="65" spans="1:11" outlineLevel="2" x14ac:dyDescent="0.25">
      <c r="A65" s="303" t="s">
        <v>458</v>
      </c>
      <c r="B65" s="272" t="s">
        <v>459</v>
      </c>
      <c r="C65" s="243">
        <v>321</v>
      </c>
      <c r="D65" s="243" t="s">
        <v>84</v>
      </c>
      <c r="E65" s="246">
        <v>9823692</v>
      </c>
      <c r="F65" s="297">
        <v>0</v>
      </c>
      <c r="G65" s="246">
        <v>9823692</v>
      </c>
      <c r="H65" s="297">
        <v>0</v>
      </c>
      <c r="I65" s="297">
        <v>0</v>
      </c>
      <c r="J65" s="297">
        <v>0</v>
      </c>
      <c r="K65" s="246">
        <v>9823692</v>
      </c>
    </row>
    <row r="66" spans="1:11" outlineLevel="2" x14ac:dyDescent="0.25">
      <c r="A66" s="303" t="s">
        <v>458</v>
      </c>
      <c r="B66" s="272" t="s">
        <v>459</v>
      </c>
      <c r="C66" s="243">
        <v>321</v>
      </c>
      <c r="D66" s="243" t="s">
        <v>87</v>
      </c>
      <c r="E66" s="246">
        <v>9405425</v>
      </c>
      <c r="F66" s="297">
        <v>0</v>
      </c>
      <c r="G66" s="246">
        <v>9405425</v>
      </c>
      <c r="H66" s="297">
        <v>0</v>
      </c>
      <c r="I66" s="297">
        <v>0</v>
      </c>
      <c r="J66" s="297">
        <v>0</v>
      </c>
      <c r="K66" s="246">
        <v>9405425</v>
      </c>
    </row>
    <row r="67" spans="1:11" outlineLevel="2" x14ac:dyDescent="0.25">
      <c r="A67" s="303" t="s">
        <v>458</v>
      </c>
      <c r="B67" s="272" t="s">
        <v>459</v>
      </c>
      <c r="C67" s="243">
        <v>321</v>
      </c>
      <c r="D67" s="243" t="s">
        <v>76</v>
      </c>
      <c r="E67" s="246">
        <v>10230025</v>
      </c>
      <c r="F67" s="297">
        <v>0</v>
      </c>
      <c r="G67" s="246">
        <v>10230025</v>
      </c>
      <c r="H67" s="297">
        <v>0</v>
      </c>
      <c r="I67" s="297">
        <v>0</v>
      </c>
      <c r="J67" s="297">
        <v>0</v>
      </c>
      <c r="K67" s="246">
        <v>10230025</v>
      </c>
    </row>
    <row r="68" spans="1:11" outlineLevel="2" x14ac:dyDescent="0.25">
      <c r="A68" s="303" t="s">
        <v>458</v>
      </c>
      <c r="B68" s="272" t="s">
        <v>459</v>
      </c>
      <c r="C68" s="243">
        <v>321</v>
      </c>
      <c r="D68" s="243" t="s">
        <v>79</v>
      </c>
      <c r="E68" s="246">
        <v>9758198</v>
      </c>
      <c r="F68" s="297">
        <v>0</v>
      </c>
      <c r="G68" s="246">
        <v>9758198</v>
      </c>
      <c r="H68" s="297">
        <v>0</v>
      </c>
      <c r="I68" s="297">
        <v>0</v>
      </c>
      <c r="J68" s="297">
        <v>0</v>
      </c>
      <c r="K68" s="246">
        <v>9758198</v>
      </c>
    </row>
    <row r="69" spans="1:11" outlineLevel="1" x14ac:dyDescent="0.25">
      <c r="A69" s="303" t="s">
        <v>458</v>
      </c>
      <c r="B69" s="272" t="s">
        <v>459</v>
      </c>
      <c r="C69" s="243">
        <v>321</v>
      </c>
      <c r="D69" s="243" t="s">
        <v>80</v>
      </c>
      <c r="E69" s="246">
        <v>8242208</v>
      </c>
      <c r="F69" s="297">
        <v>0</v>
      </c>
      <c r="G69" s="246">
        <v>8242208</v>
      </c>
      <c r="H69" s="297">
        <v>0</v>
      </c>
      <c r="I69" s="297">
        <v>0</v>
      </c>
      <c r="J69" s="297">
        <v>0</v>
      </c>
      <c r="K69" s="246">
        <v>8242208</v>
      </c>
    </row>
    <row r="70" spans="1:11" outlineLevel="2" x14ac:dyDescent="0.25">
      <c r="A70" s="303" t="s">
        <v>458</v>
      </c>
      <c r="B70" s="272" t="s">
        <v>459</v>
      </c>
      <c r="C70" s="243">
        <v>321</v>
      </c>
      <c r="D70" s="243" t="s">
        <v>81</v>
      </c>
      <c r="E70" s="246">
        <v>6739764</v>
      </c>
      <c r="F70" s="297">
        <v>0</v>
      </c>
      <c r="G70" s="246">
        <v>6739764</v>
      </c>
      <c r="H70" s="297">
        <v>0</v>
      </c>
      <c r="I70" s="297">
        <v>0</v>
      </c>
      <c r="J70" s="297">
        <v>0</v>
      </c>
      <c r="K70" s="246">
        <v>6739764</v>
      </c>
    </row>
    <row r="71" spans="1:11" outlineLevel="2" x14ac:dyDescent="0.25">
      <c r="A71" s="303" t="s">
        <v>458</v>
      </c>
      <c r="B71" s="272" t="s">
        <v>459</v>
      </c>
      <c r="C71" s="243">
        <v>321</v>
      </c>
      <c r="D71" s="243" t="s">
        <v>82</v>
      </c>
      <c r="E71" s="246">
        <v>6213094</v>
      </c>
      <c r="F71" s="297">
        <v>0</v>
      </c>
      <c r="G71" s="246">
        <v>6213094</v>
      </c>
      <c r="H71" s="297">
        <v>0</v>
      </c>
      <c r="I71" s="297">
        <v>0</v>
      </c>
      <c r="J71" s="297">
        <v>0</v>
      </c>
      <c r="K71" s="246">
        <v>6213094</v>
      </c>
    </row>
    <row r="72" spans="1:11" outlineLevel="2" x14ac:dyDescent="0.25">
      <c r="A72" s="303" t="s">
        <v>458</v>
      </c>
      <c r="B72" s="272" t="s">
        <v>459</v>
      </c>
      <c r="C72" s="243">
        <v>321</v>
      </c>
      <c r="D72" s="243" t="s">
        <v>83</v>
      </c>
      <c r="E72" s="246">
        <v>5038365</v>
      </c>
      <c r="F72" s="297">
        <v>0</v>
      </c>
      <c r="G72" s="246">
        <v>5038365</v>
      </c>
      <c r="H72" s="297">
        <v>0</v>
      </c>
      <c r="I72" s="297">
        <v>0</v>
      </c>
      <c r="J72" s="297">
        <v>0</v>
      </c>
      <c r="K72" s="246">
        <v>5038365</v>
      </c>
    </row>
    <row r="73" spans="1:11" outlineLevel="2" x14ac:dyDescent="0.25">
      <c r="A73" s="303" t="s">
        <v>458</v>
      </c>
      <c r="B73" s="272" t="s">
        <v>459</v>
      </c>
      <c r="C73" s="243">
        <v>321</v>
      </c>
      <c r="D73" s="243" t="s">
        <v>71</v>
      </c>
      <c r="E73" s="246">
        <v>4364737</v>
      </c>
      <c r="F73" s="297">
        <v>0</v>
      </c>
      <c r="G73" s="246">
        <v>4364737</v>
      </c>
      <c r="H73" s="297">
        <v>0</v>
      </c>
      <c r="I73" s="297">
        <v>0</v>
      </c>
      <c r="J73" s="297">
        <v>0</v>
      </c>
      <c r="K73" s="246">
        <v>4364737</v>
      </c>
    </row>
    <row r="74" spans="1:11" outlineLevel="2" x14ac:dyDescent="0.25">
      <c r="A74" s="271" t="s">
        <v>460</v>
      </c>
      <c r="B74" s="74" t="s">
        <v>500</v>
      </c>
      <c r="C74" s="74" t="s">
        <v>500</v>
      </c>
      <c r="D74" s="74" t="s">
        <v>500</v>
      </c>
      <c r="E74" s="78">
        <f>SUBTOTAL(109,locals321[Program
Costs])</f>
        <v>87877803</v>
      </c>
      <c r="F74" s="179">
        <f>SUBTOTAL(109,locals321[Less: Net Payments and Offsets])</f>
        <v>0</v>
      </c>
      <c r="G74" s="78">
        <f>SUBTOTAL(109,locals321[Accounts Payable
Balance])</f>
        <v>87877803</v>
      </c>
      <c r="H74" s="179">
        <f>SUBTOTAL(109,locals321[Established
Accounts Receivable])</f>
        <v>0</v>
      </c>
      <c r="I74" s="179">
        <f>SUBTOTAL(109,locals321[Less: Recovered Amount])</f>
        <v>0</v>
      </c>
      <c r="J74" s="179">
        <f>SUBTOTAL(109,locals321[Accounts Receivable
Balance])</f>
        <v>0</v>
      </c>
      <c r="K74" s="78">
        <f>SUBTOTAL(109,locals321[Net
Balance])</f>
        <v>87877803</v>
      </c>
    </row>
    <row r="75" spans="1:11" s="272" customFormat="1" ht="15.6" customHeight="1" outlineLevel="2" x14ac:dyDescent="0.2">
      <c r="A75" s="304" t="s">
        <v>508</v>
      </c>
      <c r="C75" s="243"/>
      <c r="D75" s="243"/>
      <c r="E75" s="246"/>
      <c r="F75" s="246"/>
      <c r="G75" s="246"/>
      <c r="H75" s="246"/>
      <c r="I75" s="246"/>
      <c r="J75" s="246"/>
      <c r="K75" s="246"/>
    </row>
    <row r="76" spans="1:11" ht="47.25" outlineLevel="2" x14ac:dyDescent="0.25">
      <c r="A76" s="176" t="s">
        <v>99</v>
      </c>
      <c r="B76" s="176" t="s">
        <v>1</v>
      </c>
      <c r="C76" s="176" t="s">
        <v>195</v>
      </c>
      <c r="D76" s="176" t="s">
        <v>98</v>
      </c>
      <c r="E76" s="210" t="s">
        <v>188</v>
      </c>
      <c r="F76" s="239" t="s">
        <v>442</v>
      </c>
      <c r="G76" s="210" t="s">
        <v>528</v>
      </c>
      <c r="H76" s="210" t="s">
        <v>529</v>
      </c>
      <c r="I76" s="210" t="s">
        <v>197</v>
      </c>
      <c r="J76" s="210" t="s">
        <v>530</v>
      </c>
      <c r="K76" s="210" t="s">
        <v>196</v>
      </c>
    </row>
    <row r="77" spans="1:11" outlineLevel="2" x14ac:dyDescent="0.25">
      <c r="A77" s="303" t="s">
        <v>461</v>
      </c>
      <c r="B77" s="272" t="s">
        <v>462</v>
      </c>
      <c r="C77" s="243">
        <v>358</v>
      </c>
      <c r="D77" s="243" t="s">
        <v>206</v>
      </c>
      <c r="E77" s="246">
        <v>1277673</v>
      </c>
      <c r="F77" s="297">
        <v>0</v>
      </c>
      <c r="G77" s="246">
        <v>1277673</v>
      </c>
      <c r="H77" s="297">
        <v>0</v>
      </c>
      <c r="I77" s="297">
        <v>0</v>
      </c>
      <c r="J77" s="297">
        <v>0</v>
      </c>
      <c r="K77" s="246">
        <v>1277673</v>
      </c>
    </row>
    <row r="78" spans="1:11" outlineLevel="2" x14ac:dyDescent="0.25">
      <c r="A78" s="303" t="s">
        <v>461</v>
      </c>
      <c r="B78" s="272" t="s">
        <v>462</v>
      </c>
      <c r="C78" s="243">
        <v>358</v>
      </c>
      <c r="D78" s="243" t="s">
        <v>183</v>
      </c>
      <c r="E78" s="246">
        <v>2876516</v>
      </c>
      <c r="F78" s="297">
        <v>0</v>
      </c>
      <c r="G78" s="246">
        <v>2876516</v>
      </c>
      <c r="H78" s="297">
        <v>0</v>
      </c>
      <c r="I78" s="297">
        <v>0</v>
      </c>
      <c r="J78" s="297">
        <v>0</v>
      </c>
      <c r="K78" s="246">
        <v>2876516</v>
      </c>
    </row>
    <row r="79" spans="1:11" outlineLevel="2" x14ac:dyDescent="0.25">
      <c r="A79" s="303" t="s">
        <v>461</v>
      </c>
      <c r="B79" s="272" t="s">
        <v>462</v>
      </c>
      <c r="C79" s="243">
        <v>358</v>
      </c>
      <c r="D79" s="243" t="s">
        <v>184</v>
      </c>
      <c r="E79" s="246">
        <v>1584153</v>
      </c>
      <c r="F79" s="297">
        <v>0</v>
      </c>
      <c r="G79" s="246">
        <v>1584153</v>
      </c>
      <c r="H79" s="297">
        <v>0</v>
      </c>
      <c r="I79" s="297">
        <v>0</v>
      </c>
      <c r="J79" s="297">
        <v>0</v>
      </c>
      <c r="K79" s="246">
        <v>1584153</v>
      </c>
    </row>
    <row r="80" spans="1:11" outlineLevel="2" x14ac:dyDescent="0.25">
      <c r="A80" s="303" t="s">
        <v>461</v>
      </c>
      <c r="B80" s="272" t="s">
        <v>462</v>
      </c>
      <c r="C80" s="243">
        <v>358</v>
      </c>
      <c r="D80" s="243" t="s">
        <v>185</v>
      </c>
      <c r="E80" s="246">
        <v>4421465</v>
      </c>
      <c r="F80" s="297">
        <v>0</v>
      </c>
      <c r="G80" s="246">
        <v>4421465</v>
      </c>
      <c r="H80" s="297">
        <v>0</v>
      </c>
      <c r="I80" s="297">
        <v>0</v>
      </c>
      <c r="J80" s="297">
        <v>0</v>
      </c>
      <c r="K80" s="246">
        <v>4421465</v>
      </c>
    </row>
    <row r="81" spans="1:11" outlineLevel="2" x14ac:dyDescent="0.25">
      <c r="A81" s="303" t="s">
        <v>461</v>
      </c>
      <c r="B81" s="272" t="s">
        <v>462</v>
      </c>
      <c r="C81" s="243">
        <v>358</v>
      </c>
      <c r="D81" s="243" t="s">
        <v>84</v>
      </c>
      <c r="E81" s="246">
        <v>7666350</v>
      </c>
      <c r="F81" s="297">
        <v>0</v>
      </c>
      <c r="G81" s="246">
        <v>7666350</v>
      </c>
      <c r="H81" s="297">
        <v>0</v>
      </c>
      <c r="I81" s="297">
        <v>0</v>
      </c>
      <c r="J81" s="297">
        <v>0</v>
      </c>
      <c r="K81" s="246">
        <v>7666350</v>
      </c>
    </row>
    <row r="82" spans="1:11" outlineLevel="2" x14ac:dyDescent="0.25">
      <c r="A82" s="303" t="s">
        <v>461</v>
      </c>
      <c r="B82" s="272" t="s">
        <v>462</v>
      </c>
      <c r="C82" s="243">
        <v>358</v>
      </c>
      <c r="D82" s="243" t="s">
        <v>87</v>
      </c>
      <c r="E82" s="246">
        <v>7385306</v>
      </c>
      <c r="F82" s="297">
        <v>0</v>
      </c>
      <c r="G82" s="246">
        <v>7385306</v>
      </c>
      <c r="H82" s="297">
        <v>0</v>
      </c>
      <c r="I82" s="297">
        <v>0</v>
      </c>
      <c r="J82" s="297">
        <v>0</v>
      </c>
      <c r="K82" s="246">
        <v>7385306</v>
      </c>
    </row>
    <row r="83" spans="1:11" outlineLevel="2" x14ac:dyDescent="0.25">
      <c r="A83" s="303" t="s">
        <v>461</v>
      </c>
      <c r="B83" s="272" t="s">
        <v>462</v>
      </c>
      <c r="C83" s="243">
        <v>358</v>
      </c>
      <c r="D83" s="243" t="s">
        <v>76</v>
      </c>
      <c r="E83" s="246">
        <v>6050852</v>
      </c>
      <c r="F83" s="297">
        <v>0</v>
      </c>
      <c r="G83" s="246">
        <v>6050852</v>
      </c>
      <c r="H83" s="297">
        <v>0</v>
      </c>
      <c r="I83" s="297">
        <v>0</v>
      </c>
      <c r="J83" s="297">
        <v>0</v>
      </c>
      <c r="K83" s="246">
        <v>6050852</v>
      </c>
    </row>
    <row r="84" spans="1:11" outlineLevel="2" x14ac:dyDescent="0.25">
      <c r="A84" s="303" t="s">
        <v>461</v>
      </c>
      <c r="B84" s="272" t="s">
        <v>462</v>
      </c>
      <c r="C84" s="243">
        <v>358</v>
      </c>
      <c r="D84" s="243" t="s">
        <v>79</v>
      </c>
      <c r="E84" s="246">
        <v>5451057</v>
      </c>
      <c r="F84" s="297">
        <v>0</v>
      </c>
      <c r="G84" s="246">
        <v>5451057</v>
      </c>
      <c r="H84" s="297">
        <v>0</v>
      </c>
      <c r="I84" s="297">
        <v>0</v>
      </c>
      <c r="J84" s="297">
        <v>0</v>
      </c>
      <c r="K84" s="246">
        <v>5451057</v>
      </c>
    </row>
    <row r="85" spans="1:11" outlineLevel="2" x14ac:dyDescent="0.25">
      <c r="A85" s="303" t="s">
        <v>461</v>
      </c>
      <c r="B85" s="272" t="s">
        <v>462</v>
      </c>
      <c r="C85" s="243">
        <v>358</v>
      </c>
      <c r="D85" s="243" t="s">
        <v>80</v>
      </c>
      <c r="E85" s="246">
        <v>4876373</v>
      </c>
      <c r="F85" s="297">
        <v>0</v>
      </c>
      <c r="G85" s="246">
        <v>4876373</v>
      </c>
      <c r="H85" s="297">
        <v>0</v>
      </c>
      <c r="I85" s="297">
        <v>0</v>
      </c>
      <c r="J85" s="297">
        <v>0</v>
      </c>
      <c r="K85" s="246">
        <v>4876373</v>
      </c>
    </row>
    <row r="86" spans="1:11" outlineLevel="2" x14ac:dyDescent="0.25">
      <c r="A86" s="303" t="s">
        <v>461</v>
      </c>
      <c r="B86" s="272" t="s">
        <v>462</v>
      </c>
      <c r="C86" s="243">
        <v>358</v>
      </c>
      <c r="D86" s="243" t="s">
        <v>81</v>
      </c>
      <c r="E86" s="246">
        <v>4565612</v>
      </c>
      <c r="F86" s="297">
        <v>0</v>
      </c>
      <c r="G86" s="246">
        <v>4565612</v>
      </c>
      <c r="H86" s="297">
        <v>0</v>
      </c>
      <c r="I86" s="297">
        <v>0</v>
      </c>
      <c r="J86" s="297">
        <v>0</v>
      </c>
      <c r="K86" s="246">
        <v>4565612</v>
      </c>
    </row>
    <row r="87" spans="1:11" outlineLevel="1" x14ac:dyDescent="0.25">
      <c r="A87" s="303" t="s">
        <v>461</v>
      </c>
      <c r="B87" s="272" t="s">
        <v>462</v>
      </c>
      <c r="C87" s="243">
        <v>358</v>
      </c>
      <c r="D87" s="243" t="s">
        <v>82</v>
      </c>
      <c r="E87" s="246">
        <v>4248370</v>
      </c>
      <c r="F87" s="297">
        <v>0</v>
      </c>
      <c r="G87" s="246">
        <v>4248370</v>
      </c>
      <c r="H87" s="297">
        <v>0</v>
      </c>
      <c r="I87" s="297">
        <v>0</v>
      </c>
      <c r="J87" s="297">
        <v>0</v>
      </c>
      <c r="K87" s="246">
        <v>4248370</v>
      </c>
    </row>
    <row r="88" spans="1:11" outlineLevel="2" x14ac:dyDescent="0.25">
      <c r="A88" s="303" t="s">
        <v>461</v>
      </c>
      <c r="B88" s="272" t="s">
        <v>462</v>
      </c>
      <c r="C88" s="243">
        <v>358</v>
      </c>
      <c r="D88" s="243" t="s">
        <v>83</v>
      </c>
      <c r="E88" s="246">
        <v>3940728</v>
      </c>
      <c r="F88" s="297">
        <v>0</v>
      </c>
      <c r="G88" s="246">
        <v>3940728</v>
      </c>
      <c r="H88" s="297">
        <v>0</v>
      </c>
      <c r="I88" s="297">
        <v>0</v>
      </c>
      <c r="J88" s="297">
        <v>0</v>
      </c>
      <c r="K88" s="246">
        <v>3940728</v>
      </c>
    </row>
    <row r="89" spans="1:11" outlineLevel="2" x14ac:dyDescent="0.25">
      <c r="A89" s="303" t="s">
        <v>461</v>
      </c>
      <c r="B89" s="272" t="s">
        <v>462</v>
      </c>
      <c r="C89" s="243">
        <v>358</v>
      </c>
      <c r="D89" s="243" t="s">
        <v>71</v>
      </c>
      <c r="E89" s="246">
        <v>3610850</v>
      </c>
      <c r="F89" s="297">
        <v>0</v>
      </c>
      <c r="G89" s="246">
        <v>3610850</v>
      </c>
      <c r="H89" s="297">
        <v>0</v>
      </c>
      <c r="I89" s="297">
        <v>0</v>
      </c>
      <c r="J89" s="297">
        <v>0</v>
      </c>
      <c r="K89" s="246">
        <v>3610850</v>
      </c>
    </row>
    <row r="90" spans="1:11" outlineLevel="1" x14ac:dyDescent="0.25">
      <c r="A90" s="303" t="s">
        <v>461</v>
      </c>
      <c r="B90" s="272" t="s">
        <v>462</v>
      </c>
      <c r="C90" s="243">
        <v>358</v>
      </c>
      <c r="D90" s="243" t="s">
        <v>74</v>
      </c>
      <c r="E90" s="246">
        <v>3244252</v>
      </c>
      <c r="F90" s="297">
        <v>0</v>
      </c>
      <c r="G90" s="246">
        <v>3244252</v>
      </c>
      <c r="H90" s="297">
        <v>0</v>
      </c>
      <c r="I90" s="297">
        <v>0</v>
      </c>
      <c r="J90" s="297">
        <v>0</v>
      </c>
      <c r="K90" s="246">
        <v>3244252</v>
      </c>
    </row>
    <row r="91" spans="1:11" outlineLevel="2" x14ac:dyDescent="0.25">
      <c r="A91" s="303" t="s">
        <v>461</v>
      </c>
      <c r="B91" s="272" t="s">
        <v>462</v>
      </c>
      <c r="C91" s="243">
        <v>358</v>
      </c>
      <c r="D91" s="243" t="s">
        <v>75</v>
      </c>
      <c r="E91" s="246">
        <v>3070158</v>
      </c>
      <c r="F91" s="297">
        <v>0</v>
      </c>
      <c r="G91" s="246">
        <v>3070158</v>
      </c>
      <c r="H91" s="297">
        <v>0</v>
      </c>
      <c r="I91" s="297">
        <v>0</v>
      </c>
      <c r="J91" s="297">
        <v>0</v>
      </c>
      <c r="K91" s="246">
        <v>3070158</v>
      </c>
    </row>
    <row r="92" spans="1:11" outlineLevel="2" x14ac:dyDescent="0.25">
      <c r="A92" s="303" t="s">
        <v>461</v>
      </c>
      <c r="B92" s="272" t="s">
        <v>462</v>
      </c>
      <c r="C92" s="243">
        <v>358</v>
      </c>
      <c r="D92" s="243" t="s">
        <v>284</v>
      </c>
      <c r="E92" s="246">
        <v>2830440</v>
      </c>
      <c r="F92" s="297">
        <v>0</v>
      </c>
      <c r="G92" s="246">
        <v>2830440</v>
      </c>
      <c r="H92" s="297">
        <v>0</v>
      </c>
      <c r="I92" s="297">
        <v>0</v>
      </c>
      <c r="J92" s="297">
        <v>0</v>
      </c>
      <c r="K92" s="246">
        <v>2830440</v>
      </c>
    </row>
    <row r="93" spans="1:11" outlineLevel="2" x14ac:dyDescent="0.25">
      <c r="A93" s="271" t="s">
        <v>463</v>
      </c>
      <c r="B93" s="74" t="s">
        <v>500</v>
      </c>
      <c r="C93" s="180" t="s">
        <v>500</v>
      </c>
      <c r="D93" s="180" t="s">
        <v>500</v>
      </c>
      <c r="E93" s="78">
        <f>SUBTOTAL(109,locals358[Program
Costs])</f>
        <v>67100155</v>
      </c>
      <c r="F93" s="179">
        <f>SUBTOTAL(109,locals358[Less: Net Payments and Offsets])</f>
        <v>0</v>
      </c>
      <c r="G93" s="78">
        <f>SUBTOTAL(109,locals358[Accounts Payable
Balance])</f>
        <v>67100155</v>
      </c>
      <c r="H93" s="179">
        <f>SUBTOTAL(109,locals358[Established
Accounts Receivable])</f>
        <v>0</v>
      </c>
      <c r="I93" s="179">
        <f>SUBTOTAL(109,locals358[Less: Recovered Amount])</f>
        <v>0</v>
      </c>
      <c r="J93" s="179">
        <f>SUBTOTAL(109,locals358[Accounts Receivable
Balance])</f>
        <v>0</v>
      </c>
      <c r="K93" s="78">
        <f>SUBTOTAL(109,locals358[Net
Balance])</f>
        <v>67100155</v>
      </c>
    </row>
    <row r="94" spans="1:11" s="272" customFormat="1" ht="15" outlineLevel="2" x14ac:dyDescent="0.2">
      <c r="A94" s="304" t="s">
        <v>508</v>
      </c>
      <c r="C94" s="243"/>
      <c r="D94" s="243"/>
      <c r="E94" s="246"/>
      <c r="F94" s="246"/>
      <c r="G94" s="246"/>
      <c r="H94" s="246"/>
      <c r="I94" s="246"/>
      <c r="J94" s="246"/>
      <c r="K94" s="246"/>
    </row>
    <row r="95" spans="1:11" ht="50.1" customHeight="1" outlineLevel="2" x14ac:dyDescent="0.25">
      <c r="A95" s="176" t="s">
        <v>99</v>
      </c>
      <c r="B95" s="176" t="s">
        <v>1</v>
      </c>
      <c r="C95" s="176" t="s">
        <v>195</v>
      </c>
      <c r="D95" s="176" t="s">
        <v>98</v>
      </c>
      <c r="E95" s="210" t="s">
        <v>188</v>
      </c>
      <c r="F95" s="239" t="s">
        <v>442</v>
      </c>
      <c r="G95" s="210" t="s">
        <v>528</v>
      </c>
      <c r="H95" s="210" t="s">
        <v>529</v>
      </c>
      <c r="I95" s="210" t="s">
        <v>197</v>
      </c>
      <c r="J95" s="210" t="s">
        <v>530</v>
      </c>
      <c r="K95" s="210" t="s">
        <v>196</v>
      </c>
    </row>
    <row r="96" spans="1:11" outlineLevel="2" x14ac:dyDescent="0.25">
      <c r="A96" s="303" t="s">
        <v>464</v>
      </c>
      <c r="B96" s="272" t="s">
        <v>465</v>
      </c>
      <c r="C96" s="243">
        <v>259</v>
      </c>
      <c r="D96" s="243" t="s">
        <v>185</v>
      </c>
      <c r="E96" s="246">
        <v>1840</v>
      </c>
      <c r="F96" s="297">
        <v>0</v>
      </c>
      <c r="G96" s="246">
        <v>1840</v>
      </c>
      <c r="H96" s="297">
        <v>0</v>
      </c>
      <c r="I96" s="297">
        <v>0</v>
      </c>
      <c r="J96" s="297">
        <v>0</v>
      </c>
      <c r="K96" s="246">
        <v>1840</v>
      </c>
    </row>
    <row r="97" spans="1:11" outlineLevel="2" x14ac:dyDescent="0.25">
      <c r="A97" s="303" t="s">
        <v>464</v>
      </c>
      <c r="B97" s="272" t="s">
        <v>465</v>
      </c>
      <c r="C97" s="243">
        <v>259</v>
      </c>
      <c r="D97" s="243" t="s">
        <v>84</v>
      </c>
      <c r="E97" s="246">
        <v>3550</v>
      </c>
      <c r="F97" s="297">
        <v>0</v>
      </c>
      <c r="G97" s="246">
        <v>3550</v>
      </c>
      <c r="H97" s="297">
        <v>0</v>
      </c>
      <c r="I97" s="297">
        <v>0</v>
      </c>
      <c r="J97" s="297">
        <v>0</v>
      </c>
      <c r="K97" s="246">
        <v>3550</v>
      </c>
    </row>
    <row r="98" spans="1:11" outlineLevel="2" x14ac:dyDescent="0.25">
      <c r="A98" s="271" t="s">
        <v>466</v>
      </c>
      <c r="B98" s="74" t="s">
        <v>500</v>
      </c>
      <c r="C98" s="74" t="s">
        <v>500</v>
      </c>
      <c r="D98" s="74" t="s">
        <v>500</v>
      </c>
      <c r="E98" s="78">
        <f>SUBTOTAL(109,locals259[Program
Costs])</f>
        <v>5390</v>
      </c>
      <c r="F98" s="179">
        <f>SUBTOTAL(109,locals259[Less: Net Payments and Offsets])</f>
        <v>0</v>
      </c>
      <c r="G98" s="78">
        <f>SUBTOTAL(109,locals259[Accounts Payable
Balance])</f>
        <v>5390</v>
      </c>
      <c r="H98" s="179">
        <f>SUBTOTAL(109,locals259[Established
Accounts Receivable])</f>
        <v>0</v>
      </c>
      <c r="I98" s="179">
        <f>SUBTOTAL(109,locals259[Less: Recovered Amount])</f>
        <v>0</v>
      </c>
      <c r="J98" s="179">
        <f>SUBTOTAL(109,locals259[Accounts Receivable
Balance])</f>
        <v>0</v>
      </c>
      <c r="K98" s="78">
        <f>SUBTOTAL(109,locals259[Net
Balance])</f>
        <v>5390</v>
      </c>
    </row>
    <row r="99" spans="1:11" s="272" customFormat="1" ht="15" outlineLevel="2" x14ac:dyDescent="0.2">
      <c r="A99" s="304" t="s">
        <v>508</v>
      </c>
      <c r="C99" s="243"/>
      <c r="D99" s="243"/>
      <c r="E99" s="246"/>
      <c r="F99" s="246"/>
      <c r="G99" s="246"/>
      <c r="H99" s="246"/>
      <c r="I99" s="246"/>
      <c r="J99" s="246"/>
      <c r="K99" s="246"/>
    </row>
    <row r="100" spans="1:11" ht="50.1" customHeight="1" outlineLevel="2" x14ac:dyDescent="0.25">
      <c r="A100" s="176" t="s">
        <v>99</v>
      </c>
      <c r="B100" s="176" t="s">
        <v>1</v>
      </c>
      <c r="C100" s="176" t="s">
        <v>195</v>
      </c>
      <c r="D100" s="176" t="s">
        <v>98</v>
      </c>
      <c r="E100" s="210" t="s">
        <v>188</v>
      </c>
      <c r="F100" s="239" t="s">
        <v>442</v>
      </c>
      <c r="G100" s="210" t="s">
        <v>528</v>
      </c>
      <c r="H100" s="210" t="s">
        <v>529</v>
      </c>
      <c r="I100" s="210" t="s">
        <v>197</v>
      </c>
      <c r="J100" s="210" t="s">
        <v>530</v>
      </c>
      <c r="K100" s="210" t="s">
        <v>196</v>
      </c>
    </row>
    <row r="101" spans="1:11" outlineLevel="2" x14ac:dyDescent="0.25">
      <c r="A101" s="303" t="s">
        <v>467</v>
      </c>
      <c r="B101" s="272" t="s">
        <v>468</v>
      </c>
      <c r="C101" s="243">
        <v>298</v>
      </c>
      <c r="D101" s="243" t="s">
        <v>165</v>
      </c>
      <c r="E101" s="246">
        <v>1657396</v>
      </c>
      <c r="F101" s="297">
        <v>0</v>
      </c>
      <c r="G101" s="246">
        <v>1657396</v>
      </c>
      <c r="H101" s="297">
        <v>0</v>
      </c>
      <c r="I101" s="297">
        <v>0</v>
      </c>
      <c r="J101" s="297">
        <v>0</v>
      </c>
      <c r="K101" s="246">
        <v>1657396</v>
      </c>
    </row>
    <row r="102" spans="1:11" outlineLevel="2" x14ac:dyDescent="0.25">
      <c r="A102" s="303" t="s">
        <v>467</v>
      </c>
      <c r="B102" s="272" t="s">
        <v>468</v>
      </c>
      <c r="C102" s="243">
        <v>298</v>
      </c>
      <c r="D102" s="243" t="s">
        <v>16</v>
      </c>
      <c r="E102" s="246">
        <v>1484786</v>
      </c>
      <c r="F102" s="297">
        <v>0</v>
      </c>
      <c r="G102" s="246">
        <v>1484786</v>
      </c>
      <c r="H102" s="297">
        <v>0</v>
      </c>
      <c r="I102" s="297">
        <v>0</v>
      </c>
      <c r="J102" s="297">
        <v>0</v>
      </c>
      <c r="K102" s="246">
        <v>1484786</v>
      </c>
    </row>
    <row r="103" spans="1:11" outlineLevel="2" x14ac:dyDescent="0.25">
      <c r="A103" s="303" t="s">
        <v>467</v>
      </c>
      <c r="B103" s="272" t="s">
        <v>468</v>
      </c>
      <c r="C103" s="243">
        <v>298</v>
      </c>
      <c r="D103" s="243" t="s">
        <v>18</v>
      </c>
      <c r="E103" s="246">
        <v>1416419</v>
      </c>
      <c r="F103" s="297">
        <v>0</v>
      </c>
      <c r="G103" s="246">
        <v>1416419</v>
      </c>
      <c r="H103" s="297">
        <v>0</v>
      </c>
      <c r="I103" s="297">
        <v>0</v>
      </c>
      <c r="J103" s="297">
        <v>0</v>
      </c>
      <c r="K103" s="246">
        <v>1416419</v>
      </c>
    </row>
    <row r="104" spans="1:11" outlineLevel="2" x14ac:dyDescent="0.25">
      <c r="A104" s="303" t="s">
        <v>467</v>
      </c>
      <c r="B104" s="272" t="s">
        <v>468</v>
      </c>
      <c r="C104" s="243">
        <v>298</v>
      </c>
      <c r="D104" s="243" t="s">
        <v>14</v>
      </c>
      <c r="E104" s="246">
        <v>1726995</v>
      </c>
      <c r="F104" s="297">
        <v>0</v>
      </c>
      <c r="G104" s="246">
        <v>1726995</v>
      </c>
      <c r="H104" s="297">
        <v>0</v>
      </c>
      <c r="I104" s="297">
        <v>0</v>
      </c>
      <c r="J104" s="297">
        <v>0</v>
      </c>
      <c r="K104" s="246">
        <v>1726995</v>
      </c>
    </row>
    <row r="105" spans="1:11" outlineLevel="2" x14ac:dyDescent="0.25">
      <c r="A105" s="303" t="s">
        <v>467</v>
      </c>
      <c r="B105" s="272" t="s">
        <v>468</v>
      </c>
      <c r="C105" s="243">
        <v>298</v>
      </c>
      <c r="D105" s="243" t="s">
        <v>206</v>
      </c>
      <c r="E105" s="246">
        <v>1662687</v>
      </c>
      <c r="F105" s="297">
        <v>0</v>
      </c>
      <c r="G105" s="246">
        <v>1662687</v>
      </c>
      <c r="H105" s="297">
        <v>0</v>
      </c>
      <c r="I105" s="297">
        <v>0</v>
      </c>
      <c r="J105" s="297">
        <v>0</v>
      </c>
      <c r="K105" s="246">
        <v>1662687</v>
      </c>
    </row>
    <row r="106" spans="1:11" outlineLevel="2" x14ac:dyDescent="0.25">
      <c r="A106" s="303" t="s">
        <v>467</v>
      </c>
      <c r="B106" s="272" t="s">
        <v>468</v>
      </c>
      <c r="C106" s="243">
        <v>298</v>
      </c>
      <c r="D106" s="243" t="s">
        <v>183</v>
      </c>
      <c r="E106" s="246">
        <v>2324012</v>
      </c>
      <c r="F106" s="297">
        <v>0</v>
      </c>
      <c r="G106" s="246">
        <v>2324012</v>
      </c>
      <c r="H106" s="297">
        <v>0</v>
      </c>
      <c r="I106" s="297">
        <v>0</v>
      </c>
      <c r="J106" s="297">
        <v>0</v>
      </c>
      <c r="K106" s="246">
        <v>2324012</v>
      </c>
    </row>
    <row r="107" spans="1:11" outlineLevel="2" x14ac:dyDescent="0.25">
      <c r="A107" s="303" t="s">
        <v>467</v>
      </c>
      <c r="B107" s="272" t="s">
        <v>468</v>
      </c>
      <c r="C107" s="243">
        <v>298</v>
      </c>
      <c r="D107" s="243" t="s">
        <v>184</v>
      </c>
      <c r="E107" s="246">
        <v>1932028</v>
      </c>
      <c r="F107" s="297">
        <v>0</v>
      </c>
      <c r="G107" s="246">
        <v>1932028</v>
      </c>
      <c r="H107" s="297">
        <v>0</v>
      </c>
      <c r="I107" s="297">
        <v>0</v>
      </c>
      <c r="J107" s="297">
        <v>0</v>
      </c>
      <c r="K107" s="246">
        <v>1932028</v>
      </c>
    </row>
    <row r="108" spans="1:11" outlineLevel="2" x14ac:dyDescent="0.25">
      <c r="A108" s="303" t="s">
        <v>467</v>
      </c>
      <c r="B108" s="272" t="s">
        <v>468</v>
      </c>
      <c r="C108" s="243">
        <v>298</v>
      </c>
      <c r="D108" s="243" t="s">
        <v>185</v>
      </c>
      <c r="E108" s="246">
        <v>1436215</v>
      </c>
      <c r="F108" s="297">
        <v>0</v>
      </c>
      <c r="G108" s="246">
        <v>1436215</v>
      </c>
      <c r="H108" s="297">
        <v>0</v>
      </c>
      <c r="I108" s="297">
        <v>0</v>
      </c>
      <c r="J108" s="297">
        <v>0</v>
      </c>
      <c r="K108" s="246">
        <v>1436215</v>
      </c>
    </row>
    <row r="109" spans="1:11" outlineLevel="2" x14ac:dyDescent="0.25">
      <c r="A109" s="303" t="s">
        <v>467</v>
      </c>
      <c r="B109" s="272" t="s">
        <v>468</v>
      </c>
      <c r="C109" s="243">
        <v>298</v>
      </c>
      <c r="D109" s="243" t="s">
        <v>84</v>
      </c>
      <c r="E109" s="246">
        <v>1138086</v>
      </c>
      <c r="F109" s="297">
        <v>0</v>
      </c>
      <c r="G109" s="246">
        <v>1138086</v>
      </c>
      <c r="H109" s="297">
        <v>0</v>
      </c>
      <c r="I109" s="297">
        <v>0</v>
      </c>
      <c r="J109" s="297">
        <v>0</v>
      </c>
      <c r="K109" s="246">
        <v>1138086</v>
      </c>
    </row>
    <row r="110" spans="1:11" outlineLevel="2" x14ac:dyDescent="0.25">
      <c r="A110" s="303" t="s">
        <v>467</v>
      </c>
      <c r="B110" s="272" t="s">
        <v>468</v>
      </c>
      <c r="C110" s="243">
        <v>298</v>
      </c>
      <c r="D110" s="243" t="s">
        <v>87</v>
      </c>
      <c r="E110" s="246">
        <v>696362</v>
      </c>
      <c r="F110" s="297">
        <v>0</v>
      </c>
      <c r="G110" s="246">
        <v>696362</v>
      </c>
      <c r="H110" s="297">
        <v>0</v>
      </c>
      <c r="I110" s="297">
        <v>0</v>
      </c>
      <c r="J110" s="297">
        <v>0</v>
      </c>
      <c r="K110" s="246">
        <v>696362</v>
      </c>
    </row>
    <row r="111" spans="1:11" outlineLevel="1" x14ac:dyDescent="0.25">
      <c r="A111" s="303" t="s">
        <v>467</v>
      </c>
      <c r="B111" s="272" t="s">
        <v>468</v>
      </c>
      <c r="C111" s="243">
        <v>298</v>
      </c>
      <c r="D111" s="243" t="s">
        <v>76</v>
      </c>
      <c r="E111" s="246">
        <v>826282</v>
      </c>
      <c r="F111" s="297">
        <v>0</v>
      </c>
      <c r="G111" s="246">
        <v>826282</v>
      </c>
      <c r="H111" s="297">
        <v>0</v>
      </c>
      <c r="I111" s="297">
        <v>0</v>
      </c>
      <c r="J111" s="297">
        <v>0</v>
      </c>
      <c r="K111" s="246">
        <v>826282</v>
      </c>
    </row>
    <row r="112" spans="1:11" outlineLevel="2" x14ac:dyDescent="0.25">
      <c r="A112" s="303" t="s">
        <v>467</v>
      </c>
      <c r="B112" s="272" t="s">
        <v>468</v>
      </c>
      <c r="C112" s="243">
        <v>298</v>
      </c>
      <c r="D112" s="243" t="s">
        <v>79</v>
      </c>
      <c r="E112" s="246">
        <v>1579014</v>
      </c>
      <c r="F112" s="297">
        <v>0</v>
      </c>
      <c r="G112" s="246">
        <v>1579014</v>
      </c>
      <c r="H112" s="297">
        <v>0</v>
      </c>
      <c r="I112" s="297">
        <v>0</v>
      </c>
      <c r="J112" s="297">
        <v>0</v>
      </c>
      <c r="K112" s="246">
        <v>1579014</v>
      </c>
    </row>
    <row r="113" spans="1:11" outlineLevel="2" x14ac:dyDescent="0.25">
      <c r="A113" s="303" t="s">
        <v>467</v>
      </c>
      <c r="B113" s="272" t="s">
        <v>468</v>
      </c>
      <c r="C113" s="243">
        <v>298</v>
      </c>
      <c r="D113" s="243" t="s">
        <v>80</v>
      </c>
      <c r="E113" s="246">
        <v>1483364</v>
      </c>
      <c r="F113" s="297">
        <v>0</v>
      </c>
      <c r="G113" s="246">
        <v>1483364</v>
      </c>
      <c r="H113" s="297">
        <v>0</v>
      </c>
      <c r="I113" s="297">
        <v>0</v>
      </c>
      <c r="J113" s="297">
        <v>0</v>
      </c>
      <c r="K113" s="246">
        <v>1483364</v>
      </c>
    </row>
    <row r="114" spans="1:11" outlineLevel="2" x14ac:dyDescent="0.25">
      <c r="A114" s="303" t="s">
        <v>467</v>
      </c>
      <c r="B114" s="272" t="s">
        <v>468</v>
      </c>
      <c r="C114" s="243">
        <v>298</v>
      </c>
      <c r="D114" s="243" t="s">
        <v>81</v>
      </c>
      <c r="E114" s="246">
        <v>603417</v>
      </c>
      <c r="F114" s="297">
        <v>0</v>
      </c>
      <c r="G114" s="246">
        <v>603417</v>
      </c>
      <c r="H114" s="297">
        <v>0</v>
      </c>
      <c r="I114" s="297">
        <v>0</v>
      </c>
      <c r="J114" s="297">
        <v>0</v>
      </c>
      <c r="K114" s="246">
        <v>603417</v>
      </c>
    </row>
    <row r="115" spans="1:11" outlineLevel="2" x14ac:dyDescent="0.25">
      <c r="A115" s="303" t="s">
        <v>467</v>
      </c>
      <c r="B115" s="272" t="s">
        <v>468</v>
      </c>
      <c r="C115" s="243">
        <v>298</v>
      </c>
      <c r="D115" s="243" t="s">
        <v>82</v>
      </c>
      <c r="E115" s="246">
        <v>567345</v>
      </c>
      <c r="F115" s="297">
        <v>0</v>
      </c>
      <c r="G115" s="246">
        <v>567345</v>
      </c>
      <c r="H115" s="297">
        <v>0</v>
      </c>
      <c r="I115" s="297">
        <v>0</v>
      </c>
      <c r="J115" s="297">
        <v>0</v>
      </c>
      <c r="K115" s="246">
        <v>567345</v>
      </c>
    </row>
    <row r="116" spans="1:11" outlineLevel="2" x14ac:dyDescent="0.25">
      <c r="A116" s="303" t="s">
        <v>467</v>
      </c>
      <c r="B116" s="272" t="s">
        <v>468</v>
      </c>
      <c r="C116" s="243">
        <v>298</v>
      </c>
      <c r="D116" s="243" t="s">
        <v>83</v>
      </c>
      <c r="E116" s="246">
        <v>278272</v>
      </c>
      <c r="F116" s="297">
        <v>0</v>
      </c>
      <c r="G116" s="246">
        <v>278272</v>
      </c>
      <c r="H116" s="297">
        <v>0</v>
      </c>
      <c r="I116" s="297">
        <v>0</v>
      </c>
      <c r="J116" s="297">
        <v>0</v>
      </c>
      <c r="K116" s="246">
        <v>278272</v>
      </c>
    </row>
    <row r="117" spans="1:11" outlineLevel="2" x14ac:dyDescent="0.25">
      <c r="A117" s="303" t="s">
        <v>467</v>
      </c>
      <c r="B117" s="272" t="s">
        <v>468</v>
      </c>
      <c r="C117" s="243">
        <v>298</v>
      </c>
      <c r="D117" s="243" t="s">
        <v>71</v>
      </c>
      <c r="E117" s="246">
        <v>211658</v>
      </c>
      <c r="F117" s="297">
        <v>0</v>
      </c>
      <c r="G117" s="246">
        <v>211658</v>
      </c>
      <c r="H117" s="297">
        <v>0</v>
      </c>
      <c r="I117" s="297">
        <v>0</v>
      </c>
      <c r="J117" s="297">
        <v>0</v>
      </c>
      <c r="K117" s="246">
        <v>211658</v>
      </c>
    </row>
    <row r="118" spans="1:11" outlineLevel="2" x14ac:dyDescent="0.25">
      <c r="A118" s="303" t="s">
        <v>467</v>
      </c>
      <c r="B118" s="272" t="s">
        <v>468</v>
      </c>
      <c r="C118" s="243">
        <v>298</v>
      </c>
      <c r="D118" s="243" t="s">
        <v>74</v>
      </c>
      <c r="E118" s="246">
        <v>188729</v>
      </c>
      <c r="F118" s="297">
        <v>0</v>
      </c>
      <c r="G118" s="246">
        <v>188729</v>
      </c>
      <c r="H118" s="297">
        <v>0</v>
      </c>
      <c r="I118" s="297">
        <v>0</v>
      </c>
      <c r="J118" s="297">
        <v>0</v>
      </c>
      <c r="K118" s="246">
        <v>188729</v>
      </c>
    </row>
    <row r="119" spans="1:11" outlineLevel="2" x14ac:dyDescent="0.25">
      <c r="A119" s="271" t="s">
        <v>469</v>
      </c>
      <c r="B119" s="74" t="s">
        <v>500</v>
      </c>
      <c r="C119" s="180" t="s">
        <v>500</v>
      </c>
      <c r="D119" s="180" t="s">
        <v>500</v>
      </c>
      <c r="E119" s="78">
        <f>SUBTOTAL(109,locals298[Program
Costs])</f>
        <v>21213067</v>
      </c>
      <c r="F119" s="179">
        <f>SUBTOTAL(109,locals298[Less: Net Payments and Offsets])</f>
        <v>0</v>
      </c>
      <c r="G119" s="78">
        <f>SUBTOTAL(109,locals298[Accounts Payable
Balance])</f>
        <v>21213067</v>
      </c>
      <c r="H119" s="179">
        <f>SUBTOTAL(109,locals298[Established
Accounts Receivable])</f>
        <v>0</v>
      </c>
      <c r="I119" s="179">
        <f>SUBTOTAL(109,locals298[Less: Recovered Amount])</f>
        <v>0</v>
      </c>
      <c r="J119" s="179">
        <f>SUBTOTAL(109,locals298[Accounts Receivable
Balance])</f>
        <v>0</v>
      </c>
      <c r="K119" s="78">
        <f>SUBTOTAL(109,locals298[Net
Balance])</f>
        <v>21213067</v>
      </c>
    </row>
    <row r="120" spans="1:11" s="272" customFormat="1" ht="15" outlineLevel="2" x14ac:dyDescent="0.2">
      <c r="A120" s="304" t="s">
        <v>508</v>
      </c>
      <c r="C120" s="243"/>
      <c r="D120" s="243"/>
      <c r="E120" s="246"/>
      <c r="F120" s="246"/>
      <c r="G120" s="246"/>
      <c r="H120" s="246"/>
      <c r="I120" s="246"/>
      <c r="J120" s="246"/>
      <c r="K120" s="246"/>
    </row>
    <row r="121" spans="1:11" ht="47.25" outlineLevel="2" x14ac:dyDescent="0.25">
      <c r="A121" s="176" t="s">
        <v>99</v>
      </c>
      <c r="B121" s="176" t="s">
        <v>1</v>
      </c>
      <c r="C121" s="176" t="s">
        <v>195</v>
      </c>
      <c r="D121" s="176" t="s">
        <v>98</v>
      </c>
      <c r="E121" s="210" t="s">
        <v>188</v>
      </c>
      <c r="F121" s="239" t="s">
        <v>442</v>
      </c>
      <c r="G121" s="210" t="s">
        <v>528</v>
      </c>
      <c r="H121" s="210" t="s">
        <v>529</v>
      </c>
      <c r="I121" s="210" t="s">
        <v>197</v>
      </c>
      <c r="J121" s="210" t="s">
        <v>530</v>
      </c>
      <c r="K121" s="210" t="s">
        <v>196</v>
      </c>
    </row>
    <row r="122" spans="1:11" outlineLevel="2" x14ac:dyDescent="0.25">
      <c r="A122" s="303" t="s">
        <v>470</v>
      </c>
      <c r="B122" s="272" t="s">
        <v>471</v>
      </c>
      <c r="C122" s="243">
        <v>281</v>
      </c>
      <c r="D122" s="243" t="s">
        <v>87</v>
      </c>
      <c r="E122" s="246">
        <v>17935</v>
      </c>
      <c r="F122" s="297">
        <v>0</v>
      </c>
      <c r="G122" s="246">
        <v>17935</v>
      </c>
      <c r="H122" s="297">
        <v>0</v>
      </c>
      <c r="I122" s="297">
        <v>0</v>
      </c>
      <c r="J122" s="297">
        <v>0</v>
      </c>
      <c r="K122" s="246">
        <v>17935</v>
      </c>
    </row>
    <row r="123" spans="1:11" outlineLevel="1" x14ac:dyDescent="0.25">
      <c r="A123" s="303" t="s">
        <v>470</v>
      </c>
      <c r="B123" s="272" t="s">
        <v>471</v>
      </c>
      <c r="C123" s="243">
        <v>281</v>
      </c>
      <c r="D123" s="243" t="s">
        <v>76</v>
      </c>
      <c r="E123" s="246">
        <v>383293</v>
      </c>
      <c r="F123" s="297">
        <v>0</v>
      </c>
      <c r="G123" s="246">
        <v>383293</v>
      </c>
      <c r="H123" s="297">
        <v>0</v>
      </c>
      <c r="I123" s="297">
        <v>0</v>
      </c>
      <c r="J123" s="297">
        <v>0</v>
      </c>
      <c r="K123" s="246">
        <v>383293</v>
      </c>
    </row>
    <row r="124" spans="1:11" outlineLevel="2" x14ac:dyDescent="0.25">
      <c r="A124" s="303" t="s">
        <v>470</v>
      </c>
      <c r="B124" s="272" t="s">
        <v>471</v>
      </c>
      <c r="C124" s="243">
        <v>281</v>
      </c>
      <c r="D124" s="243" t="s">
        <v>79</v>
      </c>
      <c r="E124" s="246">
        <v>681608</v>
      </c>
      <c r="F124" s="297">
        <v>0</v>
      </c>
      <c r="G124" s="246">
        <v>681608</v>
      </c>
      <c r="H124" s="297">
        <v>0</v>
      </c>
      <c r="I124" s="297">
        <v>0</v>
      </c>
      <c r="J124" s="297">
        <v>0</v>
      </c>
      <c r="K124" s="246">
        <v>681608</v>
      </c>
    </row>
    <row r="125" spans="1:11" outlineLevel="2" x14ac:dyDescent="0.25">
      <c r="A125" s="303" t="s">
        <v>470</v>
      </c>
      <c r="B125" s="272" t="s">
        <v>471</v>
      </c>
      <c r="C125" s="243">
        <v>281</v>
      </c>
      <c r="D125" s="243" t="s">
        <v>80</v>
      </c>
      <c r="E125" s="246">
        <v>649974</v>
      </c>
      <c r="F125" s="297">
        <v>0</v>
      </c>
      <c r="G125" s="246">
        <v>649974</v>
      </c>
      <c r="H125" s="297">
        <v>0</v>
      </c>
      <c r="I125" s="297">
        <v>0</v>
      </c>
      <c r="J125" s="297">
        <v>0</v>
      </c>
      <c r="K125" s="246">
        <v>649974</v>
      </c>
    </row>
    <row r="126" spans="1:11" outlineLevel="2" x14ac:dyDescent="0.25">
      <c r="A126" s="303" t="s">
        <v>470</v>
      </c>
      <c r="B126" s="272" t="s">
        <v>471</v>
      </c>
      <c r="C126" s="243">
        <v>281</v>
      </c>
      <c r="D126" s="243" t="s">
        <v>81</v>
      </c>
      <c r="E126" s="246">
        <v>680286</v>
      </c>
      <c r="F126" s="297">
        <v>0</v>
      </c>
      <c r="G126" s="246">
        <v>680286</v>
      </c>
      <c r="H126" s="297">
        <v>0</v>
      </c>
      <c r="I126" s="297">
        <v>0</v>
      </c>
      <c r="J126" s="297">
        <v>0</v>
      </c>
      <c r="K126" s="246">
        <v>680286</v>
      </c>
    </row>
    <row r="127" spans="1:11" outlineLevel="2" x14ac:dyDescent="0.25">
      <c r="A127" s="303" t="s">
        <v>470</v>
      </c>
      <c r="B127" s="272" t="s">
        <v>471</v>
      </c>
      <c r="C127" s="243">
        <v>281</v>
      </c>
      <c r="D127" s="243" t="s">
        <v>82</v>
      </c>
      <c r="E127" s="246">
        <v>427477</v>
      </c>
      <c r="F127" s="297">
        <v>0</v>
      </c>
      <c r="G127" s="246">
        <v>427477</v>
      </c>
      <c r="H127" s="297">
        <v>0</v>
      </c>
      <c r="I127" s="297">
        <v>0</v>
      </c>
      <c r="J127" s="297">
        <v>0</v>
      </c>
      <c r="K127" s="246">
        <v>427477</v>
      </c>
    </row>
    <row r="128" spans="1:11" outlineLevel="2" x14ac:dyDescent="0.25">
      <c r="A128" s="303" t="s">
        <v>470</v>
      </c>
      <c r="B128" s="272" t="s">
        <v>471</v>
      </c>
      <c r="C128" s="243">
        <v>281</v>
      </c>
      <c r="D128" s="243" t="s">
        <v>83</v>
      </c>
      <c r="E128" s="246">
        <v>446868</v>
      </c>
      <c r="F128" s="297">
        <v>0</v>
      </c>
      <c r="G128" s="246">
        <v>446868</v>
      </c>
      <c r="H128" s="297">
        <v>0</v>
      </c>
      <c r="I128" s="297">
        <v>0</v>
      </c>
      <c r="J128" s="297">
        <v>0</v>
      </c>
      <c r="K128" s="246">
        <v>446868</v>
      </c>
    </row>
    <row r="129" spans="1:11" outlineLevel="2" x14ac:dyDescent="0.25">
      <c r="A129" s="303" t="s">
        <v>470</v>
      </c>
      <c r="B129" s="272" t="s">
        <v>471</v>
      </c>
      <c r="C129" s="243">
        <v>281</v>
      </c>
      <c r="D129" s="243" t="s">
        <v>71</v>
      </c>
      <c r="E129" s="246">
        <v>821319</v>
      </c>
      <c r="F129" s="297">
        <v>0</v>
      </c>
      <c r="G129" s="246">
        <v>821319</v>
      </c>
      <c r="H129" s="297">
        <v>0</v>
      </c>
      <c r="I129" s="297">
        <v>0</v>
      </c>
      <c r="J129" s="297">
        <v>0</v>
      </c>
      <c r="K129" s="246">
        <v>821319</v>
      </c>
    </row>
    <row r="130" spans="1:11" outlineLevel="2" x14ac:dyDescent="0.25">
      <c r="A130" s="303" t="s">
        <v>470</v>
      </c>
      <c r="B130" s="272" t="s">
        <v>471</v>
      </c>
      <c r="C130" s="243">
        <v>281</v>
      </c>
      <c r="D130" s="243" t="s">
        <v>74</v>
      </c>
      <c r="E130" s="246">
        <v>565634</v>
      </c>
      <c r="F130" s="297">
        <v>0</v>
      </c>
      <c r="G130" s="246">
        <v>565634</v>
      </c>
      <c r="H130" s="297">
        <v>0</v>
      </c>
      <c r="I130" s="297">
        <v>0</v>
      </c>
      <c r="J130" s="297">
        <v>0</v>
      </c>
      <c r="K130" s="246">
        <v>565634</v>
      </c>
    </row>
    <row r="131" spans="1:11" outlineLevel="1" x14ac:dyDescent="0.25">
      <c r="A131" s="303" t="s">
        <v>470</v>
      </c>
      <c r="B131" s="272" t="s">
        <v>471</v>
      </c>
      <c r="C131" s="243">
        <v>281</v>
      </c>
      <c r="D131" s="243" t="s">
        <v>75</v>
      </c>
      <c r="E131" s="246">
        <v>235446</v>
      </c>
      <c r="F131" s="297">
        <v>0</v>
      </c>
      <c r="G131" s="246">
        <v>235446</v>
      </c>
      <c r="H131" s="297">
        <v>0</v>
      </c>
      <c r="I131" s="297">
        <v>0</v>
      </c>
      <c r="J131" s="297">
        <v>0</v>
      </c>
      <c r="K131" s="246">
        <v>235446</v>
      </c>
    </row>
    <row r="132" spans="1:11" outlineLevel="1" x14ac:dyDescent="0.25">
      <c r="A132" s="271" t="s">
        <v>472</v>
      </c>
      <c r="B132" s="74" t="s">
        <v>500</v>
      </c>
      <c r="C132" s="74" t="s">
        <v>500</v>
      </c>
      <c r="D132" s="74" t="s">
        <v>500</v>
      </c>
      <c r="E132" s="78">
        <f>SUBTOTAL(109,locals281[Program
Costs])</f>
        <v>4909840</v>
      </c>
      <c r="F132" s="179">
        <f>SUBTOTAL(109,locals281[Less: Net Payments and Offsets])</f>
        <v>0</v>
      </c>
      <c r="G132" s="78">
        <f>SUBTOTAL(109,locals281[Accounts Payable
Balance])</f>
        <v>4909840</v>
      </c>
      <c r="H132" s="179">
        <f>SUBTOTAL(109,locals281[Established
Accounts Receivable])</f>
        <v>0</v>
      </c>
      <c r="I132" s="179">
        <f>SUBTOTAL(109,locals281[Less: Recovered Amount])</f>
        <v>0</v>
      </c>
      <c r="J132" s="179">
        <f>SUBTOTAL(109,locals281[Accounts Receivable
Balance])</f>
        <v>0</v>
      </c>
      <c r="K132" s="78">
        <f>SUBTOTAL(109,locals281[Net
Balance])</f>
        <v>4909840</v>
      </c>
    </row>
    <row r="133" spans="1:11" s="272" customFormat="1" ht="15" outlineLevel="2" x14ac:dyDescent="0.2">
      <c r="A133" s="304" t="s">
        <v>508</v>
      </c>
      <c r="C133" s="243"/>
      <c r="D133" s="243"/>
      <c r="E133" s="246"/>
      <c r="F133" s="246"/>
      <c r="G133" s="246"/>
      <c r="H133" s="246"/>
      <c r="I133" s="246"/>
      <c r="J133" s="246"/>
      <c r="K133" s="246"/>
    </row>
    <row r="134" spans="1:11" ht="50.1" customHeight="1" outlineLevel="2" x14ac:dyDescent="0.25">
      <c r="A134" s="176" t="s">
        <v>99</v>
      </c>
      <c r="B134" s="176" t="s">
        <v>1</v>
      </c>
      <c r="C134" s="176" t="s">
        <v>195</v>
      </c>
      <c r="D134" s="176" t="s">
        <v>98</v>
      </c>
      <c r="E134" s="210" t="s">
        <v>188</v>
      </c>
      <c r="F134" s="239" t="s">
        <v>442</v>
      </c>
      <c r="G134" s="210" t="s">
        <v>528</v>
      </c>
      <c r="H134" s="210" t="s">
        <v>529</v>
      </c>
      <c r="I134" s="210" t="s">
        <v>197</v>
      </c>
      <c r="J134" s="210" t="s">
        <v>530</v>
      </c>
      <c r="K134" s="210" t="s">
        <v>196</v>
      </c>
    </row>
    <row r="135" spans="1:11" outlineLevel="2" x14ac:dyDescent="0.25">
      <c r="A135" s="303" t="s">
        <v>473</v>
      </c>
      <c r="B135" s="272" t="s">
        <v>474</v>
      </c>
      <c r="C135" s="243">
        <v>323</v>
      </c>
      <c r="D135" s="243" t="s">
        <v>185</v>
      </c>
      <c r="E135" s="246">
        <v>630042</v>
      </c>
      <c r="F135" s="297">
        <v>0</v>
      </c>
      <c r="G135" s="246">
        <v>630042</v>
      </c>
      <c r="H135" s="297">
        <v>0</v>
      </c>
      <c r="I135" s="297">
        <v>0</v>
      </c>
      <c r="J135" s="297">
        <v>0</v>
      </c>
      <c r="K135" s="246">
        <v>630042</v>
      </c>
    </row>
    <row r="136" spans="1:11" outlineLevel="2" x14ac:dyDescent="0.25">
      <c r="A136" s="303" t="s">
        <v>473</v>
      </c>
      <c r="B136" s="272" t="s">
        <v>474</v>
      </c>
      <c r="C136" s="243">
        <v>323</v>
      </c>
      <c r="D136" s="243" t="s">
        <v>84</v>
      </c>
      <c r="E136" s="246">
        <v>2509</v>
      </c>
      <c r="F136" s="297">
        <v>0</v>
      </c>
      <c r="G136" s="246">
        <v>2509</v>
      </c>
      <c r="H136" s="297">
        <v>0</v>
      </c>
      <c r="I136" s="297">
        <v>0</v>
      </c>
      <c r="J136" s="297">
        <v>0</v>
      </c>
      <c r="K136" s="246">
        <v>2509</v>
      </c>
    </row>
    <row r="137" spans="1:11" outlineLevel="2" x14ac:dyDescent="0.25">
      <c r="A137" s="303" t="s">
        <v>473</v>
      </c>
      <c r="B137" s="272" t="s">
        <v>474</v>
      </c>
      <c r="C137" s="243">
        <v>323</v>
      </c>
      <c r="D137" s="243" t="s">
        <v>87</v>
      </c>
      <c r="E137" s="246">
        <v>468288</v>
      </c>
      <c r="F137" s="297">
        <v>0</v>
      </c>
      <c r="G137" s="246">
        <v>468288</v>
      </c>
      <c r="H137" s="297">
        <v>0</v>
      </c>
      <c r="I137" s="297">
        <v>0</v>
      </c>
      <c r="J137" s="297">
        <v>0</v>
      </c>
      <c r="K137" s="246">
        <v>468288</v>
      </c>
    </row>
    <row r="138" spans="1:11" outlineLevel="2" x14ac:dyDescent="0.25">
      <c r="A138" s="303" t="s">
        <v>473</v>
      </c>
      <c r="B138" s="272" t="s">
        <v>474</v>
      </c>
      <c r="C138" s="243">
        <v>323</v>
      </c>
      <c r="D138" s="243" t="s">
        <v>79</v>
      </c>
      <c r="E138" s="246">
        <v>321317</v>
      </c>
      <c r="F138" s="297">
        <v>0</v>
      </c>
      <c r="G138" s="246">
        <v>321317</v>
      </c>
      <c r="H138" s="297">
        <v>0</v>
      </c>
      <c r="I138" s="297">
        <v>0</v>
      </c>
      <c r="J138" s="297">
        <v>0</v>
      </c>
      <c r="K138" s="246">
        <v>321317</v>
      </c>
    </row>
    <row r="139" spans="1:11" outlineLevel="2" x14ac:dyDescent="0.25">
      <c r="A139" s="303" t="s">
        <v>473</v>
      </c>
      <c r="B139" s="272" t="s">
        <v>474</v>
      </c>
      <c r="C139" s="243">
        <v>323</v>
      </c>
      <c r="D139" s="243" t="s">
        <v>81</v>
      </c>
      <c r="E139" s="246">
        <v>224217</v>
      </c>
      <c r="F139" s="297">
        <v>0</v>
      </c>
      <c r="G139" s="246">
        <v>224217</v>
      </c>
      <c r="H139" s="297">
        <v>0</v>
      </c>
      <c r="I139" s="297">
        <v>0</v>
      </c>
      <c r="J139" s="297">
        <v>0</v>
      </c>
      <c r="K139" s="246">
        <v>224217</v>
      </c>
    </row>
    <row r="140" spans="1:11" outlineLevel="2" x14ac:dyDescent="0.25">
      <c r="A140" s="303" t="s">
        <v>473</v>
      </c>
      <c r="B140" s="272" t="s">
        <v>474</v>
      </c>
      <c r="C140" s="243">
        <v>323</v>
      </c>
      <c r="D140" s="243" t="s">
        <v>83</v>
      </c>
      <c r="E140" s="246">
        <v>138065</v>
      </c>
      <c r="F140" s="297">
        <v>0</v>
      </c>
      <c r="G140" s="246">
        <v>138065</v>
      </c>
      <c r="H140" s="297">
        <v>0</v>
      </c>
      <c r="I140" s="297">
        <v>0</v>
      </c>
      <c r="J140" s="297">
        <v>0</v>
      </c>
      <c r="K140" s="246">
        <v>138065</v>
      </c>
    </row>
    <row r="141" spans="1:11" outlineLevel="2" x14ac:dyDescent="0.25">
      <c r="A141" s="303" t="s">
        <v>473</v>
      </c>
      <c r="B141" s="272" t="s">
        <v>474</v>
      </c>
      <c r="C141" s="243">
        <v>323</v>
      </c>
      <c r="D141" s="243" t="s">
        <v>74</v>
      </c>
      <c r="E141" s="246">
        <v>32181</v>
      </c>
      <c r="F141" s="297">
        <v>0</v>
      </c>
      <c r="G141" s="246">
        <v>32181</v>
      </c>
      <c r="H141" s="297">
        <v>0</v>
      </c>
      <c r="I141" s="297">
        <v>0</v>
      </c>
      <c r="J141" s="297">
        <v>0</v>
      </c>
      <c r="K141" s="246">
        <v>32181</v>
      </c>
    </row>
    <row r="142" spans="1:11" outlineLevel="2" x14ac:dyDescent="0.25">
      <c r="A142" s="271" t="s">
        <v>475</v>
      </c>
      <c r="B142" s="74" t="s">
        <v>500</v>
      </c>
      <c r="C142" s="180" t="s">
        <v>500</v>
      </c>
      <c r="D142" s="180" t="s">
        <v>500</v>
      </c>
      <c r="E142" s="78">
        <f>SUBTOTAL(109,locals323[Program
Costs])</f>
        <v>1816619</v>
      </c>
      <c r="F142" s="179">
        <f>SUBTOTAL(109,locals323[Less: Net Payments and Offsets])</f>
        <v>0</v>
      </c>
      <c r="G142" s="78">
        <f>SUBTOTAL(109,locals323[Accounts Payable
Balance])</f>
        <v>1816619</v>
      </c>
      <c r="H142" s="179">
        <f>SUBTOTAL(109,locals323[Established
Accounts Receivable])</f>
        <v>0</v>
      </c>
      <c r="I142" s="179">
        <f>SUBTOTAL(109,locals323[Less: Recovered Amount])</f>
        <v>0</v>
      </c>
      <c r="J142" s="179">
        <f>SUBTOTAL(109,locals323[Accounts Receivable
Balance])</f>
        <v>0</v>
      </c>
      <c r="K142" s="78">
        <f>SUBTOTAL(109,locals323[Net
Balance])</f>
        <v>1816619</v>
      </c>
    </row>
    <row r="143" spans="1:11" s="272" customFormat="1" ht="15" outlineLevel="2" x14ac:dyDescent="0.2">
      <c r="A143" s="304" t="s">
        <v>508</v>
      </c>
      <c r="C143" s="243"/>
      <c r="D143" s="243"/>
      <c r="E143" s="246"/>
      <c r="F143" s="246"/>
      <c r="G143" s="246"/>
      <c r="H143" s="246"/>
      <c r="I143" s="246"/>
      <c r="J143" s="246"/>
      <c r="K143" s="246"/>
    </row>
    <row r="144" spans="1:11" ht="50.1" customHeight="1" outlineLevel="2" x14ac:dyDescent="0.25">
      <c r="A144" s="176" t="s">
        <v>99</v>
      </c>
      <c r="B144" s="176" t="s">
        <v>1</v>
      </c>
      <c r="C144" s="176" t="s">
        <v>195</v>
      </c>
      <c r="D144" s="176" t="s">
        <v>98</v>
      </c>
      <c r="E144" s="210" t="s">
        <v>188</v>
      </c>
      <c r="F144" s="239" t="s">
        <v>442</v>
      </c>
      <c r="G144" s="210" t="s">
        <v>528</v>
      </c>
      <c r="H144" s="210" t="s">
        <v>529</v>
      </c>
      <c r="I144" s="210" t="s">
        <v>197</v>
      </c>
      <c r="J144" s="210" t="s">
        <v>530</v>
      </c>
      <c r="K144" s="210" t="s">
        <v>196</v>
      </c>
    </row>
    <row r="145" spans="1:11" outlineLevel="1" x14ac:dyDescent="0.25">
      <c r="A145" s="303" t="s">
        <v>476</v>
      </c>
      <c r="B145" s="272" t="s">
        <v>176</v>
      </c>
      <c r="C145" s="243">
        <v>314</v>
      </c>
      <c r="D145" s="243" t="s">
        <v>184</v>
      </c>
      <c r="E145" s="246">
        <v>244451</v>
      </c>
      <c r="F145" s="297">
        <v>0</v>
      </c>
      <c r="G145" s="246">
        <v>244451</v>
      </c>
      <c r="H145" s="297">
        <v>0</v>
      </c>
      <c r="I145" s="297">
        <v>0</v>
      </c>
      <c r="J145" s="297">
        <v>0</v>
      </c>
      <c r="K145" s="246">
        <v>244451</v>
      </c>
    </row>
    <row r="146" spans="1:11" outlineLevel="2" x14ac:dyDescent="0.25">
      <c r="A146" s="303" t="s">
        <v>476</v>
      </c>
      <c r="B146" s="272" t="s">
        <v>176</v>
      </c>
      <c r="C146" s="243">
        <v>314</v>
      </c>
      <c r="D146" s="243" t="s">
        <v>185</v>
      </c>
      <c r="E146" s="246">
        <v>372223</v>
      </c>
      <c r="F146" s="297">
        <v>0</v>
      </c>
      <c r="G146" s="246">
        <v>372223</v>
      </c>
      <c r="H146" s="297">
        <v>0</v>
      </c>
      <c r="I146" s="297">
        <v>0</v>
      </c>
      <c r="J146" s="297">
        <v>0</v>
      </c>
      <c r="K146" s="246">
        <v>372223</v>
      </c>
    </row>
    <row r="147" spans="1:11" outlineLevel="2" x14ac:dyDescent="0.25">
      <c r="A147" s="303" t="s">
        <v>476</v>
      </c>
      <c r="B147" s="272" t="s">
        <v>176</v>
      </c>
      <c r="C147" s="243">
        <v>314</v>
      </c>
      <c r="D147" s="243" t="s">
        <v>84</v>
      </c>
      <c r="E147" s="246">
        <v>377417</v>
      </c>
      <c r="F147" s="297">
        <v>0</v>
      </c>
      <c r="G147" s="246">
        <v>377417</v>
      </c>
      <c r="H147" s="297">
        <v>0</v>
      </c>
      <c r="I147" s="297">
        <v>0</v>
      </c>
      <c r="J147" s="297">
        <v>0</v>
      </c>
      <c r="K147" s="246">
        <v>377417</v>
      </c>
    </row>
    <row r="148" spans="1:11" outlineLevel="2" x14ac:dyDescent="0.25">
      <c r="A148" s="303" t="s">
        <v>476</v>
      </c>
      <c r="B148" s="272" t="s">
        <v>176</v>
      </c>
      <c r="C148" s="243">
        <v>314</v>
      </c>
      <c r="D148" s="243" t="s">
        <v>87</v>
      </c>
      <c r="E148" s="246">
        <v>387912</v>
      </c>
      <c r="F148" s="297">
        <v>0</v>
      </c>
      <c r="G148" s="246">
        <v>387912</v>
      </c>
      <c r="H148" s="297">
        <v>0</v>
      </c>
      <c r="I148" s="297">
        <v>0</v>
      </c>
      <c r="J148" s="297">
        <v>0</v>
      </c>
      <c r="K148" s="246">
        <v>387912</v>
      </c>
    </row>
    <row r="149" spans="1:11" outlineLevel="1" x14ac:dyDescent="0.25">
      <c r="A149" s="303" t="s">
        <v>476</v>
      </c>
      <c r="B149" s="272" t="s">
        <v>176</v>
      </c>
      <c r="C149" s="243">
        <v>314</v>
      </c>
      <c r="D149" s="243" t="s">
        <v>76</v>
      </c>
      <c r="E149" s="246">
        <v>533273</v>
      </c>
      <c r="F149" s="297">
        <v>0</v>
      </c>
      <c r="G149" s="246">
        <v>533273</v>
      </c>
      <c r="H149" s="297">
        <v>0</v>
      </c>
      <c r="I149" s="297">
        <v>0</v>
      </c>
      <c r="J149" s="297">
        <v>0</v>
      </c>
      <c r="K149" s="246">
        <v>533273</v>
      </c>
    </row>
    <row r="150" spans="1:11" ht="15" customHeight="1" outlineLevel="2" x14ac:dyDescent="0.25">
      <c r="A150" s="303" t="s">
        <v>476</v>
      </c>
      <c r="B150" s="272" t="s">
        <v>176</v>
      </c>
      <c r="C150" s="243">
        <v>314</v>
      </c>
      <c r="D150" s="243" t="s">
        <v>79</v>
      </c>
      <c r="E150" s="246">
        <v>912918</v>
      </c>
      <c r="F150" s="297">
        <v>0</v>
      </c>
      <c r="G150" s="246">
        <v>912918</v>
      </c>
      <c r="H150" s="297">
        <v>0</v>
      </c>
      <c r="I150" s="297">
        <v>0</v>
      </c>
      <c r="J150" s="297">
        <v>0</v>
      </c>
      <c r="K150" s="246">
        <v>912918</v>
      </c>
    </row>
    <row r="151" spans="1:11" ht="15" customHeight="1" outlineLevel="2" x14ac:dyDescent="0.25">
      <c r="A151" s="303" t="s">
        <v>476</v>
      </c>
      <c r="B151" s="272" t="s">
        <v>176</v>
      </c>
      <c r="C151" s="243">
        <v>314</v>
      </c>
      <c r="D151" s="243" t="s">
        <v>80</v>
      </c>
      <c r="E151" s="246">
        <v>910934</v>
      </c>
      <c r="F151" s="297">
        <v>0</v>
      </c>
      <c r="G151" s="246">
        <v>910934</v>
      </c>
      <c r="H151" s="297">
        <v>0</v>
      </c>
      <c r="I151" s="297">
        <v>0</v>
      </c>
      <c r="J151" s="297">
        <v>0</v>
      </c>
      <c r="K151" s="246">
        <v>910934</v>
      </c>
    </row>
    <row r="152" spans="1:11" ht="15" customHeight="1" outlineLevel="2" x14ac:dyDescent="0.25">
      <c r="A152" s="303" t="s">
        <v>476</v>
      </c>
      <c r="B152" s="272" t="s">
        <v>176</v>
      </c>
      <c r="C152" s="243">
        <v>314</v>
      </c>
      <c r="D152" s="243" t="s">
        <v>81</v>
      </c>
      <c r="E152" s="246">
        <v>874691</v>
      </c>
      <c r="F152" s="297">
        <v>0</v>
      </c>
      <c r="G152" s="246">
        <v>874691</v>
      </c>
      <c r="H152" s="297">
        <v>0</v>
      </c>
      <c r="I152" s="297">
        <v>0</v>
      </c>
      <c r="J152" s="297">
        <v>0</v>
      </c>
      <c r="K152" s="246">
        <v>874691</v>
      </c>
    </row>
    <row r="153" spans="1:11" ht="15" customHeight="1" outlineLevel="2" x14ac:dyDescent="0.25">
      <c r="A153" s="303" t="s">
        <v>476</v>
      </c>
      <c r="B153" s="272" t="s">
        <v>176</v>
      </c>
      <c r="C153" s="243">
        <v>314</v>
      </c>
      <c r="D153" s="243" t="s">
        <v>82</v>
      </c>
      <c r="E153" s="246">
        <v>817164</v>
      </c>
      <c r="F153" s="297">
        <v>0</v>
      </c>
      <c r="G153" s="246">
        <v>817164</v>
      </c>
      <c r="H153" s="297">
        <v>0</v>
      </c>
      <c r="I153" s="297">
        <v>0</v>
      </c>
      <c r="J153" s="297">
        <v>0</v>
      </c>
      <c r="K153" s="246">
        <v>817164</v>
      </c>
    </row>
    <row r="154" spans="1:11" ht="15" customHeight="1" outlineLevel="2" x14ac:dyDescent="0.25">
      <c r="A154" s="303" t="s">
        <v>476</v>
      </c>
      <c r="B154" s="272" t="s">
        <v>176</v>
      </c>
      <c r="C154" s="243">
        <v>314</v>
      </c>
      <c r="D154" s="243" t="s">
        <v>83</v>
      </c>
      <c r="E154" s="246">
        <v>831167</v>
      </c>
      <c r="F154" s="297">
        <v>0</v>
      </c>
      <c r="G154" s="246">
        <v>831167</v>
      </c>
      <c r="H154" s="297">
        <v>0</v>
      </c>
      <c r="I154" s="297">
        <v>0</v>
      </c>
      <c r="J154" s="297">
        <v>0</v>
      </c>
      <c r="K154" s="246">
        <v>831167</v>
      </c>
    </row>
    <row r="155" spans="1:11" ht="15" customHeight="1" outlineLevel="2" x14ac:dyDescent="0.25">
      <c r="A155" s="303" t="s">
        <v>476</v>
      </c>
      <c r="B155" s="272" t="s">
        <v>176</v>
      </c>
      <c r="C155" s="243">
        <v>314</v>
      </c>
      <c r="D155" s="243" t="s">
        <v>71</v>
      </c>
      <c r="E155" s="246">
        <v>792501</v>
      </c>
      <c r="F155" s="297">
        <v>0</v>
      </c>
      <c r="G155" s="246">
        <v>792501</v>
      </c>
      <c r="H155" s="297">
        <v>0</v>
      </c>
      <c r="I155" s="297">
        <v>0</v>
      </c>
      <c r="J155" s="297">
        <v>0</v>
      </c>
      <c r="K155" s="246">
        <v>792501</v>
      </c>
    </row>
    <row r="156" spans="1:11" ht="15" customHeight="1" outlineLevel="2" x14ac:dyDescent="0.25">
      <c r="A156" s="271" t="s">
        <v>477</v>
      </c>
      <c r="B156" s="74" t="s">
        <v>500</v>
      </c>
      <c r="C156" s="74" t="s">
        <v>500</v>
      </c>
      <c r="D156" s="74" t="s">
        <v>500</v>
      </c>
      <c r="E156" s="78">
        <f>SUBTOTAL(109,locals314[Program
Costs])</f>
        <v>7054651</v>
      </c>
      <c r="F156" s="179">
        <f>SUBTOTAL(109,locals314[Less: Net Payments and Offsets])</f>
        <v>0</v>
      </c>
      <c r="G156" s="78">
        <f>SUBTOTAL(109,locals314[Accounts Payable
Balance])</f>
        <v>7054651</v>
      </c>
      <c r="H156" s="179">
        <f>SUBTOTAL(109,locals314[Established
Accounts Receivable])</f>
        <v>0</v>
      </c>
      <c r="I156" s="179">
        <f>SUBTOTAL(109,locals314[Less: Recovered Amount])</f>
        <v>0</v>
      </c>
      <c r="J156" s="179">
        <f>SUBTOTAL(109,locals314[Accounts Receivable
Balance])</f>
        <v>0</v>
      </c>
      <c r="K156" s="78">
        <f>SUBTOTAL(109,locals314[Net
Balance])</f>
        <v>7054651</v>
      </c>
    </row>
    <row r="157" spans="1:11" s="272" customFormat="1" ht="15" customHeight="1" outlineLevel="2" x14ac:dyDescent="0.2">
      <c r="A157" s="304" t="s">
        <v>508</v>
      </c>
      <c r="C157" s="243"/>
      <c r="D157" s="243"/>
      <c r="E157" s="246"/>
      <c r="F157" s="246"/>
      <c r="G157" s="246"/>
      <c r="H157" s="246"/>
      <c r="I157" s="246"/>
      <c r="J157" s="246"/>
      <c r="K157" s="246"/>
    </row>
    <row r="158" spans="1:11" ht="50.1" customHeight="1" outlineLevel="2" x14ac:dyDescent="0.25">
      <c r="A158" s="176" t="s">
        <v>99</v>
      </c>
      <c r="B158" s="176" t="s">
        <v>1</v>
      </c>
      <c r="C158" s="176" t="s">
        <v>195</v>
      </c>
      <c r="D158" s="176" t="s">
        <v>98</v>
      </c>
      <c r="E158" s="210" t="s">
        <v>188</v>
      </c>
      <c r="F158" s="239" t="s">
        <v>442</v>
      </c>
      <c r="G158" s="210" t="s">
        <v>528</v>
      </c>
      <c r="H158" s="210" t="s">
        <v>529</v>
      </c>
      <c r="I158" s="210" t="s">
        <v>197</v>
      </c>
      <c r="J158" s="210" t="s">
        <v>530</v>
      </c>
      <c r="K158" s="210" t="s">
        <v>196</v>
      </c>
    </row>
    <row r="159" spans="1:11" ht="15" customHeight="1" outlineLevel="2" x14ac:dyDescent="0.25">
      <c r="A159" s="303" t="s">
        <v>478</v>
      </c>
      <c r="B159" s="272" t="s">
        <v>479</v>
      </c>
      <c r="C159" s="243">
        <v>373</v>
      </c>
      <c r="D159" s="243" t="s">
        <v>165</v>
      </c>
      <c r="E159" s="246">
        <v>438069</v>
      </c>
      <c r="F159" s="297">
        <v>0</v>
      </c>
      <c r="G159" s="246">
        <v>438069</v>
      </c>
      <c r="H159" s="297">
        <v>0</v>
      </c>
      <c r="I159" s="297">
        <v>0</v>
      </c>
      <c r="J159" s="297">
        <v>0</v>
      </c>
      <c r="K159" s="246">
        <v>438069</v>
      </c>
    </row>
    <row r="160" spans="1:11" ht="15" customHeight="1" outlineLevel="2" x14ac:dyDescent="0.25">
      <c r="A160" s="303" t="s">
        <v>478</v>
      </c>
      <c r="B160" s="272" t="s">
        <v>479</v>
      </c>
      <c r="C160" s="243">
        <v>373</v>
      </c>
      <c r="D160" s="243" t="s">
        <v>16</v>
      </c>
      <c r="E160" s="246">
        <v>593240</v>
      </c>
      <c r="F160" s="297">
        <v>0</v>
      </c>
      <c r="G160" s="246">
        <v>593240</v>
      </c>
      <c r="H160" s="297">
        <v>0</v>
      </c>
      <c r="I160" s="297">
        <v>0</v>
      </c>
      <c r="J160" s="297">
        <v>0</v>
      </c>
      <c r="K160" s="246">
        <v>593240</v>
      </c>
    </row>
    <row r="161" spans="1:11" ht="15" customHeight="1" outlineLevel="2" x14ac:dyDescent="0.25">
      <c r="A161" s="303" t="s">
        <v>478</v>
      </c>
      <c r="B161" s="272" t="s">
        <v>479</v>
      </c>
      <c r="C161" s="243">
        <v>373</v>
      </c>
      <c r="D161" s="243" t="s">
        <v>18</v>
      </c>
      <c r="E161" s="246">
        <v>1720557</v>
      </c>
      <c r="F161" s="297">
        <v>0</v>
      </c>
      <c r="G161" s="246">
        <v>1720557</v>
      </c>
      <c r="H161" s="297">
        <v>0</v>
      </c>
      <c r="I161" s="297">
        <v>0</v>
      </c>
      <c r="J161" s="297">
        <v>0</v>
      </c>
      <c r="K161" s="246">
        <v>1720557</v>
      </c>
    </row>
    <row r="162" spans="1:11" ht="15" customHeight="1" outlineLevel="2" x14ac:dyDescent="0.25">
      <c r="A162" s="271" t="s">
        <v>480</v>
      </c>
      <c r="B162" s="74" t="s">
        <v>500</v>
      </c>
      <c r="C162" s="180" t="s">
        <v>500</v>
      </c>
      <c r="D162" s="180" t="s">
        <v>500</v>
      </c>
      <c r="E162" s="78">
        <f>SUBTOTAL(109,locals373[Program
Costs])</f>
        <v>2751866</v>
      </c>
      <c r="F162" s="179">
        <f>SUBTOTAL(109,locals373[Less: Net Payments and Offsets])</f>
        <v>0</v>
      </c>
      <c r="G162" s="78">
        <f>SUBTOTAL(109,locals373[Accounts Payable
Balance])</f>
        <v>2751866</v>
      </c>
      <c r="H162" s="179">
        <f>SUBTOTAL(109,locals373[Established
Accounts Receivable])</f>
        <v>0</v>
      </c>
      <c r="I162" s="179">
        <f>SUBTOTAL(109,locals373[Less: Recovered Amount])</f>
        <v>0</v>
      </c>
      <c r="J162" s="179">
        <f>SUBTOTAL(109,locals373[Accounts Receivable
Balance])</f>
        <v>0</v>
      </c>
      <c r="K162" s="78">
        <f>SUBTOTAL(109,locals373[Net
Balance])</f>
        <v>2751866</v>
      </c>
    </row>
    <row r="163" spans="1:11" s="272" customFormat="1" ht="15" customHeight="1" outlineLevel="2" x14ac:dyDescent="0.2">
      <c r="A163" s="304" t="s">
        <v>508</v>
      </c>
      <c r="C163" s="243"/>
      <c r="D163" s="243"/>
      <c r="E163" s="246"/>
      <c r="F163" s="246"/>
      <c r="G163" s="246"/>
      <c r="H163" s="246"/>
      <c r="I163" s="246"/>
      <c r="J163" s="246"/>
      <c r="K163" s="246"/>
    </row>
    <row r="164" spans="1:11" ht="50.1" customHeight="1" outlineLevel="2" x14ac:dyDescent="0.25">
      <c r="A164" s="176" t="s">
        <v>99</v>
      </c>
      <c r="B164" s="176" t="s">
        <v>1</v>
      </c>
      <c r="C164" s="176" t="s">
        <v>195</v>
      </c>
      <c r="D164" s="176" t="s">
        <v>98</v>
      </c>
      <c r="E164" s="210" t="s">
        <v>188</v>
      </c>
      <c r="F164" s="239" t="s">
        <v>442</v>
      </c>
      <c r="G164" s="210" t="s">
        <v>528</v>
      </c>
      <c r="H164" s="210" t="s">
        <v>529</v>
      </c>
      <c r="I164" s="210" t="s">
        <v>197</v>
      </c>
      <c r="J164" s="210" t="s">
        <v>530</v>
      </c>
      <c r="K164" s="210" t="s">
        <v>196</v>
      </c>
    </row>
    <row r="165" spans="1:11" ht="15" customHeight="1" outlineLevel="2" x14ac:dyDescent="0.25">
      <c r="A165" s="303" t="s">
        <v>481</v>
      </c>
      <c r="B165" s="272" t="s">
        <v>199</v>
      </c>
      <c r="C165" s="243">
        <v>356</v>
      </c>
      <c r="D165" s="243" t="s">
        <v>165</v>
      </c>
      <c r="E165" s="246">
        <v>659885</v>
      </c>
      <c r="F165" s="297">
        <v>0</v>
      </c>
      <c r="G165" s="246">
        <v>659885</v>
      </c>
      <c r="H165" s="297">
        <v>0</v>
      </c>
      <c r="I165" s="297">
        <v>0</v>
      </c>
      <c r="J165" s="297">
        <v>0</v>
      </c>
      <c r="K165" s="246">
        <v>659885</v>
      </c>
    </row>
    <row r="166" spans="1:11" ht="15" customHeight="1" outlineLevel="2" x14ac:dyDescent="0.25">
      <c r="A166" s="303" t="s">
        <v>481</v>
      </c>
      <c r="B166" s="272" t="s">
        <v>199</v>
      </c>
      <c r="C166" s="243">
        <v>356</v>
      </c>
      <c r="D166" s="243" t="s">
        <v>16</v>
      </c>
      <c r="E166" s="246">
        <v>669653</v>
      </c>
      <c r="F166" s="297">
        <v>0</v>
      </c>
      <c r="G166" s="246">
        <v>669653</v>
      </c>
      <c r="H166" s="297">
        <v>0</v>
      </c>
      <c r="I166" s="297">
        <v>0</v>
      </c>
      <c r="J166" s="297">
        <v>0</v>
      </c>
      <c r="K166" s="246">
        <v>669653</v>
      </c>
    </row>
    <row r="167" spans="1:11" ht="15" customHeight="1" outlineLevel="2" x14ac:dyDescent="0.25">
      <c r="A167" s="303" t="s">
        <v>481</v>
      </c>
      <c r="B167" s="272" t="s">
        <v>199</v>
      </c>
      <c r="C167" s="243">
        <v>356</v>
      </c>
      <c r="D167" s="243" t="s">
        <v>18</v>
      </c>
      <c r="E167" s="246">
        <v>618356</v>
      </c>
      <c r="F167" s="297">
        <v>0</v>
      </c>
      <c r="G167" s="246">
        <v>618356</v>
      </c>
      <c r="H167" s="297">
        <v>0</v>
      </c>
      <c r="I167" s="297">
        <v>0</v>
      </c>
      <c r="J167" s="297">
        <v>0</v>
      </c>
      <c r="K167" s="246">
        <v>618356</v>
      </c>
    </row>
    <row r="168" spans="1:11" ht="15" customHeight="1" outlineLevel="2" x14ac:dyDescent="0.25">
      <c r="A168" s="303" t="s">
        <v>481</v>
      </c>
      <c r="B168" s="272" t="s">
        <v>199</v>
      </c>
      <c r="C168" s="243">
        <v>356</v>
      </c>
      <c r="D168" s="243" t="s">
        <v>14</v>
      </c>
      <c r="E168" s="246">
        <v>538204</v>
      </c>
      <c r="F168" s="297">
        <v>0</v>
      </c>
      <c r="G168" s="246">
        <v>538204</v>
      </c>
      <c r="H168" s="297">
        <v>0</v>
      </c>
      <c r="I168" s="297">
        <v>0</v>
      </c>
      <c r="J168" s="297">
        <v>0</v>
      </c>
      <c r="K168" s="246">
        <v>538204</v>
      </c>
    </row>
    <row r="169" spans="1:11" outlineLevel="1" x14ac:dyDescent="0.25">
      <c r="A169" s="303" t="s">
        <v>481</v>
      </c>
      <c r="B169" s="272" t="s">
        <v>199</v>
      </c>
      <c r="C169" s="243">
        <v>356</v>
      </c>
      <c r="D169" s="243" t="s">
        <v>206</v>
      </c>
      <c r="E169" s="246">
        <v>501396</v>
      </c>
      <c r="F169" s="297">
        <v>0</v>
      </c>
      <c r="G169" s="246">
        <v>501396</v>
      </c>
      <c r="H169" s="297">
        <v>0</v>
      </c>
      <c r="I169" s="297">
        <v>0</v>
      </c>
      <c r="J169" s="297">
        <v>0</v>
      </c>
      <c r="K169" s="246">
        <v>501396</v>
      </c>
    </row>
    <row r="170" spans="1:11" outlineLevel="2" x14ac:dyDescent="0.25">
      <c r="A170" s="303" t="s">
        <v>481</v>
      </c>
      <c r="B170" s="272" t="s">
        <v>199</v>
      </c>
      <c r="C170" s="243">
        <v>356</v>
      </c>
      <c r="D170" s="243" t="s">
        <v>183</v>
      </c>
      <c r="E170" s="246">
        <v>517346</v>
      </c>
      <c r="F170" s="297">
        <v>0</v>
      </c>
      <c r="G170" s="246">
        <v>517346</v>
      </c>
      <c r="H170" s="297">
        <v>0</v>
      </c>
      <c r="I170" s="297">
        <v>0</v>
      </c>
      <c r="J170" s="297">
        <v>0</v>
      </c>
      <c r="K170" s="246">
        <v>517346</v>
      </c>
    </row>
    <row r="171" spans="1:11" outlineLevel="2" x14ac:dyDescent="0.25">
      <c r="A171" s="303" t="s">
        <v>481</v>
      </c>
      <c r="B171" s="272" t="s">
        <v>199</v>
      </c>
      <c r="C171" s="243">
        <v>356</v>
      </c>
      <c r="D171" s="243" t="s">
        <v>184</v>
      </c>
      <c r="E171" s="246">
        <v>411975</v>
      </c>
      <c r="F171" s="297">
        <v>0</v>
      </c>
      <c r="G171" s="246">
        <v>411975</v>
      </c>
      <c r="H171" s="297">
        <v>0</v>
      </c>
      <c r="I171" s="297">
        <v>0</v>
      </c>
      <c r="J171" s="297">
        <v>0</v>
      </c>
      <c r="K171" s="246">
        <v>411975</v>
      </c>
    </row>
    <row r="172" spans="1:11" outlineLevel="2" x14ac:dyDescent="0.25">
      <c r="A172" s="303" t="s">
        <v>481</v>
      </c>
      <c r="B172" s="272" t="s">
        <v>199</v>
      </c>
      <c r="C172" s="243">
        <v>356</v>
      </c>
      <c r="D172" s="243" t="s">
        <v>185</v>
      </c>
      <c r="E172" s="246">
        <v>369012</v>
      </c>
      <c r="F172" s="297">
        <v>0</v>
      </c>
      <c r="G172" s="246">
        <v>369012</v>
      </c>
      <c r="H172" s="297">
        <v>0</v>
      </c>
      <c r="I172" s="297">
        <v>0</v>
      </c>
      <c r="J172" s="297">
        <v>0</v>
      </c>
      <c r="K172" s="246">
        <v>369012</v>
      </c>
    </row>
    <row r="173" spans="1:11" outlineLevel="2" x14ac:dyDescent="0.25">
      <c r="A173" s="303" t="s">
        <v>481</v>
      </c>
      <c r="B173" s="272" t="s">
        <v>199</v>
      </c>
      <c r="C173" s="243">
        <v>356</v>
      </c>
      <c r="D173" s="243" t="s">
        <v>84</v>
      </c>
      <c r="E173" s="246">
        <v>339391</v>
      </c>
      <c r="F173" s="297">
        <v>0</v>
      </c>
      <c r="G173" s="246">
        <v>339391</v>
      </c>
      <c r="H173" s="297">
        <v>0</v>
      </c>
      <c r="I173" s="297">
        <v>0</v>
      </c>
      <c r="J173" s="297">
        <v>0</v>
      </c>
      <c r="K173" s="246">
        <v>339391</v>
      </c>
    </row>
    <row r="174" spans="1:11" outlineLevel="2" x14ac:dyDescent="0.25">
      <c r="A174" s="303" t="s">
        <v>481</v>
      </c>
      <c r="B174" s="272" t="s">
        <v>199</v>
      </c>
      <c r="C174" s="243">
        <v>356</v>
      </c>
      <c r="D174" s="243" t="s">
        <v>87</v>
      </c>
      <c r="E174" s="246">
        <v>418145</v>
      </c>
      <c r="F174" s="297">
        <v>0</v>
      </c>
      <c r="G174" s="246">
        <v>418145</v>
      </c>
      <c r="H174" s="297">
        <v>0</v>
      </c>
      <c r="I174" s="297">
        <v>0</v>
      </c>
      <c r="J174" s="297">
        <v>0</v>
      </c>
      <c r="K174" s="246">
        <v>418145</v>
      </c>
    </row>
    <row r="175" spans="1:11" outlineLevel="2" x14ac:dyDescent="0.25">
      <c r="A175" s="303" t="s">
        <v>481</v>
      </c>
      <c r="B175" s="272" t="s">
        <v>199</v>
      </c>
      <c r="C175" s="243">
        <v>356</v>
      </c>
      <c r="D175" s="243" t="s">
        <v>76</v>
      </c>
      <c r="E175" s="246">
        <v>361937</v>
      </c>
      <c r="F175" s="297">
        <v>0</v>
      </c>
      <c r="G175" s="246">
        <v>361937</v>
      </c>
      <c r="H175" s="297">
        <v>0</v>
      </c>
      <c r="I175" s="297">
        <v>0</v>
      </c>
      <c r="J175" s="297">
        <v>0</v>
      </c>
      <c r="K175" s="246">
        <v>361937</v>
      </c>
    </row>
    <row r="176" spans="1:11" outlineLevel="2" x14ac:dyDescent="0.25">
      <c r="A176" s="303" t="s">
        <v>481</v>
      </c>
      <c r="B176" s="272" t="s">
        <v>199</v>
      </c>
      <c r="C176" s="243">
        <v>356</v>
      </c>
      <c r="D176" s="243" t="s">
        <v>79</v>
      </c>
      <c r="E176" s="246">
        <v>268931</v>
      </c>
      <c r="F176" s="297">
        <v>0</v>
      </c>
      <c r="G176" s="246">
        <v>268931</v>
      </c>
      <c r="H176" s="297">
        <v>0</v>
      </c>
      <c r="I176" s="297">
        <v>0</v>
      </c>
      <c r="J176" s="297">
        <v>0</v>
      </c>
      <c r="K176" s="246">
        <v>268931</v>
      </c>
    </row>
    <row r="177" spans="1:11" outlineLevel="2" x14ac:dyDescent="0.25">
      <c r="A177" s="303" t="s">
        <v>481</v>
      </c>
      <c r="B177" s="272" t="s">
        <v>199</v>
      </c>
      <c r="C177" s="243">
        <v>356</v>
      </c>
      <c r="D177" s="243" t="s">
        <v>80</v>
      </c>
      <c r="E177" s="246">
        <v>361066</v>
      </c>
      <c r="F177" s="297">
        <v>0</v>
      </c>
      <c r="G177" s="246">
        <v>361066</v>
      </c>
      <c r="H177" s="297">
        <v>0</v>
      </c>
      <c r="I177" s="297">
        <v>0</v>
      </c>
      <c r="J177" s="297">
        <v>0</v>
      </c>
      <c r="K177" s="246">
        <v>361066</v>
      </c>
    </row>
    <row r="178" spans="1:11" outlineLevel="2" x14ac:dyDescent="0.25">
      <c r="A178" s="303" t="s">
        <v>481</v>
      </c>
      <c r="B178" s="272" t="s">
        <v>199</v>
      </c>
      <c r="C178" s="243">
        <v>356</v>
      </c>
      <c r="D178" s="243" t="s">
        <v>81</v>
      </c>
      <c r="E178" s="246">
        <v>271154</v>
      </c>
      <c r="F178" s="297">
        <v>0</v>
      </c>
      <c r="G178" s="246">
        <v>271154</v>
      </c>
      <c r="H178" s="297">
        <v>0</v>
      </c>
      <c r="I178" s="297">
        <v>0</v>
      </c>
      <c r="J178" s="297">
        <v>0</v>
      </c>
      <c r="K178" s="246">
        <v>271154</v>
      </c>
    </row>
    <row r="179" spans="1:11" outlineLevel="2" x14ac:dyDescent="0.25">
      <c r="A179" s="303" t="s">
        <v>481</v>
      </c>
      <c r="B179" s="272" t="s">
        <v>199</v>
      </c>
      <c r="C179" s="243">
        <v>356</v>
      </c>
      <c r="D179" s="243" t="s">
        <v>82</v>
      </c>
      <c r="E179" s="246">
        <v>298172</v>
      </c>
      <c r="F179" s="297">
        <v>0</v>
      </c>
      <c r="G179" s="246">
        <v>298172</v>
      </c>
      <c r="H179" s="297">
        <v>0</v>
      </c>
      <c r="I179" s="297">
        <v>0</v>
      </c>
      <c r="J179" s="297">
        <v>0</v>
      </c>
      <c r="K179" s="246">
        <v>298172</v>
      </c>
    </row>
    <row r="180" spans="1:11" outlineLevel="2" x14ac:dyDescent="0.25">
      <c r="A180" s="303" t="s">
        <v>481</v>
      </c>
      <c r="B180" s="272" t="s">
        <v>199</v>
      </c>
      <c r="C180" s="243">
        <v>356</v>
      </c>
      <c r="D180" s="243" t="s">
        <v>83</v>
      </c>
      <c r="E180" s="246">
        <v>241835</v>
      </c>
      <c r="F180" s="297">
        <v>0</v>
      </c>
      <c r="G180" s="246">
        <v>241835</v>
      </c>
      <c r="H180" s="297">
        <v>0</v>
      </c>
      <c r="I180" s="297">
        <v>0</v>
      </c>
      <c r="J180" s="297">
        <v>0</v>
      </c>
      <c r="K180" s="246">
        <v>241835</v>
      </c>
    </row>
    <row r="181" spans="1:11" outlineLevel="1" x14ac:dyDescent="0.25">
      <c r="A181" s="303" t="s">
        <v>481</v>
      </c>
      <c r="B181" s="272" t="s">
        <v>199</v>
      </c>
      <c r="C181" s="243">
        <v>356</v>
      </c>
      <c r="D181" s="243" t="s">
        <v>71</v>
      </c>
      <c r="E181" s="246">
        <v>224328</v>
      </c>
      <c r="F181" s="297">
        <v>0</v>
      </c>
      <c r="G181" s="246">
        <v>224328</v>
      </c>
      <c r="H181" s="297">
        <v>0</v>
      </c>
      <c r="I181" s="297">
        <v>0</v>
      </c>
      <c r="J181" s="297">
        <v>0</v>
      </c>
      <c r="K181" s="246">
        <v>224328</v>
      </c>
    </row>
    <row r="182" spans="1:11" outlineLevel="1" x14ac:dyDescent="0.25">
      <c r="A182" s="271" t="s">
        <v>482</v>
      </c>
      <c r="B182" s="74" t="s">
        <v>500</v>
      </c>
      <c r="C182" s="74" t="s">
        <v>500</v>
      </c>
      <c r="D182" s="74" t="s">
        <v>500</v>
      </c>
      <c r="E182" s="78">
        <f>SUBTOTAL(109,locals356[Program
Costs])</f>
        <v>7070786</v>
      </c>
      <c r="F182" s="179">
        <f>SUBTOTAL(109,locals356[Less: Net Payments and Offsets])</f>
        <v>0</v>
      </c>
      <c r="G182" s="78">
        <f>SUBTOTAL(109,locals356[Accounts Payable
Balance])</f>
        <v>7070786</v>
      </c>
      <c r="H182" s="179">
        <f>SUBTOTAL(109,locals356[Established
Accounts Receivable])</f>
        <v>0</v>
      </c>
      <c r="I182" s="179">
        <f>SUBTOTAL(109,locals356[Less: Recovered Amount])</f>
        <v>0</v>
      </c>
      <c r="J182" s="179">
        <f>SUBTOTAL(109,locals356[Accounts Receivable
Balance])</f>
        <v>0</v>
      </c>
      <c r="K182" s="78">
        <f>SUBTOTAL(109,locals356[Net
Balance])</f>
        <v>7070786</v>
      </c>
    </row>
    <row r="183" spans="1:11" s="272" customFormat="1" ht="15" outlineLevel="2" x14ac:dyDescent="0.2">
      <c r="A183" s="304" t="s">
        <v>508</v>
      </c>
      <c r="C183" s="243"/>
      <c r="D183" s="243"/>
      <c r="E183" s="246"/>
      <c r="F183" s="246"/>
      <c r="G183" s="246"/>
      <c r="H183" s="246"/>
      <c r="I183" s="246"/>
      <c r="J183" s="246"/>
      <c r="K183" s="246"/>
    </row>
    <row r="184" spans="1:11" ht="50.1" customHeight="1" outlineLevel="2" x14ac:dyDescent="0.25">
      <c r="A184" s="176" t="s">
        <v>99</v>
      </c>
      <c r="B184" s="176" t="s">
        <v>1</v>
      </c>
      <c r="C184" s="176" t="s">
        <v>195</v>
      </c>
      <c r="D184" s="176" t="s">
        <v>98</v>
      </c>
      <c r="E184" s="210" t="s">
        <v>188</v>
      </c>
      <c r="F184" s="239" t="s">
        <v>442</v>
      </c>
      <c r="G184" s="210" t="s">
        <v>528</v>
      </c>
      <c r="H184" s="210" t="s">
        <v>529</v>
      </c>
      <c r="I184" s="210" t="s">
        <v>197</v>
      </c>
      <c r="J184" s="210" t="s">
        <v>530</v>
      </c>
      <c r="K184" s="210" t="s">
        <v>196</v>
      </c>
    </row>
    <row r="185" spans="1:11" outlineLevel="2" x14ac:dyDescent="0.25">
      <c r="A185" s="303" t="s">
        <v>483</v>
      </c>
      <c r="B185" s="272" t="s">
        <v>484</v>
      </c>
      <c r="C185" s="243">
        <v>324</v>
      </c>
      <c r="D185" s="243" t="s">
        <v>184</v>
      </c>
      <c r="E185" s="246">
        <v>5284437</v>
      </c>
      <c r="F185" s="297">
        <v>0</v>
      </c>
      <c r="G185" s="246">
        <v>5284437</v>
      </c>
      <c r="H185" s="297">
        <v>0</v>
      </c>
      <c r="I185" s="297">
        <v>0</v>
      </c>
      <c r="J185" s="297">
        <v>0</v>
      </c>
      <c r="K185" s="246">
        <v>5284437</v>
      </c>
    </row>
    <row r="186" spans="1:11" outlineLevel="2" x14ac:dyDescent="0.25">
      <c r="A186" s="303" t="s">
        <v>483</v>
      </c>
      <c r="B186" s="272" t="s">
        <v>484</v>
      </c>
      <c r="C186" s="243">
        <v>324</v>
      </c>
      <c r="D186" s="243" t="s">
        <v>185</v>
      </c>
      <c r="E186" s="246">
        <v>4156834</v>
      </c>
      <c r="F186" s="297">
        <v>0</v>
      </c>
      <c r="G186" s="246">
        <v>4156834</v>
      </c>
      <c r="H186" s="297">
        <v>0</v>
      </c>
      <c r="I186" s="297">
        <v>0</v>
      </c>
      <c r="J186" s="297">
        <v>0</v>
      </c>
      <c r="K186" s="246">
        <v>4156834</v>
      </c>
    </row>
    <row r="187" spans="1:11" outlineLevel="2" x14ac:dyDescent="0.25">
      <c r="A187" s="303" t="s">
        <v>483</v>
      </c>
      <c r="B187" s="272" t="s">
        <v>484</v>
      </c>
      <c r="C187" s="243">
        <v>324</v>
      </c>
      <c r="D187" s="243" t="s">
        <v>84</v>
      </c>
      <c r="E187" s="246">
        <v>2038396</v>
      </c>
      <c r="F187" s="297">
        <v>0</v>
      </c>
      <c r="G187" s="246">
        <v>2038396</v>
      </c>
      <c r="H187" s="297">
        <v>0</v>
      </c>
      <c r="I187" s="297">
        <v>0</v>
      </c>
      <c r="J187" s="297">
        <v>0</v>
      </c>
      <c r="K187" s="246">
        <v>2038396</v>
      </c>
    </row>
    <row r="188" spans="1:11" outlineLevel="2" x14ac:dyDescent="0.25">
      <c r="A188" s="303" t="s">
        <v>483</v>
      </c>
      <c r="B188" s="272" t="s">
        <v>484</v>
      </c>
      <c r="C188" s="243">
        <v>324</v>
      </c>
      <c r="D188" s="243" t="s">
        <v>87</v>
      </c>
      <c r="E188" s="246">
        <v>121578</v>
      </c>
      <c r="F188" s="297">
        <v>0</v>
      </c>
      <c r="G188" s="246">
        <v>121578</v>
      </c>
      <c r="H188" s="297">
        <v>0</v>
      </c>
      <c r="I188" s="297">
        <v>0</v>
      </c>
      <c r="J188" s="297">
        <v>0</v>
      </c>
      <c r="K188" s="246">
        <v>121578</v>
      </c>
    </row>
    <row r="189" spans="1:11" outlineLevel="2" x14ac:dyDescent="0.25">
      <c r="A189" s="303" t="s">
        <v>483</v>
      </c>
      <c r="B189" s="272" t="s">
        <v>484</v>
      </c>
      <c r="C189" s="243">
        <v>324</v>
      </c>
      <c r="D189" s="243" t="s">
        <v>76</v>
      </c>
      <c r="E189" s="246">
        <v>191573</v>
      </c>
      <c r="F189" s="297">
        <v>0</v>
      </c>
      <c r="G189" s="246">
        <v>191573</v>
      </c>
      <c r="H189" s="297">
        <v>0</v>
      </c>
      <c r="I189" s="297">
        <v>0</v>
      </c>
      <c r="J189" s="297">
        <v>0</v>
      </c>
      <c r="K189" s="246">
        <v>191573</v>
      </c>
    </row>
    <row r="190" spans="1:11" outlineLevel="2" x14ac:dyDescent="0.25">
      <c r="A190" s="303" t="s">
        <v>483</v>
      </c>
      <c r="B190" s="272" t="s">
        <v>484</v>
      </c>
      <c r="C190" s="243">
        <v>324</v>
      </c>
      <c r="D190" s="243" t="s">
        <v>79</v>
      </c>
      <c r="E190" s="246">
        <v>18688</v>
      </c>
      <c r="F190" s="297">
        <v>0</v>
      </c>
      <c r="G190" s="246">
        <v>18688</v>
      </c>
      <c r="H190" s="297">
        <v>0</v>
      </c>
      <c r="I190" s="297">
        <v>0</v>
      </c>
      <c r="J190" s="297">
        <v>0</v>
      </c>
      <c r="K190" s="246">
        <v>18688</v>
      </c>
    </row>
    <row r="191" spans="1:11" outlineLevel="2" x14ac:dyDescent="0.25">
      <c r="A191" s="303" t="s">
        <v>483</v>
      </c>
      <c r="B191" s="272" t="s">
        <v>484</v>
      </c>
      <c r="C191" s="243">
        <v>324</v>
      </c>
      <c r="D191" s="243" t="s">
        <v>80</v>
      </c>
      <c r="E191" s="246">
        <v>24807</v>
      </c>
      <c r="F191" s="297">
        <v>0</v>
      </c>
      <c r="G191" s="246">
        <v>24807</v>
      </c>
      <c r="H191" s="297">
        <v>0</v>
      </c>
      <c r="I191" s="297">
        <v>0</v>
      </c>
      <c r="J191" s="297">
        <v>0</v>
      </c>
      <c r="K191" s="246">
        <v>24807</v>
      </c>
    </row>
    <row r="192" spans="1:11" outlineLevel="2" x14ac:dyDescent="0.25">
      <c r="A192" s="303" t="s">
        <v>483</v>
      </c>
      <c r="B192" s="272" t="s">
        <v>484</v>
      </c>
      <c r="C192" s="243">
        <v>324</v>
      </c>
      <c r="D192" s="243" t="s">
        <v>81</v>
      </c>
      <c r="E192" s="246">
        <v>21868</v>
      </c>
      <c r="F192" s="297">
        <v>0</v>
      </c>
      <c r="G192" s="246">
        <v>21868</v>
      </c>
      <c r="H192" s="297">
        <v>0</v>
      </c>
      <c r="I192" s="297">
        <v>0</v>
      </c>
      <c r="J192" s="297">
        <v>0</v>
      </c>
      <c r="K192" s="246">
        <v>21868</v>
      </c>
    </row>
    <row r="193" spans="1:11" outlineLevel="2" x14ac:dyDescent="0.25">
      <c r="A193" s="303" t="s">
        <v>483</v>
      </c>
      <c r="B193" s="272" t="s">
        <v>484</v>
      </c>
      <c r="C193" s="243">
        <v>324</v>
      </c>
      <c r="D193" s="243" t="s">
        <v>82</v>
      </c>
      <c r="E193" s="246">
        <v>24382</v>
      </c>
      <c r="F193" s="297">
        <v>0</v>
      </c>
      <c r="G193" s="246">
        <v>24382</v>
      </c>
      <c r="H193" s="297">
        <v>0</v>
      </c>
      <c r="I193" s="297">
        <v>0</v>
      </c>
      <c r="J193" s="297">
        <v>0</v>
      </c>
      <c r="K193" s="246">
        <v>24382</v>
      </c>
    </row>
    <row r="194" spans="1:11" outlineLevel="1" x14ac:dyDescent="0.25">
      <c r="A194" s="303" t="s">
        <v>483</v>
      </c>
      <c r="B194" s="272" t="s">
        <v>484</v>
      </c>
      <c r="C194" s="243">
        <v>324</v>
      </c>
      <c r="D194" s="243" t="s">
        <v>83</v>
      </c>
      <c r="E194" s="246">
        <v>14834</v>
      </c>
      <c r="F194" s="297">
        <v>0</v>
      </c>
      <c r="G194" s="246">
        <v>14834</v>
      </c>
      <c r="H194" s="297">
        <v>0</v>
      </c>
      <c r="I194" s="297">
        <v>0</v>
      </c>
      <c r="J194" s="297">
        <v>0</v>
      </c>
      <c r="K194" s="246">
        <v>14834</v>
      </c>
    </row>
    <row r="195" spans="1:11" outlineLevel="1" x14ac:dyDescent="0.25">
      <c r="A195" s="303" t="s">
        <v>483</v>
      </c>
      <c r="B195" s="272" t="s">
        <v>484</v>
      </c>
      <c r="C195" s="243">
        <v>324</v>
      </c>
      <c r="D195" s="243" t="s">
        <v>71</v>
      </c>
      <c r="E195" s="246">
        <v>9310</v>
      </c>
      <c r="F195" s="297">
        <v>0</v>
      </c>
      <c r="G195" s="246">
        <v>9310</v>
      </c>
      <c r="H195" s="297">
        <v>0</v>
      </c>
      <c r="I195" s="297">
        <v>0</v>
      </c>
      <c r="J195" s="297">
        <v>0</v>
      </c>
      <c r="K195" s="246">
        <v>9310</v>
      </c>
    </row>
    <row r="196" spans="1:11" outlineLevel="1" x14ac:dyDescent="0.25">
      <c r="A196" s="271" t="s">
        <v>485</v>
      </c>
      <c r="B196" s="74" t="s">
        <v>500</v>
      </c>
      <c r="C196" s="74" t="s">
        <v>500</v>
      </c>
      <c r="D196" s="74" t="s">
        <v>500</v>
      </c>
      <c r="E196" s="78">
        <f>SUBTOTAL(109,locals324[Program
Costs])</f>
        <v>11906707</v>
      </c>
      <c r="F196" s="179">
        <f>SUBTOTAL(109,locals324[Less: Net Payments and Offsets])</f>
        <v>0</v>
      </c>
      <c r="G196" s="78">
        <f>SUBTOTAL(109,locals324[Accounts Payable
Balance])</f>
        <v>11906707</v>
      </c>
      <c r="H196" s="179">
        <f>SUBTOTAL(109,locals324[Established
Accounts Receivable])</f>
        <v>0</v>
      </c>
      <c r="I196" s="179">
        <f>SUBTOTAL(109,locals324[Less: Recovered Amount])</f>
        <v>0</v>
      </c>
      <c r="J196" s="179">
        <f>SUBTOTAL(109,locals324[Accounts Receivable
Balance])</f>
        <v>0</v>
      </c>
      <c r="K196" s="78">
        <f>SUBTOTAL(109,locals324[Net
Balance])</f>
        <v>11906707</v>
      </c>
    </row>
    <row r="197" spans="1:11" s="272" customFormat="1" ht="15" x14ac:dyDescent="0.2">
      <c r="A197" s="304" t="s">
        <v>508</v>
      </c>
      <c r="C197" s="243"/>
      <c r="D197" s="243"/>
      <c r="E197" s="246"/>
      <c r="F197" s="246"/>
      <c r="G197" s="246"/>
      <c r="H197" s="246"/>
      <c r="I197" s="246"/>
      <c r="J197" s="246"/>
      <c r="K197" s="246"/>
    </row>
    <row r="198" spans="1:11" ht="50.1" customHeight="1" x14ac:dyDescent="0.25">
      <c r="A198" s="176" t="s">
        <v>99</v>
      </c>
      <c r="B198" s="176" t="s">
        <v>1</v>
      </c>
      <c r="C198" s="176" t="s">
        <v>195</v>
      </c>
      <c r="D198" s="176" t="s">
        <v>98</v>
      </c>
      <c r="E198" s="210" t="s">
        <v>188</v>
      </c>
      <c r="F198" s="239" t="s">
        <v>442</v>
      </c>
      <c r="G198" s="210" t="s">
        <v>528</v>
      </c>
      <c r="H198" s="210" t="s">
        <v>529</v>
      </c>
      <c r="I198" s="210" t="s">
        <v>197</v>
      </c>
      <c r="J198" s="210" t="s">
        <v>530</v>
      </c>
      <c r="K198" s="210" t="s">
        <v>196</v>
      </c>
    </row>
    <row r="199" spans="1:11" x14ac:dyDescent="0.25">
      <c r="A199" s="303" t="s">
        <v>486</v>
      </c>
      <c r="B199" s="272" t="s">
        <v>487</v>
      </c>
      <c r="C199" s="243">
        <v>331</v>
      </c>
      <c r="D199" s="243" t="s">
        <v>184</v>
      </c>
      <c r="E199" s="246">
        <v>2500091</v>
      </c>
      <c r="F199" s="297">
        <v>0</v>
      </c>
      <c r="G199" s="246">
        <v>2500091</v>
      </c>
      <c r="H199" s="297">
        <v>0</v>
      </c>
      <c r="I199" s="297">
        <v>0</v>
      </c>
      <c r="J199" s="297">
        <v>0</v>
      </c>
      <c r="K199" s="246">
        <v>2500091</v>
      </c>
    </row>
    <row r="200" spans="1:11" x14ac:dyDescent="0.25">
      <c r="A200" s="303" t="s">
        <v>486</v>
      </c>
      <c r="B200" s="272" t="s">
        <v>487</v>
      </c>
      <c r="C200" s="243">
        <v>331</v>
      </c>
      <c r="D200" s="243" t="s">
        <v>185</v>
      </c>
      <c r="E200" s="246">
        <v>649325</v>
      </c>
      <c r="F200" s="297">
        <v>0</v>
      </c>
      <c r="G200" s="246">
        <v>649325</v>
      </c>
      <c r="H200" s="297">
        <v>0</v>
      </c>
      <c r="I200" s="297">
        <v>0</v>
      </c>
      <c r="J200" s="297">
        <v>0</v>
      </c>
      <c r="K200" s="246">
        <v>649325</v>
      </c>
    </row>
    <row r="201" spans="1:11" x14ac:dyDescent="0.25">
      <c r="A201" s="303" t="s">
        <v>486</v>
      </c>
      <c r="B201" s="272" t="s">
        <v>487</v>
      </c>
      <c r="C201" s="243">
        <v>331</v>
      </c>
      <c r="D201" s="243" t="s">
        <v>84</v>
      </c>
      <c r="E201" s="246">
        <v>1484457</v>
      </c>
      <c r="F201" s="297">
        <v>0</v>
      </c>
      <c r="G201" s="246">
        <v>1484457</v>
      </c>
      <c r="H201" s="297">
        <v>0</v>
      </c>
      <c r="I201" s="297">
        <v>0</v>
      </c>
      <c r="J201" s="297">
        <v>0</v>
      </c>
      <c r="K201" s="246">
        <v>1484457</v>
      </c>
    </row>
    <row r="202" spans="1:11" x14ac:dyDescent="0.25">
      <c r="A202" s="303" t="s">
        <v>486</v>
      </c>
      <c r="B202" s="272" t="s">
        <v>487</v>
      </c>
      <c r="C202" s="243">
        <v>331</v>
      </c>
      <c r="D202" s="243" t="s">
        <v>87</v>
      </c>
      <c r="E202" s="246">
        <v>467811</v>
      </c>
      <c r="F202" s="297">
        <v>0</v>
      </c>
      <c r="G202" s="246">
        <v>467811</v>
      </c>
      <c r="H202" s="297">
        <v>0</v>
      </c>
      <c r="I202" s="297">
        <v>0</v>
      </c>
      <c r="J202" s="297">
        <v>0</v>
      </c>
      <c r="K202" s="246">
        <v>467811</v>
      </c>
    </row>
    <row r="203" spans="1:11" x14ac:dyDescent="0.25">
      <c r="A203" s="303" t="s">
        <v>486</v>
      </c>
      <c r="B203" s="272" t="s">
        <v>487</v>
      </c>
      <c r="C203" s="243">
        <v>331</v>
      </c>
      <c r="D203" s="243" t="s">
        <v>76</v>
      </c>
      <c r="E203" s="246">
        <v>1361366</v>
      </c>
      <c r="F203" s="297">
        <v>0</v>
      </c>
      <c r="G203" s="246">
        <v>1361366</v>
      </c>
      <c r="H203" s="297">
        <v>0</v>
      </c>
      <c r="I203" s="297">
        <v>0</v>
      </c>
      <c r="J203" s="297">
        <v>0</v>
      </c>
      <c r="K203" s="246">
        <v>1361366</v>
      </c>
    </row>
    <row r="204" spans="1:11" x14ac:dyDescent="0.25">
      <c r="A204" s="303" t="s">
        <v>486</v>
      </c>
      <c r="B204" s="272" t="s">
        <v>487</v>
      </c>
      <c r="C204" s="243">
        <v>331</v>
      </c>
      <c r="D204" s="243" t="s">
        <v>79</v>
      </c>
      <c r="E204" s="246">
        <v>418990</v>
      </c>
      <c r="F204" s="297">
        <v>0</v>
      </c>
      <c r="G204" s="246">
        <v>418990</v>
      </c>
      <c r="H204" s="297">
        <v>0</v>
      </c>
      <c r="I204" s="297">
        <v>0</v>
      </c>
      <c r="J204" s="297">
        <v>0</v>
      </c>
      <c r="K204" s="246">
        <v>418990</v>
      </c>
    </row>
    <row r="205" spans="1:11" x14ac:dyDescent="0.25">
      <c r="A205" s="303" t="s">
        <v>486</v>
      </c>
      <c r="B205" s="272" t="s">
        <v>487</v>
      </c>
      <c r="C205" s="243">
        <v>331</v>
      </c>
      <c r="D205" s="243" t="s">
        <v>80</v>
      </c>
      <c r="E205" s="246">
        <v>695563</v>
      </c>
      <c r="F205" s="297">
        <v>0</v>
      </c>
      <c r="G205" s="246">
        <v>695563</v>
      </c>
      <c r="H205" s="297">
        <v>0</v>
      </c>
      <c r="I205" s="297">
        <v>0</v>
      </c>
      <c r="J205" s="297">
        <v>0</v>
      </c>
      <c r="K205" s="246">
        <v>695563</v>
      </c>
    </row>
    <row r="206" spans="1:11" x14ac:dyDescent="0.25">
      <c r="A206" s="303" t="s">
        <v>486</v>
      </c>
      <c r="B206" s="272" t="s">
        <v>487</v>
      </c>
      <c r="C206" s="243">
        <v>331</v>
      </c>
      <c r="D206" s="243" t="s">
        <v>81</v>
      </c>
      <c r="E206" s="246">
        <v>427478</v>
      </c>
      <c r="F206" s="297">
        <v>0</v>
      </c>
      <c r="G206" s="246">
        <v>427478</v>
      </c>
      <c r="H206" s="297">
        <v>0</v>
      </c>
      <c r="I206" s="297">
        <v>0</v>
      </c>
      <c r="J206" s="297">
        <v>0</v>
      </c>
      <c r="K206" s="246">
        <v>427478</v>
      </c>
    </row>
    <row r="207" spans="1:11" x14ac:dyDescent="0.25">
      <c r="A207" s="303" t="s">
        <v>486</v>
      </c>
      <c r="B207" s="272" t="s">
        <v>487</v>
      </c>
      <c r="C207" s="243">
        <v>331</v>
      </c>
      <c r="D207" s="243" t="s">
        <v>82</v>
      </c>
      <c r="E207" s="246">
        <v>1088135</v>
      </c>
      <c r="F207" s="297">
        <v>0</v>
      </c>
      <c r="G207" s="246">
        <v>1088135</v>
      </c>
      <c r="H207" s="297">
        <v>0</v>
      </c>
      <c r="I207" s="297">
        <v>0</v>
      </c>
      <c r="J207" s="297">
        <v>0</v>
      </c>
      <c r="K207" s="246">
        <v>1088135</v>
      </c>
    </row>
    <row r="208" spans="1:11" x14ac:dyDescent="0.25">
      <c r="A208" s="303" t="s">
        <v>486</v>
      </c>
      <c r="B208" s="272" t="s">
        <v>487</v>
      </c>
      <c r="C208" s="243">
        <v>331</v>
      </c>
      <c r="D208" s="243" t="s">
        <v>83</v>
      </c>
      <c r="E208" s="246">
        <v>514260</v>
      </c>
      <c r="F208" s="297">
        <v>0</v>
      </c>
      <c r="G208" s="246">
        <v>514260</v>
      </c>
      <c r="H208" s="297">
        <v>0</v>
      </c>
      <c r="I208" s="297">
        <v>0</v>
      </c>
      <c r="J208" s="297">
        <v>0</v>
      </c>
      <c r="K208" s="246">
        <v>514260</v>
      </c>
    </row>
    <row r="209" spans="1:11" x14ac:dyDescent="0.25">
      <c r="A209" s="303" t="s">
        <v>486</v>
      </c>
      <c r="B209" s="272" t="s">
        <v>487</v>
      </c>
      <c r="C209" s="243">
        <v>331</v>
      </c>
      <c r="D209" s="243" t="s">
        <v>71</v>
      </c>
      <c r="E209" s="246">
        <v>467915</v>
      </c>
      <c r="F209" s="297">
        <v>0</v>
      </c>
      <c r="G209" s="246">
        <v>467915</v>
      </c>
      <c r="H209" s="297">
        <v>0</v>
      </c>
      <c r="I209" s="297">
        <v>0</v>
      </c>
      <c r="J209" s="297">
        <v>0</v>
      </c>
      <c r="K209" s="246">
        <v>467915</v>
      </c>
    </row>
    <row r="210" spans="1:11" x14ac:dyDescent="0.25">
      <c r="A210" s="271" t="s">
        <v>488</v>
      </c>
      <c r="B210" s="74" t="s">
        <v>500</v>
      </c>
      <c r="C210" s="74" t="s">
        <v>500</v>
      </c>
      <c r="D210" s="74" t="s">
        <v>500</v>
      </c>
      <c r="E210" s="78">
        <f>SUBTOTAL(109,locals331[Program
Costs])</f>
        <v>10075391</v>
      </c>
      <c r="F210" s="179">
        <f>SUBTOTAL(109,locals331[Less: Net Payments and Offsets])</f>
        <v>0</v>
      </c>
      <c r="G210" s="78">
        <f>SUBTOTAL(109,locals331[Accounts Payable
Balance])</f>
        <v>10075391</v>
      </c>
      <c r="H210" s="179">
        <f>SUBTOTAL(109,locals331[Established
Accounts Receivable])</f>
        <v>0</v>
      </c>
      <c r="I210" s="179">
        <f>SUBTOTAL(109,locals331[Less: Recovered Amount])</f>
        <v>0</v>
      </c>
      <c r="J210" s="179">
        <f>SUBTOTAL(109,locals331[Accounts Receivable
Balance])</f>
        <v>0</v>
      </c>
      <c r="K210" s="78">
        <f>SUBTOTAL(109,locals331[Net
Balance])</f>
        <v>10075391</v>
      </c>
    </row>
    <row r="211" spans="1:11" x14ac:dyDescent="0.25">
      <c r="A211" s="304" t="s">
        <v>508</v>
      </c>
      <c r="B211" s="272"/>
      <c r="C211" s="243"/>
      <c r="D211" s="243"/>
      <c r="E211" s="246"/>
      <c r="F211" s="246"/>
      <c r="G211" s="246"/>
      <c r="H211" s="246"/>
      <c r="I211" s="246"/>
      <c r="J211" s="246"/>
      <c r="K211" s="246"/>
    </row>
    <row r="212" spans="1:11" ht="50.1" customHeight="1" x14ac:dyDescent="0.25">
      <c r="A212" s="176" t="s">
        <v>99</v>
      </c>
      <c r="B212" s="176" t="s">
        <v>1</v>
      </c>
      <c r="C212" s="176" t="s">
        <v>195</v>
      </c>
      <c r="D212" s="176" t="s">
        <v>98</v>
      </c>
      <c r="E212" s="210" t="s">
        <v>188</v>
      </c>
      <c r="F212" s="239" t="s">
        <v>442</v>
      </c>
      <c r="G212" s="210" t="s">
        <v>528</v>
      </c>
      <c r="H212" s="210" t="s">
        <v>529</v>
      </c>
      <c r="I212" s="210" t="s">
        <v>197</v>
      </c>
      <c r="J212" s="210" t="s">
        <v>530</v>
      </c>
      <c r="K212" s="210" t="s">
        <v>196</v>
      </c>
    </row>
    <row r="213" spans="1:11" x14ac:dyDescent="0.25">
      <c r="A213" s="303" t="s">
        <v>443</v>
      </c>
      <c r="B213" s="57" t="s">
        <v>500</v>
      </c>
      <c r="C213" s="194" t="s">
        <v>500</v>
      </c>
      <c r="D213" s="194" t="s">
        <v>500</v>
      </c>
      <c r="E213" s="305">
        <v>216176</v>
      </c>
      <c r="F213" s="307">
        <v>0</v>
      </c>
      <c r="G213" s="305">
        <v>216176</v>
      </c>
      <c r="H213" s="307">
        <v>0</v>
      </c>
      <c r="I213" s="307">
        <v>0</v>
      </c>
      <c r="J213" s="307">
        <v>0</v>
      </c>
      <c r="K213" s="305">
        <v>216176</v>
      </c>
    </row>
    <row r="214" spans="1:11" x14ac:dyDescent="0.25">
      <c r="A214" s="303" t="s">
        <v>446</v>
      </c>
      <c r="B214" s="57" t="s">
        <v>500</v>
      </c>
      <c r="C214" s="194" t="s">
        <v>500</v>
      </c>
      <c r="D214" s="194" t="s">
        <v>500</v>
      </c>
      <c r="E214" s="306">
        <v>131583657</v>
      </c>
      <c r="F214" s="308">
        <v>0</v>
      </c>
      <c r="G214" s="306">
        <v>131583657</v>
      </c>
      <c r="H214" s="308">
        <v>0</v>
      </c>
      <c r="I214" s="308">
        <v>0</v>
      </c>
      <c r="J214" s="308">
        <v>0</v>
      </c>
      <c r="K214" s="306">
        <v>131583657</v>
      </c>
    </row>
    <row r="215" spans="1:11" x14ac:dyDescent="0.25">
      <c r="A215" s="303" t="s">
        <v>449</v>
      </c>
      <c r="B215" s="57" t="s">
        <v>500</v>
      </c>
      <c r="C215" s="194" t="s">
        <v>500</v>
      </c>
      <c r="D215" s="194" t="s">
        <v>500</v>
      </c>
      <c r="E215" s="306">
        <v>2009608</v>
      </c>
      <c r="F215" s="308">
        <v>0</v>
      </c>
      <c r="G215" s="306">
        <v>2009608</v>
      </c>
      <c r="H215" s="308">
        <v>0</v>
      </c>
      <c r="I215" s="308">
        <v>0</v>
      </c>
      <c r="J215" s="308">
        <v>0</v>
      </c>
      <c r="K215" s="306">
        <v>2009608</v>
      </c>
    </row>
    <row r="216" spans="1:11" x14ac:dyDescent="0.25">
      <c r="A216" s="303" t="s">
        <v>452</v>
      </c>
      <c r="B216" s="57" t="s">
        <v>500</v>
      </c>
      <c r="C216" s="194" t="s">
        <v>500</v>
      </c>
      <c r="D216" s="194" t="s">
        <v>500</v>
      </c>
      <c r="E216" s="306">
        <v>11927294</v>
      </c>
      <c r="F216" s="308">
        <v>0</v>
      </c>
      <c r="G216" s="306">
        <v>11927294</v>
      </c>
      <c r="H216" s="308">
        <v>0</v>
      </c>
      <c r="I216" s="308">
        <v>0</v>
      </c>
      <c r="J216" s="308">
        <v>0</v>
      </c>
      <c r="K216" s="306">
        <v>11927294</v>
      </c>
    </row>
    <row r="217" spans="1:11" x14ac:dyDescent="0.25">
      <c r="A217" s="303" t="s">
        <v>455</v>
      </c>
      <c r="B217" s="57" t="s">
        <v>500</v>
      </c>
      <c r="C217" s="194" t="s">
        <v>500</v>
      </c>
      <c r="D217" s="194" t="s">
        <v>500</v>
      </c>
      <c r="E217" s="306">
        <v>157256</v>
      </c>
      <c r="F217" s="308">
        <v>0</v>
      </c>
      <c r="G217" s="306">
        <v>157256</v>
      </c>
      <c r="H217" s="308">
        <v>0</v>
      </c>
      <c r="I217" s="308">
        <v>0</v>
      </c>
      <c r="J217" s="308">
        <v>0</v>
      </c>
      <c r="K217" s="306">
        <v>157256</v>
      </c>
    </row>
    <row r="218" spans="1:11" x14ac:dyDescent="0.25">
      <c r="A218" s="303" t="s">
        <v>458</v>
      </c>
      <c r="B218" s="57" t="s">
        <v>500</v>
      </c>
      <c r="C218" s="194" t="s">
        <v>500</v>
      </c>
      <c r="D218" s="194" t="s">
        <v>500</v>
      </c>
      <c r="E218" s="306">
        <v>87877803</v>
      </c>
      <c r="F218" s="308">
        <v>0</v>
      </c>
      <c r="G218" s="306">
        <v>87877803</v>
      </c>
      <c r="H218" s="308">
        <v>0</v>
      </c>
      <c r="I218" s="308">
        <v>0</v>
      </c>
      <c r="J218" s="308">
        <v>0</v>
      </c>
      <c r="K218" s="306">
        <v>87877803</v>
      </c>
    </row>
    <row r="219" spans="1:11" x14ac:dyDescent="0.25">
      <c r="A219" s="303" t="s">
        <v>461</v>
      </c>
      <c r="B219" s="57" t="s">
        <v>500</v>
      </c>
      <c r="C219" s="194" t="s">
        <v>500</v>
      </c>
      <c r="D219" s="194" t="s">
        <v>500</v>
      </c>
      <c r="E219" s="306">
        <v>67100155</v>
      </c>
      <c r="F219" s="308">
        <v>0</v>
      </c>
      <c r="G219" s="306">
        <v>67100155</v>
      </c>
      <c r="H219" s="308">
        <v>0</v>
      </c>
      <c r="I219" s="308">
        <v>0</v>
      </c>
      <c r="J219" s="308">
        <v>0</v>
      </c>
      <c r="K219" s="306">
        <v>67100155</v>
      </c>
    </row>
    <row r="220" spans="1:11" x14ac:dyDescent="0.25">
      <c r="A220" s="303" t="s">
        <v>464</v>
      </c>
      <c r="B220" s="57" t="s">
        <v>500</v>
      </c>
      <c r="C220" s="194" t="s">
        <v>500</v>
      </c>
      <c r="D220" s="194" t="s">
        <v>500</v>
      </c>
      <c r="E220" s="306">
        <v>5390</v>
      </c>
      <c r="F220" s="308">
        <v>0</v>
      </c>
      <c r="G220" s="306">
        <v>5390</v>
      </c>
      <c r="H220" s="308">
        <v>0</v>
      </c>
      <c r="I220" s="308">
        <v>0</v>
      </c>
      <c r="J220" s="308">
        <v>0</v>
      </c>
      <c r="K220" s="306">
        <v>5390</v>
      </c>
    </row>
    <row r="221" spans="1:11" x14ac:dyDescent="0.25">
      <c r="A221" s="303" t="s">
        <v>467</v>
      </c>
      <c r="B221" s="57" t="s">
        <v>500</v>
      </c>
      <c r="C221" s="194" t="s">
        <v>500</v>
      </c>
      <c r="D221" s="194" t="s">
        <v>500</v>
      </c>
      <c r="E221" s="306">
        <v>21213067</v>
      </c>
      <c r="F221" s="308">
        <v>0</v>
      </c>
      <c r="G221" s="306">
        <v>21213067</v>
      </c>
      <c r="H221" s="308">
        <v>0</v>
      </c>
      <c r="I221" s="308">
        <v>0</v>
      </c>
      <c r="J221" s="308">
        <v>0</v>
      </c>
      <c r="K221" s="306">
        <v>21213067</v>
      </c>
    </row>
    <row r="222" spans="1:11" x14ac:dyDescent="0.25">
      <c r="A222" s="303" t="s">
        <v>470</v>
      </c>
      <c r="B222" s="57" t="s">
        <v>500</v>
      </c>
      <c r="C222" s="194" t="s">
        <v>500</v>
      </c>
      <c r="D222" s="194" t="s">
        <v>500</v>
      </c>
      <c r="E222" s="306">
        <v>4909840</v>
      </c>
      <c r="F222" s="308">
        <v>0</v>
      </c>
      <c r="G222" s="306">
        <v>4909840</v>
      </c>
      <c r="H222" s="308">
        <v>0</v>
      </c>
      <c r="I222" s="308">
        <v>0</v>
      </c>
      <c r="J222" s="308">
        <v>0</v>
      </c>
      <c r="K222" s="306">
        <v>4909840</v>
      </c>
    </row>
    <row r="223" spans="1:11" x14ac:dyDescent="0.25">
      <c r="A223" s="303" t="s">
        <v>473</v>
      </c>
      <c r="B223" s="57" t="s">
        <v>500</v>
      </c>
      <c r="C223" s="194" t="s">
        <v>500</v>
      </c>
      <c r="D223" s="194" t="s">
        <v>500</v>
      </c>
      <c r="E223" s="306">
        <v>1816619</v>
      </c>
      <c r="F223" s="308">
        <v>0</v>
      </c>
      <c r="G223" s="306">
        <v>1816619</v>
      </c>
      <c r="H223" s="308">
        <v>0</v>
      </c>
      <c r="I223" s="308">
        <v>0</v>
      </c>
      <c r="J223" s="308">
        <v>0</v>
      </c>
      <c r="K223" s="306">
        <v>1816619</v>
      </c>
    </row>
    <row r="224" spans="1:11" x14ac:dyDescent="0.25">
      <c r="A224" s="303" t="s">
        <v>476</v>
      </c>
      <c r="B224" s="57" t="s">
        <v>500</v>
      </c>
      <c r="C224" s="194" t="s">
        <v>500</v>
      </c>
      <c r="D224" s="194" t="s">
        <v>500</v>
      </c>
      <c r="E224" s="306">
        <v>7054651</v>
      </c>
      <c r="F224" s="308">
        <v>0</v>
      </c>
      <c r="G224" s="306">
        <v>7054651</v>
      </c>
      <c r="H224" s="308">
        <v>0</v>
      </c>
      <c r="I224" s="308">
        <v>0</v>
      </c>
      <c r="J224" s="308">
        <v>0</v>
      </c>
      <c r="K224" s="306">
        <v>7054651</v>
      </c>
    </row>
    <row r="225" spans="1:11" x14ac:dyDescent="0.25">
      <c r="A225" s="303" t="s">
        <v>478</v>
      </c>
      <c r="B225" s="57" t="s">
        <v>500</v>
      </c>
      <c r="C225" s="194" t="s">
        <v>500</v>
      </c>
      <c r="D225" s="194" t="s">
        <v>500</v>
      </c>
      <c r="E225" s="306">
        <v>2751866</v>
      </c>
      <c r="F225" s="308">
        <v>0</v>
      </c>
      <c r="G225" s="306">
        <v>2751866</v>
      </c>
      <c r="H225" s="308">
        <v>0</v>
      </c>
      <c r="I225" s="308">
        <v>0</v>
      </c>
      <c r="J225" s="308">
        <v>0</v>
      </c>
      <c r="K225" s="306">
        <v>2751866</v>
      </c>
    </row>
    <row r="226" spans="1:11" s="272" customFormat="1" ht="15" x14ac:dyDescent="0.2">
      <c r="A226" s="303" t="s">
        <v>481</v>
      </c>
      <c r="B226" s="57" t="s">
        <v>500</v>
      </c>
      <c r="C226" s="194" t="s">
        <v>500</v>
      </c>
      <c r="D226" s="194" t="s">
        <v>500</v>
      </c>
      <c r="E226" s="306">
        <v>7070786</v>
      </c>
      <c r="F226" s="308">
        <v>0</v>
      </c>
      <c r="G226" s="306">
        <v>7070786</v>
      </c>
      <c r="H226" s="308">
        <v>0</v>
      </c>
      <c r="I226" s="308">
        <v>0</v>
      </c>
      <c r="J226" s="308">
        <v>0</v>
      </c>
      <c r="K226" s="306">
        <v>7070786</v>
      </c>
    </row>
    <row r="227" spans="1:11" s="272" customFormat="1" ht="15" x14ac:dyDescent="0.2">
      <c r="A227" s="303" t="s">
        <v>483</v>
      </c>
      <c r="B227" s="57" t="s">
        <v>500</v>
      </c>
      <c r="C227" s="194" t="s">
        <v>500</v>
      </c>
      <c r="D227" s="194" t="s">
        <v>500</v>
      </c>
      <c r="E227" s="306">
        <v>11906707</v>
      </c>
      <c r="F227" s="308">
        <v>0</v>
      </c>
      <c r="G227" s="306">
        <v>11906707</v>
      </c>
      <c r="H227" s="308">
        <v>0</v>
      </c>
      <c r="I227" s="308">
        <v>0</v>
      </c>
      <c r="J227" s="308">
        <v>0</v>
      </c>
      <c r="K227" s="306">
        <v>11906707</v>
      </c>
    </row>
    <row r="228" spans="1:11" s="272" customFormat="1" ht="15" x14ac:dyDescent="0.2">
      <c r="A228" s="303" t="s">
        <v>486</v>
      </c>
      <c r="B228" s="57" t="s">
        <v>500</v>
      </c>
      <c r="C228" s="194" t="s">
        <v>500</v>
      </c>
      <c r="D228" s="194" t="s">
        <v>500</v>
      </c>
      <c r="E228" s="306">
        <v>10075391</v>
      </c>
      <c r="F228" s="308">
        <v>0</v>
      </c>
      <c r="G228" s="306">
        <v>10075391</v>
      </c>
      <c r="H228" s="308">
        <v>0</v>
      </c>
      <c r="I228" s="308">
        <v>0</v>
      </c>
      <c r="J228" s="308">
        <v>0</v>
      </c>
      <c r="K228" s="306">
        <v>10075391</v>
      </c>
    </row>
    <row r="229" spans="1:11" x14ac:dyDescent="0.25">
      <c r="A229" s="271" t="s">
        <v>23</v>
      </c>
      <c r="B229" s="195" t="s">
        <v>500</v>
      </c>
      <c r="C229" s="195" t="s">
        <v>500</v>
      </c>
      <c r="D229" s="195" t="s">
        <v>500</v>
      </c>
      <c r="E229" s="78">
        <f>SUBTOTAL(109,localunfundedgrandtotal[Program
Costs])</f>
        <v>367676266</v>
      </c>
      <c r="F229" s="179">
        <f>SUBTOTAL(109,localunfundedgrandtotal[Less: Net Payments and Offsets])</f>
        <v>0</v>
      </c>
      <c r="G229" s="78">
        <f>SUBTOTAL(109,localunfundedgrandtotal[Accounts Payable
Balance])</f>
        <v>367676266</v>
      </c>
      <c r="H229" s="179">
        <f>SUBTOTAL(109,localunfundedgrandtotal[Established
Accounts Receivable])</f>
        <v>0</v>
      </c>
      <c r="I229" s="179">
        <f>SUBTOTAL(109,localunfundedgrandtotal[Less: Recovered Amount])</f>
        <v>0</v>
      </c>
      <c r="J229" s="179">
        <f>SUBTOTAL(109,localunfundedgrandtotal[Accounts Receivable
Balance])</f>
        <v>0</v>
      </c>
      <c r="K229" s="78">
        <f>SUBTOTAL(109,localunfundedgrandtotal[Net
Balance])</f>
        <v>367676266</v>
      </c>
    </row>
  </sheetData>
  <printOptions horizontalCentered="1" gridLines="1"/>
  <pageMargins left="0.3" right="0.3" top="1.1000000000000001" bottom="0.75" header="0.3" footer="0.3"/>
  <pageSetup scale="57" fitToHeight="0" orientation="landscape" r:id="rId1"/>
  <headerFooter>
    <oddHeader>&amp;C&amp;"-,Bold"&amp;12State Controller's Office
Schedule B2: Detail of Unfunded State-Mandated Programs
As of August 31, 2020</oddHeader>
    <oddFooter xml:space="preserve">&amp;L  Schedule B2: Detail of Unfunded State-Mandated Programs 
  Local Agencies&amp;RPage &amp;P of &amp;N  </oddFooter>
  </headerFooter>
  <tableParts count="17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"/>
  <sheetViews>
    <sheetView zoomScaleNormal="100" zoomScalePageLayoutView="80" workbookViewId="0"/>
  </sheetViews>
  <sheetFormatPr defaultColWidth="9.140625" defaultRowHeight="15.75" outlineLevelRow="2" x14ac:dyDescent="0.25"/>
  <cols>
    <col min="1" max="1" width="64.140625" style="206" customWidth="1"/>
    <col min="2" max="2" width="12.5703125" style="207" customWidth="1"/>
    <col min="3" max="3" width="14.5703125" style="193" customWidth="1"/>
    <col min="4" max="4" width="12.5703125" style="193" customWidth="1"/>
    <col min="5" max="11" width="15.5703125" style="270" customWidth="1"/>
    <col min="12" max="16384" width="9.140625" style="20"/>
  </cols>
  <sheetData>
    <row r="1" spans="1:11" s="201" customFormat="1" ht="54" customHeight="1" x14ac:dyDescent="0.25">
      <c r="A1" s="198" t="s">
        <v>539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2" spans="1:11" s="272" customFormat="1" ht="50.1" customHeight="1" outlineLevel="1" x14ac:dyDescent="0.25">
      <c r="A2" s="176" t="s">
        <v>99</v>
      </c>
      <c r="B2" s="176" t="s">
        <v>1</v>
      </c>
      <c r="C2" s="176" t="s">
        <v>195</v>
      </c>
      <c r="D2" s="176" t="s">
        <v>98</v>
      </c>
      <c r="E2" s="210" t="s">
        <v>188</v>
      </c>
      <c r="F2" s="239" t="s">
        <v>442</v>
      </c>
      <c r="G2" s="210" t="s">
        <v>528</v>
      </c>
      <c r="H2" s="210" t="s">
        <v>529</v>
      </c>
      <c r="I2" s="210" t="s">
        <v>197</v>
      </c>
      <c r="J2" s="210" t="s">
        <v>530</v>
      </c>
      <c r="K2" s="210" t="s">
        <v>196</v>
      </c>
    </row>
    <row r="3" spans="1:11" outlineLevel="2" x14ac:dyDescent="0.25">
      <c r="A3" s="303" t="s">
        <v>489</v>
      </c>
      <c r="B3" s="272" t="s">
        <v>490</v>
      </c>
      <c r="C3" s="243">
        <v>374</v>
      </c>
      <c r="D3" s="243" t="s">
        <v>165</v>
      </c>
      <c r="E3" s="246">
        <v>635116</v>
      </c>
      <c r="F3" s="297">
        <v>0</v>
      </c>
      <c r="G3" s="246">
        <v>635116</v>
      </c>
      <c r="H3" s="297">
        <v>0</v>
      </c>
      <c r="I3" s="297">
        <v>0</v>
      </c>
      <c r="J3" s="297">
        <v>0</v>
      </c>
      <c r="K3" s="246">
        <v>635116</v>
      </c>
    </row>
    <row r="4" spans="1:11" outlineLevel="2" x14ac:dyDescent="0.25">
      <c r="A4" s="303" t="s">
        <v>489</v>
      </c>
      <c r="B4" s="272" t="s">
        <v>490</v>
      </c>
      <c r="C4" s="243">
        <v>374</v>
      </c>
      <c r="D4" s="243" t="s">
        <v>16</v>
      </c>
      <c r="E4" s="246">
        <v>929613</v>
      </c>
      <c r="F4" s="297">
        <v>0</v>
      </c>
      <c r="G4" s="246">
        <v>929613</v>
      </c>
      <c r="H4" s="297">
        <v>0</v>
      </c>
      <c r="I4" s="297">
        <v>0</v>
      </c>
      <c r="J4" s="297">
        <v>0</v>
      </c>
      <c r="K4" s="246">
        <v>929613</v>
      </c>
    </row>
    <row r="5" spans="1:11" outlineLevel="1" x14ac:dyDescent="0.25">
      <c r="A5" s="271" t="s">
        <v>491</v>
      </c>
      <c r="B5" s="74" t="s">
        <v>500</v>
      </c>
      <c r="C5" s="74" t="s">
        <v>500</v>
      </c>
      <c r="D5" s="74" t="s">
        <v>500</v>
      </c>
      <c r="E5" s="78">
        <f>SUBTOTAL(109,school374[Program
Costs])</f>
        <v>1564729</v>
      </c>
      <c r="F5" s="179">
        <f>SUBTOTAL(109,school374[Less: Net Payments and Offsets])</f>
        <v>0</v>
      </c>
      <c r="G5" s="78">
        <f>SUBTOTAL(109,school374[Accounts Payable
Balance])</f>
        <v>1564729</v>
      </c>
      <c r="H5" s="179">
        <f>SUBTOTAL(109,school374[Established
Accounts Receivable])</f>
        <v>0</v>
      </c>
      <c r="I5" s="179">
        <f>SUBTOTAL(109,school374[Less: Recovered Amount])</f>
        <v>0</v>
      </c>
      <c r="J5" s="179">
        <f>SUBTOTAL(109,school374[Accounts Receivable
Balance])</f>
        <v>0</v>
      </c>
      <c r="K5" s="78">
        <f>SUBTOTAL(109,school374[Net
Balance])</f>
        <v>1564729</v>
      </c>
    </row>
    <row r="6" spans="1:11" s="272" customFormat="1" ht="15" outlineLevel="1" x14ac:dyDescent="0.2">
      <c r="A6" s="57" t="s">
        <v>508</v>
      </c>
    </row>
    <row r="7" spans="1:11" s="272" customFormat="1" ht="50.1" customHeight="1" outlineLevel="1" x14ac:dyDescent="0.25">
      <c r="A7" s="176" t="s">
        <v>99</v>
      </c>
      <c r="B7" s="176" t="s">
        <v>1</v>
      </c>
      <c r="C7" s="176" t="s">
        <v>195</v>
      </c>
      <c r="D7" s="176" t="s">
        <v>98</v>
      </c>
      <c r="E7" s="210" t="s">
        <v>188</v>
      </c>
      <c r="F7" s="239" t="s">
        <v>442</v>
      </c>
      <c r="G7" s="210" t="s">
        <v>528</v>
      </c>
      <c r="H7" s="210" t="s">
        <v>529</v>
      </c>
      <c r="I7" s="210" t="s">
        <v>197</v>
      </c>
      <c r="J7" s="210" t="s">
        <v>530</v>
      </c>
      <c r="K7" s="210" t="s">
        <v>196</v>
      </c>
    </row>
    <row r="8" spans="1:11" s="272" customFormat="1" outlineLevel="1" x14ac:dyDescent="0.25">
      <c r="A8" s="272" t="s">
        <v>489</v>
      </c>
      <c r="B8" s="309" t="s">
        <v>500</v>
      </c>
      <c r="C8" s="309" t="s">
        <v>500</v>
      </c>
      <c r="D8" s="309" t="s">
        <v>500</v>
      </c>
      <c r="E8" s="246">
        <v>1564729</v>
      </c>
      <c r="F8" s="297">
        <v>0</v>
      </c>
      <c r="G8" s="246">
        <v>1564729</v>
      </c>
      <c r="H8" s="297">
        <v>0</v>
      </c>
      <c r="I8" s="297">
        <v>0</v>
      </c>
      <c r="J8" s="297">
        <v>0</v>
      </c>
      <c r="K8" s="246">
        <v>1564729</v>
      </c>
    </row>
    <row r="9" spans="1:11" outlineLevel="1" x14ac:dyDescent="0.25">
      <c r="A9" s="80" t="s">
        <v>158</v>
      </c>
      <c r="B9" s="74" t="s">
        <v>500</v>
      </c>
      <c r="C9" s="74" t="s">
        <v>500</v>
      </c>
      <c r="D9" s="74" t="s">
        <v>500</v>
      </c>
      <c r="E9" s="78">
        <f>SUBTOTAL(109,schoolsunfundedgrandtotal[Program
Costs])</f>
        <v>1564729</v>
      </c>
      <c r="F9" s="179">
        <f>SUBTOTAL(109,schoolsunfundedgrandtotal[Less: Net Payments and Offsets])</f>
        <v>0</v>
      </c>
      <c r="G9" s="78">
        <f>SUBTOTAL(109,schoolsunfundedgrandtotal[Accounts Payable
Balance])</f>
        <v>1564729</v>
      </c>
      <c r="H9" s="179">
        <f>SUBTOTAL(109,schoolsunfundedgrandtotal[Established
Accounts Receivable])</f>
        <v>0</v>
      </c>
      <c r="I9" s="179">
        <f>SUBTOTAL(109,schoolsunfundedgrandtotal[Less: Recovered Amount])</f>
        <v>0</v>
      </c>
      <c r="J9" s="179">
        <f>SUBTOTAL(109,schoolsunfundedgrandtotal[Accounts Receivable
Balance])</f>
        <v>0</v>
      </c>
      <c r="K9" s="78">
        <f>SUBTOTAL(109,schoolsunfundedgrandtotal[Net
Balance])</f>
        <v>1564729</v>
      </c>
    </row>
    <row r="10" spans="1:11" x14ac:dyDescent="0.25">
      <c r="A10" s="272"/>
      <c r="B10" s="272"/>
      <c r="C10" s="272"/>
      <c r="D10" s="272"/>
      <c r="E10" s="272"/>
      <c r="F10" s="272"/>
      <c r="G10" s="272"/>
      <c r="H10" s="272"/>
      <c r="I10" s="272"/>
      <c r="J10" s="272"/>
      <c r="K10" s="272"/>
    </row>
  </sheetData>
  <printOptions horizontalCentered="1" gridLines="1"/>
  <pageMargins left="0.3" right="0.3" top="1.1000000000000001" bottom="0.75" header="0.3" footer="0.3"/>
  <pageSetup scale="62" fitToHeight="0" orientation="landscape" r:id="rId1"/>
  <headerFooter>
    <oddHeader>&amp;C&amp;"-,Bold"&amp;12State Controller's Office
Schedule B2: Detail of Unfunded State-Mandated Programs
As of August 31, 2020</oddHeader>
    <oddFooter xml:space="preserve">&amp;L  Schedule B2: Detail of Unfunded State-Mandated Programs 
  School Districts&amp;RPage &amp;P of &amp;N  </oddFooter>
  </headerFooter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"/>
  <sheetViews>
    <sheetView zoomScaleNormal="100" zoomScalePageLayoutView="80" workbookViewId="0"/>
  </sheetViews>
  <sheetFormatPr defaultColWidth="9.140625" defaultRowHeight="15.75" outlineLevelRow="2" x14ac:dyDescent="0.25"/>
  <cols>
    <col min="1" max="1" width="37.42578125" style="206" customWidth="1"/>
    <col min="2" max="2" width="12.5703125" style="207" customWidth="1"/>
    <col min="3" max="3" width="14.5703125" style="193" customWidth="1"/>
    <col min="4" max="4" width="12.5703125" style="193" customWidth="1"/>
    <col min="5" max="5" width="17.7109375" style="270" customWidth="1"/>
    <col min="6" max="6" width="15.5703125" style="270" customWidth="1"/>
    <col min="7" max="7" width="17.7109375" style="270" customWidth="1"/>
    <col min="8" max="10" width="15.5703125" style="270" customWidth="1"/>
    <col min="11" max="11" width="17.7109375" style="270" customWidth="1"/>
    <col min="12" max="16384" width="9.140625" style="20"/>
  </cols>
  <sheetData>
    <row r="1" spans="1:11" s="201" customFormat="1" ht="54" customHeight="1" x14ac:dyDescent="0.25">
      <c r="A1" s="198" t="s">
        <v>539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2" spans="1:11" s="272" customFormat="1" ht="50.1" customHeight="1" outlineLevel="1" x14ac:dyDescent="0.25">
      <c r="A2" s="176" t="s">
        <v>99</v>
      </c>
      <c r="B2" s="176" t="s">
        <v>1</v>
      </c>
      <c r="C2" s="176" t="s">
        <v>195</v>
      </c>
      <c r="D2" s="176" t="s">
        <v>98</v>
      </c>
      <c r="E2" s="210" t="s">
        <v>188</v>
      </c>
      <c r="F2" s="210" t="s">
        <v>442</v>
      </c>
      <c r="G2" s="210" t="s">
        <v>528</v>
      </c>
      <c r="H2" s="210" t="s">
        <v>529</v>
      </c>
      <c r="I2" s="210" t="s">
        <v>197</v>
      </c>
      <c r="J2" s="210" t="s">
        <v>530</v>
      </c>
      <c r="K2" s="210" t="s">
        <v>196</v>
      </c>
    </row>
    <row r="3" spans="1:11" outlineLevel="2" x14ac:dyDescent="0.25">
      <c r="A3" s="272" t="s">
        <v>325</v>
      </c>
      <c r="B3" s="272" t="s">
        <v>326</v>
      </c>
      <c r="C3" s="243">
        <v>307</v>
      </c>
      <c r="D3" s="243" t="s">
        <v>87</v>
      </c>
      <c r="E3" s="311">
        <v>1170</v>
      </c>
      <c r="F3" s="297">
        <v>0</v>
      </c>
      <c r="G3" s="311">
        <v>1170</v>
      </c>
      <c r="H3" s="297">
        <v>0</v>
      </c>
      <c r="I3" s="297">
        <v>0</v>
      </c>
      <c r="J3" s="297">
        <v>0</v>
      </c>
      <c r="K3" s="311">
        <v>1170</v>
      </c>
    </row>
    <row r="4" spans="1:11" outlineLevel="2" x14ac:dyDescent="0.25">
      <c r="A4" s="80" t="s">
        <v>492</v>
      </c>
      <c r="B4" s="74" t="s">
        <v>500</v>
      </c>
      <c r="C4" s="74" t="s">
        <v>500</v>
      </c>
      <c r="D4" s="74" t="s">
        <v>500</v>
      </c>
      <c r="E4" s="187">
        <f>SUBTOTAL(109,college307[Program
Costs])</f>
        <v>1170</v>
      </c>
      <c r="F4" s="179">
        <f>SUBTOTAL(109,college307[Less: Net Payments and Offsets])</f>
        <v>0</v>
      </c>
      <c r="G4" s="187">
        <f>SUBTOTAL(109,college307[Accounts Payable
Balance])</f>
        <v>1170</v>
      </c>
      <c r="H4" s="179">
        <f>SUBTOTAL(109,college307[Established
Accounts Receivable])</f>
        <v>0</v>
      </c>
      <c r="I4" s="179">
        <f>SUBTOTAL(109,college307[Less: Recovered Amount])</f>
        <v>0</v>
      </c>
      <c r="J4" s="179">
        <f>SUBTOTAL(109,college307[Accounts Receivable
Balance])</f>
        <v>0</v>
      </c>
      <c r="K4" s="187">
        <f>SUBTOTAL(109,college307[Net
Balance])</f>
        <v>1170</v>
      </c>
    </row>
    <row r="5" spans="1:11" outlineLevel="2" x14ac:dyDescent="0.25">
      <c r="A5" s="57" t="s">
        <v>508</v>
      </c>
      <c r="B5" s="272"/>
      <c r="C5" s="243"/>
      <c r="D5" s="243"/>
      <c r="E5" s="311"/>
      <c r="F5" s="311"/>
      <c r="G5" s="311"/>
      <c r="H5" s="311"/>
      <c r="I5" s="311"/>
      <c r="J5" s="311"/>
      <c r="K5" s="311"/>
    </row>
    <row r="6" spans="1:11" s="272" customFormat="1" ht="50.1" customHeight="1" outlineLevel="1" x14ac:dyDescent="0.25">
      <c r="A6" s="176" t="s">
        <v>99</v>
      </c>
      <c r="B6" s="176" t="s">
        <v>1</v>
      </c>
      <c r="C6" s="176" t="s">
        <v>195</v>
      </c>
      <c r="D6" s="176" t="s">
        <v>98</v>
      </c>
      <c r="E6" s="210" t="s">
        <v>188</v>
      </c>
      <c r="F6" s="210" t="s">
        <v>442</v>
      </c>
      <c r="G6" s="210" t="s">
        <v>528</v>
      </c>
      <c r="H6" s="210" t="s">
        <v>529</v>
      </c>
      <c r="I6" s="210" t="s">
        <v>197</v>
      </c>
      <c r="J6" s="210" t="s">
        <v>530</v>
      </c>
      <c r="K6" s="210" t="s">
        <v>196</v>
      </c>
    </row>
    <row r="7" spans="1:11" outlineLevel="1" x14ac:dyDescent="0.25">
      <c r="A7" s="272" t="s">
        <v>325</v>
      </c>
      <c r="B7" s="57" t="s">
        <v>500</v>
      </c>
      <c r="C7" s="57" t="s">
        <v>500</v>
      </c>
      <c r="D7" s="57" t="s">
        <v>500</v>
      </c>
      <c r="E7" s="311">
        <v>1170</v>
      </c>
      <c r="F7" s="297">
        <v>0</v>
      </c>
      <c r="G7" s="311">
        <v>1170</v>
      </c>
      <c r="H7" s="297">
        <v>0</v>
      </c>
      <c r="I7" s="297">
        <v>0</v>
      </c>
      <c r="J7" s="297">
        <v>0</v>
      </c>
      <c r="K7" s="311">
        <v>1170</v>
      </c>
    </row>
    <row r="8" spans="1:11" outlineLevel="1" x14ac:dyDescent="0.25">
      <c r="A8" s="80" t="s">
        <v>440</v>
      </c>
      <c r="B8" s="74" t="s">
        <v>500</v>
      </c>
      <c r="C8" s="74" t="s">
        <v>500</v>
      </c>
      <c r="D8" s="74" t="s">
        <v>500</v>
      </c>
      <c r="E8" s="187">
        <f>SUBTOTAL(109,collegeunfundedgrandtotal[Program
Costs])</f>
        <v>1170</v>
      </c>
      <c r="F8" s="179">
        <f>SUBTOTAL(109,collegeunfundedgrandtotal[Less: Net Payments and Offsets])</f>
        <v>0</v>
      </c>
      <c r="G8" s="187">
        <f>SUBTOTAL(109,collegeunfundedgrandtotal[Accounts Payable
Balance])</f>
        <v>1170</v>
      </c>
      <c r="H8" s="179">
        <f>SUBTOTAL(109,collegeunfundedgrandtotal[Established
Accounts Receivable])</f>
        <v>0</v>
      </c>
      <c r="I8" s="179">
        <f>SUBTOTAL(109,collegeunfundedgrandtotal[Less: Recovered Amount])</f>
        <v>0</v>
      </c>
      <c r="J8" s="179">
        <f>SUBTOTAL(109,collegeunfundedgrandtotal[Accounts Receivable
Balance])</f>
        <v>0</v>
      </c>
      <c r="K8" s="187">
        <f>SUBTOTAL(109,collegeunfundedgrandtotal[Net
Balance])</f>
        <v>1170</v>
      </c>
    </row>
    <row r="9" spans="1:11" outlineLevel="1" x14ac:dyDescent="0.25">
      <c r="A9" s="57" t="s">
        <v>508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</row>
    <row r="10" spans="1:11" ht="50.1" customHeight="1" outlineLevel="1" x14ac:dyDescent="0.25">
      <c r="A10" s="176" t="s">
        <v>99</v>
      </c>
      <c r="B10" s="176" t="s">
        <v>1</v>
      </c>
      <c r="C10" s="176" t="s">
        <v>195</v>
      </c>
      <c r="D10" s="176" t="s">
        <v>98</v>
      </c>
      <c r="E10" s="210" t="s">
        <v>188</v>
      </c>
      <c r="F10" s="210" t="s">
        <v>442</v>
      </c>
      <c r="G10" s="210" t="s">
        <v>528</v>
      </c>
      <c r="H10" s="210" t="s">
        <v>529</v>
      </c>
      <c r="I10" s="210" t="s">
        <v>197</v>
      </c>
      <c r="J10" s="210" t="s">
        <v>530</v>
      </c>
      <c r="K10" s="210" t="s">
        <v>196</v>
      </c>
    </row>
    <row r="11" spans="1:11" outlineLevel="1" x14ac:dyDescent="0.25">
      <c r="A11" s="272" t="s">
        <v>6</v>
      </c>
      <c r="B11" s="57" t="s">
        <v>500</v>
      </c>
      <c r="C11" s="57" t="s">
        <v>500</v>
      </c>
      <c r="D11" s="57" t="s">
        <v>500</v>
      </c>
      <c r="E11" s="246">
        <v>367676266</v>
      </c>
      <c r="F11" s="297">
        <v>0</v>
      </c>
      <c r="G11" s="246">
        <v>367676266</v>
      </c>
      <c r="H11" s="297">
        <v>0</v>
      </c>
      <c r="I11" s="297">
        <v>0</v>
      </c>
      <c r="J11" s="297">
        <v>0</v>
      </c>
      <c r="K11" s="246">
        <v>367676266</v>
      </c>
    </row>
    <row r="12" spans="1:11" outlineLevel="1" x14ac:dyDescent="0.25">
      <c r="A12" s="272" t="s">
        <v>24</v>
      </c>
      <c r="B12" s="57" t="s">
        <v>500</v>
      </c>
      <c r="C12" s="57" t="s">
        <v>500</v>
      </c>
      <c r="D12" s="57" t="s">
        <v>500</v>
      </c>
      <c r="E12" s="246">
        <v>1564729</v>
      </c>
      <c r="F12" s="297">
        <v>0</v>
      </c>
      <c r="G12" s="246">
        <v>1564729</v>
      </c>
      <c r="H12" s="297">
        <v>0</v>
      </c>
      <c r="I12" s="297">
        <v>0</v>
      </c>
      <c r="J12" s="297">
        <v>0</v>
      </c>
      <c r="K12" s="246">
        <v>1564729</v>
      </c>
    </row>
    <row r="13" spans="1:11" outlineLevel="1" x14ac:dyDescent="0.25">
      <c r="A13" s="272" t="s">
        <v>28</v>
      </c>
      <c r="B13" s="57" t="s">
        <v>500</v>
      </c>
      <c r="C13" s="57" t="s">
        <v>500</v>
      </c>
      <c r="D13" s="57" t="s">
        <v>500</v>
      </c>
      <c r="E13" s="246">
        <v>1170</v>
      </c>
      <c r="F13" s="297">
        <v>0</v>
      </c>
      <c r="G13" s="246">
        <v>1170</v>
      </c>
      <c r="H13" s="297">
        <v>0</v>
      </c>
      <c r="I13" s="297">
        <v>0</v>
      </c>
      <c r="J13" s="297">
        <v>0</v>
      </c>
      <c r="K13" s="246">
        <v>1170</v>
      </c>
    </row>
    <row r="14" spans="1:11" s="310" customFormat="1" x14ac:dyDescent="0.25">
      <c r="A14" s="80" t="s">
        <v>493</v>
      </c>
      <c r="B14" s="312" t="s">
        <v>500</v>
      </c>
      <c r="C14" s="312" t="s">
        <v>500</v>
      </c>
      <c r="D14" s="312" t="s">
        <v>500</v>
      </c>
      <c r="E14" s="78">
        <f>SUBTOTAL(109,unfundedgrandtotal[Program
Costs])</f>
        <v>369242165</v>
      </c>
      <c r="F14" s="179">
        <f>SUBTOTAL(109,unfundedgrandtotal[Less: Net Payments and Offsets])</f>
        <v>0</v>
      </c>
      <c r="G14" s="78">
        <f>SUBTOTAL(109,unfundedgrandtotal[Accounts Payable
Balance])</f>
        <v>369242165</v>
      </c>
      <c r="H14" s="179">
        <f>SUBTOTAL(109,unfundedgrandtotal[Established
Accounts Receivable])</f>
        <v>0</v>
      </c>
      <c r="I14" s="179">
        <f>SUBTOTAL(109,unfundedgrandtotal[Less: Recovered Amount])</f>
        <v>0</v>
      </c>
      <c r="J14" s="179">
        <f>SUBTOTAL(109,unfundedgrandtotal[Accounts Receivable
Balance])</f>
        <v>0</v>
      </c>
      <c r="K14" s="78">
        <f>SUBTOTAL(109,unfundedgrandtotal[Net
Balance])</f>
        <v>369242165</v>
      </c>
    </row>
    <row r="15" spans="1:11" x14ac:dyDescent="0.25">
      <c r="A15" s="272"/>
      <c r="B15" s="272"/>
      <c r="C15" s="272"/>
      <c r="D15" s="272"/>
      <c r="E15" s="272"/>
      <c r="F15" s="272"/>
      <c r="G15" s="272"/>
      <c r="H15" s="272"/>
      <c r="I15" s="272"/>
      <c r="J15" s="272"/>
      <c r="K15" s="272"/>
    </row>
  </sheetData>
  <printOptions horizontalCentered="1" gridLines="1"/>
  <pageMargins left="0.3" right="0.3" top="1.1000000000000001" bottom="0.75" header="0.3" footer="0.3"/>
  <pageSetup scale="68" fitToHeight="0" orientation="landscape" r:id="rId1"/>
  <headerFooter>
    <oddHeader>&amp;C&amp;"-,Bold"&amp;12State Controller's Office
Schedule B2: Detail of Unfunded State-Mandated Programs
As of August 31, 2020</oddHeader>
    <oddFooter xml:space="preserve">&amp;L  Schedule B2: Detail of Unfunded State-Mandated Programs 
  Community College Districts&amp;RPage &amp;P of &amp;N  </oddFooter>
  </headerFooter>
  <colBreaks count="1" manualBreakCount="1">
    <brk id="10" min="1" max="13" man="1"/>
  </colBreaks>
  <tableParts count="3">
    <tablePart r:id="rId2"/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"/>
  <sheetViews>
    <sheetView zoomScaleNormal="100" zoomScalePageLayoutView="80" workbookViewId="0"/>
  </sheetViews>
  <sheetFormatPr defaultColWidth="9.140625" defaultRowHeight="15" x14ac:dyDescent="0.25"/>
  <cols>
    <col min="1" max="1" width="43.5703125" style="457" customWidth="1"/>
    <col min="2" max="2" width="10.7109375" style="417" customWidth="1"/>
    <col min="3" max="3" width="13" style="417" customWidth="1"/>
    <col min="4" max="4" width="12.7109375" style="458" customWidth="1"/>
    <col min="5" max="5" width="20.5703125" style="459" customWidth="1"/>
    <col min="6" max="6" width="14.5703125" style="417" customWidth="1"/>
    <col min="7" max="7" width="35.28515625" style="417" customWidth="1"/>
    <col min="8" max="8" width="31.85546875" style="417" customWidth="1"/>
    <col min="9" max="9" width="14.7109375" style="417" customWidth="1"/>
    <col min="10" max="10" width="16.5703125" style="417" customWidth="1"/>
    <col min="11" max="11" width="8.7109375" style="417" customWidth="1"/>
    <col min="12" max="12" width="16" style="462" customWidth="1"/>
    <col min="13" max="13" width="17.85546875" style="417" customWidth="1"/>
    <col min="14" max="14" width="16.28515625" style="417" customWidth="1"/>
    <col min="15" max="15" width="18.42578125" style="417" customWidth="1"/>
    <col min="16" max="16384" width="9.140625" style="417"/>
  </cols>
  <sheetData>
    <row r="1" spans="1:13" ht="54" x14ac:dyDescent="0.25">
      <c r="A1" s="413" t="s">
        <v>612</v>
      </c>
      <c r="B1" s="414"/>
      <c r="C1" s="414"/>
      <c r="D1" s="415"/>
      <c r="E1" s="416"/>
      <c r="F1" s="414"/>
      <c r="G1" s="414"/>
      <c r="H1" s="414"/>
      <c r="I1" s="414"/>
      <c r="J1" s="414"/>
      <c r="K1" s="414"/>
      <c r="L1" s="415"/>
    </row>
    <row r="2" spans="1:13" s="421" customFormat="1" ht="47.45" customHeight="1" x14ac:dyDescent="0.25">
      <c r="A2" s="418" t="s">
        <v>613</v>
      </c>
      <c r="B2" s="419" t="s">
        <v>614</v>
      </c>
      <c r="C2" s="419" t="s">
        <v>615</v>
      </c>
      <c r="D2" s="420" t="s">
        <v>616</v>
      </c>
      <c r="E2" s="420" t="s">
        <v>617</v>
      </c>
      <c r="F2" s="419" t="s">
        <v>618</v>
      </c>
      <c r="G2" s="419" t="s">
        <v>619</v>
      </c>
      <c r="H2" s="419" t="s">
        <v>98</v>
      </c>
      <c r="I2" s="419" t="s">
        <v>620</v>
      </c>
      <c r="J2" s="419" t="s">
        <v>621</v>
      </c>
      <c r="K2" s="419" t="s">
        <v>622</v>
      </c>
      <c r="L2" s="420" t="s">
        <v>623</v>
      </c>
    </row>
    <row r="3" spans="1:13" s="432" customFormat="1" ht="60.75" x14ac:dyDescent="0.25">
      <c r="A3" s="422">
        <v>1</v>
      </c>
      <c r="B3" s="423" t="s">
        <v>500</v>
      </c>
      <c r="C3" s="424" t="s">
        <v>624</v>
      </c>
      <c r="D3" s="425">
        <v>42962</v>
      </c>
      <c r="E3" s="426" t="s">
        <v>625</v>
      </c>
      <c r="F3" s="424" t="s">
        <v>626</v>
      </c>
      <c r="G3" s="427" t="s">
        <v>627</v>
      </c>
      <c r="H3" s="427" t="s">
        <v>628</v>
      </c>
      <c r="I3" s="428">
        <v>50459</v>
      </c>
      <c r="J3" s="427" t="s">
        <v>467</v>
      </c>
      <c r="K3" s="429" t="s">
        <v>629</v>
      </c>
      <c r="L3" s="430">
        <v>44099</v>
      </c>
      <c r="M3" s="431"/>
    </row>
    <row r="4" spans="1:13" s="421" customFormat="1" ht="75.75" x14ac:dyDescent="0.25">
      <c r="A4" s="433">
        <v>2</v>
      </c>
      <c r="B4" s="352" t="s">
        <v>500</v>
      </c>
      <c r="C4" s="434" t="s">
        <v>630</v>
      </c>
      <c r="D4" s="435">
        <v>42969</v>
      </c>
      <c r="E4" s="436" t="s">
        <v>631</v>
      </c>
      <c r="F4" s="434" t="s">
        <v>626</v>
      </c>
      <c r="G4" s="437" t="s">
        <v>632</v>
      </c>
      <c r="H4" s="437" t="s">
        <v>633</v>
      </c>
      <c r="I4" s="438">
        <v>372127</v>
      </c>
      <c r="J4" s="437" t="s">
        <v>634</v>
      </c>
      <c r="K4" s="363" t="s">
        <v>629</v>
      </c>
      <c r="L4" s="439">
        <v>44169</v>
      </c>
      <c r="M4" s="440"/>
    </row>
    <row r="5" spans="1:13" s="432" customFormat="1" ht="75.75" x14ac:dyDescent="0.25">
      <c r="A5" s="433">
        <v>3</v>
      </c>
      <c r="B5" s="352" t="s">
        <v>500</v>
      </c>
      <c r="C5" s="434" t="s">
        <v>635</v>
      </c>
      <c r="D5" s="435">
        <v>43329</v>
      </c>
      <c r="E5" s="436" t="s">
        <v>636</v>
      </c>
      <c r="F5" s="434" t="s">
        <v>626</v>
      </c>
      <c r="G5" s="437" t="s">
        <v>637</v>
      </c>
      <c r="H5" s="437" t="s">
        <v>638</v>
      </c>
      <c r="I5" s="438">
        <v>530321</v>
      </c>
      <c r="J5" s="437" t="s">
        <v>476</v>
      </c>
      <c r="K5" s="363" t="s">
        <v>629</v>
      </c>
      <c r="L5" s="439">
        <v>44218</v>
      </c>
      <c r="M5" s="431"/>
    </row>
    <row r="6" spans="1:13" s="432" customFormat="1" ht="48" customHeight="1" x14ac:dyDescent="0.25">
      <c r="A6" s="433">
        <v>4</v>
      </c>
      <c r="B6" s="352" t="s">
        <v>500</v>
      </c>
      <c r="C6" s="434" t="s">
        <v>639</v>
      </c>
      <c r="D6" s="435">
        <v>43892</v>
      </c>
      <c r="E6" s="436" t="s">
        <v>640</v>
      </c>
      <c r="F6" s="434" t="s">
        <v>626</v>
      </c>
      <c r="G6" s="437" t="s">
        <v>641</v>
      </c>
      <c r="H6" s="441" t="s">
        <v>642</v>
      </c>
      <c r="I6" s="438">
        <v>427318</v>
      </c>
      <c r="J6" s="437" t="s">
        <v>153</v>
      </c>
      <c r="K6" s="363" t="s">
        <v>643</v>
      </c>
      <c r="L6" s="439">
        <v>44281</v>
      </c>
      <c r="M6" s="431"/>
    </row>
    <row r="7" spans="1:13" s="432" customFormat="1" ht="75.75" x14ac:dyDescent="0.25">
      <c r="A7" s="433">
        <v>5</v>
      </c>
      <c r="B7" s="352" t="s">
        <v>500</v>
      </c>
      <c r="C7" s="434" t="s">
        <v>644</v>
      </c>
      <c r="D7" s="435">
        <v>43973</v>
      </c>
      <c r="E7" s="436" t="s">
        <v>645</v>
      </c>
      <c r="F7" s="434" t="s">
        <v>646</v>
      </c>
      <c r="G7" s="437" t="s">
        <v>647</v>
      </c>
      <c r="H7" s="441" t="s">
        <v>648</v>
      </c>
      <c r="I7" s="438">
        <v>765610</v>
      </c>
      <c r="J7" s="437" t="s">
        <v>476</v>
      </c>
      <c r="K7" s="363" t="s">
        <v>629</v>
      </c>
      <c r="L7" s="439">
        <v>44344</v>
      </c>
      <c r="M7" s="431"/>
    </row>
    <row r="8" spans="1:13" s="432" customFormat="1" ht="75.75" x14ac:dyDescent="0.25">
      <c r="A8" s="433">
        <v>6</v>
      </c>
      <c r="B8" s="352" t="s">
        <v>500</v>
      </c>
      <c r="C8" s="434" t="s">
        <v>649</v>
      </c>
      <c r="D8" s="435">
        <v>43990</v>
      </c>
      <c r="E8" s="436" t="s">
        <v>645</v>
      </c>
      <c r="F8" s="434" t="s">
        <v>646</v>
      </c>
      <c r="G8" s="437" t="s">
        <v>650</v>
      </c>
      <c r="H8" s="441" t="s">
        <v>651</v>
      </c>
      <c r="I8" s="438">
        <v>349403</v>
      </c>
      <c r="J8" s="437" t="s">
        <v>476</v>
      </c>
      <c r="K8" s="363" t="s">
        <v>629</v>
      </c>
      <c r="L8" s="439">
        <v>44400</v>
      </c>
      <c r="M8" s="431"/>
    </row>
    <row r="9" spans="1:13" s="432" customFormat="1" ht="75.75" x14ac:dyDescent="0.25">
      <c r="A9" s="433">
        <v>7</v>
      </c>
      <c r="B9" s="352" t="s">
        <v>500</v>
      </c>
      <c r="C9" s="434" t="s">
        <v>652</v>
      </c>
      <c r="D9" s="435">
        <v>44012</v>
      </c>
      <c r="E9" s="436" t="s">
        <v>645</v>
      </c>
      <c r="F9" s="434" t="s">
        <v>646</v>
      </c>
      <c r="G9" s="437" t="s">
        <v>653</v>
      </c>
      <c r="H9" s="441" t="s">
        <v>654</v>
      </c>
      <c r="I9" s="438">
        <v>186921</v>
      </c>
      <c r="J9" s="437" t="s">
        <v>476</v>
      </c>
      <c r="K9" s="363" t="s">
        <v>629</v>
      </c>
      <c r="L9" s="439">
        <v>44463</v>
      </c>
      <c r="M9" s="431"/>
    </row>
    <row r="10" spans="1:13" s="432" customFormat="1" ht="71.099999999999994" customHeight="1" x14ac:dyDescent="0.25">
      <c r="A10" s="442">
        <v>8</v>
      </c>
      <c r="B10" s="443" t="s">
        <v>500</v>
      </c>
      <c r="C10" s="444" t="s">
        <v>655</v>
      </c>
      <c r="D10" s="445">
        <v>43992</v>
      </c>
      <c r="E10" s="446" t="s">
        <v>645</v>
      </c>
      <c r="F10" s="444" t="s">
        <v>646</v>
      </c>
      <c r="G10" s="447" t="s">
        <v>656</v>
      </c>
      <c r="H10" s="448" t="s">
        <v>657</v>
      </c>
      <c r="I10" s="449">
        <v>202214</v>
      </c>
      <c r="J10" s="447" t="s">
        <v>476</v>
      </c>
      <c r="K10" s="450" t="s">
        <v>629</v>
      </c>
      <c r="L10" s="451">
        <v>44533</v>
      </c>
      <c r="M10" s="431"/>
    </row>
    <row r="11" spans="1:13" ht="51.6" customHeight="1" x14ac:dyDescent="0.25">
      <c r="A11" s="452" t="s">
        <v>658</v>
      </c>
      <c r="B11" s="453" t="s">
        <v>500</v>
      </c>
      <c r="C11" s="453" t="s">
        <v>500</v>
      </c>
      <c r="D11" s="453" t="s">
        <v>500</v>
      </c>
      <c r="E11" s="453" t="s">
        <v>500</v>
      </c>
      <c r="F11" s="453" t="s">
        <v>500</v>
      </c>
      <c r="G11" s="453" t="s">
        <v>500</v>
      </c>
      <c r="H11" s="454" t="s">
        <v>500</v>
      </c>
      <c r="I11" s="455">
        <f>SUBTOTAL(109,schedulec[Amount
of Claim])</f>
        <v>2884373</v>
      </c>
      <c r="J11" s="456" t="s">
        <v>500</v>
      </c>
      <c r="K11" s="352" t="s">
        <v>500</v>
      </c>
      <c r="L11" s="353" t="s">
        <v>500</v>
      </c>
    </row>
    <row r="12" spans="1:13" ht="15.75" customHeight="1" x14ac:dyDescent="0.25">
      <c r="H12" s="460"/>
      <c r="I12" s="461"/>
    </row>
    <row r="13" spans="1:13" ht="15.75" customHeight="1" x14ac:dyDescent="0.25">
      <c r="I13" s="461"/>
    </row>
    <row r="14" spans="1:13" x14ac:dyDescent="0.25">
      <c r="I14" s="461"/>
    </row>
  </sheetData>
  <printOptions horizontalCentered="1" gridLines="1"/>
  <pageMargins left="0.25" right="0.25" top="1.1000000000000001" bottom="0.75" header="0.3" footer="0.3"/>
  <pageSetup scale="56" fitToHeight="0" orientation="landscape" r:id="rId1"/>
  <headerFooter>
    <oddHeader>&amp;C&amp;"-,Bold"&amp;12Schedule C: Outstanding Incorrect Reduction Claims
Filed with the Commission on State Mandates
As of August 31, 2020</oddHeader>
    <oddFooter>&amp;L
Schedule C : Outstanding Incorrect Reduction Claims Filed with the Commission on State Mandates&amp;RPage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4"/>
  <sheetViews>
    <sheetView workbookViewId="0">
      <selection activeCell="B1" sqref="B1"/>
    </sheetView>
  </sheetViews>
  <sheetFormatPr defaultRowHeight="15" x14ac:dyDescent="0.25"/>
  <cols>
    <col min="1" max="1" width="20" bestFit="1" customWidth="1"/>
    <col min="2" max="2" width="117.42578125" bestFit="1" customWidth="1"/>
    <col min="3" max="3" width="10.5703125" bestFit="1" customWidth="1"/>
  </cols>
  <sheetData>
    <row r="1" spans="1:3" ht="20.25" x14ac:dyDescent="0.25">
      <c r="A1" s="398" t="s">
        <v>584</v>
      </c>
      <c r="B1" s="399"/>
      <c r="C1" s="399"/>
    </row>
    <row r="2" spans="1:3" ht="20.25" x14ac:dyDescent="0.25">
      <c r="A2" s="398" t="s">
        <v>607</v>
      </c>
      <c r="B2" s="399"/>
      <c r="C2" s="399"/>
    </row>
    <row r="3" spans="1:3" ht="20.25" x14ac:dyDescent="0.25">
      <c r="A3" s="398" t="s">
        <v>585</v>
      </c>
      <c r="B3" s="399"/>
      <c r="C3" s="399"/>
    </row>
    <row r="4" spans="1:3" ht="18" x14ac:dyDescent="0.25">
      <c r="A4" s="400" t="s">
        <v>606</v>
      </c>
      <c r="B4" s="399"/>
      <c r="C4" s="399"/>
    </row>
    <row r="5" spans="1:3" ht="18" x14ac:dyDescent="0.25">
      <c r="A5" s="401" t="s">
        <v>608</v>
      </c>
      <c r="B5" s="399"/>
      <c r="C5" s="399"/>
    </row>
    <row r="6" spans="1:3" ht="18" x14ac:dyDescent="0.25">
      <c r="A6" s="402" t="s">
        <v>586</v>
      </c>
      <c r="B6" s="403" t="s">
        <v>587</v>
      </c>
      <c r="C6" s="404" t="s">
        <v>588</v>
      </c>
    </row>
    <row r="7" spans="1:3" ht="18" x14ac:dyDescent="0.25">
      <c r="A7" s="402" t="s">
        <v>589</v>
      </c>
      <c r="B7" s="403" t="s">
        <v>590</v>
      </c>
      <c r="C7" s="404" t="s">
        <v>591</v>
      </c>
    </row>
    <row r="8" spans="1:3" ht="18" x14ac:dyDescent="0.25">
      <c r="A8" s="401" t="s">
        <v>592</v>
      </c>
      <c r="B8" s="399"/>
      <c r="C8" s="405"/>
    </row>
    <row r="9" spans="1:3" ht="18" x14ac:dyDescent="0.25">
      <c r="A9" s="402" t="s">
        <v>593</v>
      </c>
      <c r="B9" s="403" t="s">
        <v>594</v>
      </c>
      <c r="C9" s="404" t="s">
        <v>659</v>
      </c>
    </row>
    <row r="10" spans="1:3" ht="18" x14ac:dyDescent="0.25">
      <c r="A10" s="402" t="s">
        <v>595</v>
      </c>
      <c r="B10" s="403" t="s">
        <v>596</v>
      </c>
      <c r="C10" s="404" t="s">
        <v>660</v>
      </c>
    </row>
    <row r="11" spans="1:3" ht="18" x14ac:dyDescent="0.25">
      <c r="A11" s="402" t="s">
        <v>597</v>
      </c>
      <c r="B11" s="403" t="s">
        <v>598</v>
      </c>
      <c r="C11" s="404" t="s">
        <v>664</v>
      </c>
    </row>
    <row r="12" spans="1:3" ht="18" customHeight="1" x14ac:dyDescent="0.25">
      <c r="A12" s="401" t="s">
        <v>610</v>
      </c>
      <c r="B12" s="399"/>
      <c r="C12" s="399"/>
    </row>
    <row r="13" spans="1:3" s="200" customFormat="1" ht="18" x14ac:dyDescent="0.25">
      <c r="A13" s="201" t="s">
        <v>609</v>
      </c>
      <c r="B13" s="200" t="s">
        <v>611</v>
      </c>
      <c r="C13" s="404" t="s">
        <v>665</v>
      </c>
    </row>
    <row r="14" spans="1:3" s="200" customFormat="1" ht="18" x14ac:dyDescent="0.25"/>
  </sheetData>
  <pageMargins left="0.7" right="0.7" top="0.75" bottom="0.75" header="0.3" footer="0.3"/>
  <pageSetup scale="8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48"/>
  <sheetViews>
    <sheetView zoomScale="90" zoomScaleNormal="90" workbookViewId="0"/>
  </sheetViews>
  <sheetFormatPr defaultColWidth="9.140625" defaultRowHeight="15" x14ac:dyDescent="0.2"/>
  <cols>
    <col min="1" max="1" width="52.5703125" style="3" customWidth="1"/>
    <col min="2" max="2" width="25.5703125" style="3" customWidth="1"/>
    <col min="3" max="3" width="17.85546875" style="40" customWidth="1"/>
    <col min="4" max="4" width="21.85546875" style="40" customWidth="1"/>
    <col min="5" max="5" width="14" style="40" customWidth="1"/>
    <col min="6" max="6" width="17.28515625" style="41" customWidth="1"/>
    <col min="7" max="7" width="17.85546875" style="41" customWidth="1"/>
    <col min="8" max="8" width="2.5703125" style="41" customWidth="1"/>
    <col min="9" max="9" width="16.5703125" style="41" customWidth="1"/>
    <col min="10" max="10" width="2.5703125" style="41" customWidth="1"/>
    <col min="11" max="11" width="19.28515625" style="41" customWidth="1"/>
    <col min="12" max="12" width="27" style="41" customWidth="1"/>
    <col min="13" max="13" width="2.5703125" style="41" customWidth="1"/>
    <col min="14" max="14" width="20.5703125" style="41" customWidth="1"/>
    <col min="15" max="15" width="18" style="41" customWidth="1"/>
    <col min="16" max="16" width="12.5703125" style="3" bestFit="1" customWidth="1"/>
    <col min="17" max="16384" width="9.140625" style="3"/>
  </cols>
  <sheetData>
    <row r="1" spans="1:17" s="200" customFormat="1" ht="54" customHeight="1" x14ac:dyDescent="0.25">
      <c r="A1" s="198" t="s">
        <v>496</v>
      </c>
      <c r="B1" s="198"/>
      <c r="C1" s="199"/>
      <c r="D1" s="199"/>
      <c r="E1" s="199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17" s="2" customFormat="1" ht="75" customHeight="1" x14ac:dyDescent="0.25">
      <c r="A2" s="44" t="s">
        <v>497</v>
      </c>
      <c r="B2" s="45" t="s">
        <v>0</v>
      </c>
      <c r="C2" s="46" t="s">
        <v>1</v>
      </c>
      <c r="D2" s="46" t="s">
        <v>2</v>
      </c>
      <c r="E2" s="46" t="s">
        <v>3</v>
      </c>
      <c r="F2" s="47" t="s">
        <v>4</v>
      </c>
      <c r="G2" s="388" t="s">
        <v>571</v>
      </c>
      <c r="H2" s="372" t="s">
        <v>564</v>
      </c>
      <c r="I2" s="48" t="s">
        <v>494</v>
      </c>
      <c r="J2" s="157" t="s">
        <v>568</v>
      </c>
      <c r="K2" s="49" t="s">
        <v>5</v>
      </c>
      <c r="L2" s="49" t="s">
        <v>501</v>
      </c>
      <c r="M2" s="158" t="s">
        <v>567</v>
      </c>
      <c r="N2" s="50" t="s">
        <v>495</v>
      </c>
      <c r="O2" s="51" t="s">
        <v>164</v>
      </c>
    </row>
    <row r="3" spans="1:17" ht="15" customHeight="1" x14ac:dyDescent="0.2">
      <c r="A3" s="43" t="s">
        <v>498</v>
      </c>
      <c r="B3" s="4" t="s">
        <v>159</v>
      </c>
      <c r="C3" s="5" t="s">
        <v>182</v>
      </c>
      <c r="D3" s="93" t="s">
        <v>170</v>
      </c>
      <c r="E3" s="7">
        <v>45107</v>
      </c>
      <c r="F3" s="8">
        <v>41147000</v>
      </c>
      <c r="G3" s="8">
        <v>41147000</v>
      </c>
      <c r="H3" s="371" t="s">
        <v>500</v>
      </c>
      <c r="I3" s="367">
        <v>0</v>
      </c>
      <c r="J3" s="97" t="s">
        <v>500</v>
      </c>
      <c r="K3" s="8">
        <v>146834</v>
      </c>
      <c r="L3" s="8">
        <f>'[2]A1 Detail-Locals'!G28</f>
        <v>41146995</v>
      </c>
      <c r="M3" s="97" t="s">
        <v>500</v>
      </c>
      <c r="N3" s="42">
        <v>0</v>
      </c>
      <c r="O3" s="10">
        <f>G3+I3+K3-L3-N3</f>
        <v>146839</v>
      </c>
    </row>
    <row r="4" spans="1:17" ht="15" customHeight="1" x14ac:dyDescent="0.2">
      <c r="A4" s="43" t="s">
        <v>498</v>
      </c>
      <c r="B4" s="4" t="s">
        <v>7</v>
      </c>
      <c r="C4" s="11" t="s">
        <v>8</v>
      </c>
      <c r="D4" s="94" t="s">
        <v>9</v>
      </c>
      <c r="E4" s="13">
        <v>44742</v>
      </c>
      <c r="F4" s="14">
        <v>52094000</v>
      </c>
      <c r="G4" s="14">
        <v>1274941</v>
      </c>
      <c r="H4" s="97" t="s">
        <v>500</v>
      </c>
      <c r="I4" s="9">
        <v>1305731</v>
      </c>
      <c r="J4" s="382" t="s">
        <v>565</v>
      </c>
      <c r="K4" s="15">
        <v>36030</v>
      </c>
      <c r="L4" s="14">
        <f>'[2]A1 Detail-Locals'!G67</f>
        <v>1894006</v>
      </c>
      <c r="M4" s="383" t="s">
        <v>566</v>
      </c>
      <c r="N4" s="42">
        <v>0</v>
      </c>
      <c r="O4" s="10">
        <f>G4+I4+K4-L4-N4</f>
        <v>722696</v>
      </c>
    </row>
    <row r="5" spans="1:17" ht="15" customHeight="1" x14ac:dyDescent="0.2">
      <c r="A5" s="43" t="s">
        <v>498</v>
      </c>
      <c r="B5" s="4" t="s">
        <v>10</v>
      </c>
      <c r="C5" s="11" t="s">
        <v>11</v>
      </c>
      <c r="D5" s="94" t="s">
        <v>177</v>
      </c>
      <c r="E5" s="13">
        <v>44377</v>
      </c>
      <c r="F5" s="14">
        <v>315241000</v>
      </c>
      <c r="G5" s="14">
        <v>17680683</v>
      </c>
      <c r="H5" s="97" t="s">
        <v>500</v>
      </c>
      <c r="I5" s="16">
        <v>-1305731</v>
      </c>
      <c r="J5" s="389">
        <v>3</v>
      </c>
      <c r="K5" s="17">
        <v>39957</v>
      </c>
      <c r="L5" s="17">
        <f>'[2]A1 Detail-Locals'!G72</f>
        <v>54894</v>
      </c>
      <c r="M5" s="389">
        <v>2</v>
      </c>
      <c r="N5" s="42">
        <v>0</v>
      </c>
      <c r="O5" s="10">
        <f>G5+I5+K5-L5-N5</f>
        <v>16360015</v>
      </c>
      <c r="P5" s="18"/>
      <c r="Q5" s="18"/>
    </row>
    <row r="6" spans="1:17" s="19" customFormat="1" ht="15" customHeight="1" x14ac:dyDescent="0.2">
      <c r="A6" s="43" t="s">
        <v>498</v>
      </c>
      <c r="B6" s="68" t="s">
        <v>12</v>
      </c>
      <c r="C6" s="69" t="s">
        <v>13</v>
      </c>
      <c r="D6" s="95" t="s">
        <v>178</v>
      </c>
      <c r="E6" s="70">
        <v>44012</v>
      </c>
      <c r="F6" s="52">
        <v>34510000</v>
      </c>
      <c r="G6" s="53">
        <v>23035</v>
      </c>
      <c r="H6" s="102" t="s">
        <v>500</v>
      </c>
      <c r="I6" s="368">
        <v>0</v>
      </c>
      <c r="J6" s="71" t="s">
        <v>500</v>
      </c>
      <c r="K6" s="54">
        <v>3120</v>
      </c>
      <c r="L6" s="52">
        <f>'[2]A1 Detail-Locals'!G93</f>
        <v>15696</v>
      </c>
      <c r="M6" s="387">
        <v>2</v>
      </c>
      <c r="N6" s="55">
        <v>10459</v>
      </c>
      <c r="O6" s="56">
        <f>G6+I6+K6-L6-N6</f>
        <v>0</v>
      </c>
    </row>
    <row r="7" spans="1:17" s="153" customFormat="1" ht="15" customHeight="1" x14ac:dyDescent="0.25">
      <c r="A7" s="72" t="s">
        <v>499</v>
      </c>
      <c r="B7" s="73" t="s">
        <v>500</v>
      </c>
      <c r="C7" s="74" t="s">
        <v>500</v>
      </c>
      <c r="D7" s="369" t="s">
        <v>500</v>
      </c>
      <c r="E7" s="75" t="s">
        <v>500</v>
      </c>
      <c r="F7" s="76">
        <f>SUBTOTAL(109,localgeneralfund[Original
Appropriation
Amount])</f>
        <v>442992000</v>
      </c>
      <c r="G7" s="76">
        <f>SUBTOTAL(109,localgeneralfund[Appropriation Balances 1])</f>
        <v>60125659</v>
      </c>
      <c r="H7" s="104" t="s">
        <v>500</v>
      </c>
      <c r="I7" s="265">
        <f>SUBTOTAL(109,localgeneralfund[Budget Adjustments])</f>
        <v>0</v>
      </c>
      <c r="J7" s="104" t="s">
        <v>500</v>
      </c>
      <c r="K7" s="78">
        <f>SUBTOTAL(109,localgeneralfund[Add: Receipts
and Recovered Amounts])</f>
        <v>225941</v>
      </c>
      <c r="L7" s="78">
        <f>SUBTOTAL(109,localgeneralfund[Less: Mandated Program Payments, Offsets, and Interest
(see Schedule A1)])</f>
        <v>43111591</v>
      </c>
      <c r="M7" s="370" t="s">
        <v>500</v>
      </c>
      <c r="N7" s="376">
        <f>SUBTOTAL(109,localgeneralfund[Less: Appropriations for Reversion])</f>
        <v>10459</v>
      </c>
      <c r="O7" s="79">
        <f>SUBTOTAL(109,localgeneralfund[Appropriation Balances
as of 8/31/2020])</f>
        <v>17229550</v>
      </c>
    </row>
    <row r="8" spans="1:17" ht="15.6" customHeight="1" x14ac:dyDescent="0.25">
      <c r="A8" s="99" t="s">
        <v>508</v>
      </c>
      <c r="B8" s="63"/>
      <c r="C8" s="58"/>
      <c r="D8" s="64"/>
      <c r="E8" s="65"/>
      <c r="F8" s="59"/>
      <c r="G8" s="364"/>
      <c r="H8" s="365"/>
      <c r="I8" s="62"/>
      <c r="J8" s="58"/>
      <c r="K8" s="60"/>
      <c r="L8" s="60"/>
      <c r="M8" s="61"/>
      <c r="N8" s="66"/>
      <c r="O8" s="67"/>
    </row>
    <row r="9" spans="1:17" ht="75" customHeight="1" x14ac:dyDescent="0.25">
      <c r="A9" s="82" t="s">
        <v>497</v>
      </c>
      <c r="B9" s="45" t="s">
        <v>0</v>
      </c>
      <c r="C9" s="46" t="s">
        <v>1</v>
      </c>
      <c r="D9" s="46" t="s">
        <v>2</v>
      </c>
      <c r="E9" s="46" t="s">
        <v>3</v>
      </c>
      <c r="F9" s="47" t="s">
        <v>4</v>
      </c>
      <c r="G9" s="48" t="s">
        <v>569</v>
      </c>
      <c r="H9" s="157" t="s">
        <v>544</v>
      </c>
      <c r="I9" s="48" t="s">
        <v>494</v>
      </c>
      <c r="J9" s="157" t="s">
        <v>568</v>
      </c>
      <c r="K9" s="49" t="s">
        <v>5</v>
      </c>
      <c r="L9" s="49" t="s">
        <v>501</v>
      </c>
      <c r="M9" s="158" t="s">
        <v>567</v>
      </c>
      <c r="N9" s="50" t="s">
        <v>495</v>
      </c>
      <c r="O9" s="47" t="s">
        <v>164</v>
      </c>
    </row>
    <row r="10" spans="1:17" x14ac:dyDescent="0.2">
      <c r="A10" s="3" t="s">
        <v>502</v>
      </c>
      <c r="B10" s="21" t="s">
        <v>160</v>
      </c>
      <c r="C10" s="11" t="s">
        <v>182</v>
      </c>
      <c r="D10" s="6" t="s">
        <v>165</v>
      </c>
      <c r="E10" s="13">
        <v>45107</v>
      </c>
      <c r="F10" s="22">
        <v>1951000</v>
      </c>
      <c r="G10" s="14">
        <v>1951000</v>
      </c>
      <c r="H10" s="96" t="s">
        <v>500</v>
      </c>
      <c r="I10" s="84">
        <v>0</v>
      </c>
      <c r="J10" s="96" t="s">
        <v>500</v>
      </c>
      <c r="K10" s="14">
        <v>1486</v>
      </c>
      <c r="L10" s="14">
        <f>'[2]A1 Detail-Locals'!G96</f>
        <v>1949892</v>
      </c>
      <c r="M10" s="162" t="s">
        <v>500</v>
      </c>
      <c r="N10" s="83">
        <v>0</v>
      </c>
      <c r="O10" s="81">
        <f>G10+I10+K10-L10-N10</f>
        <v>2594</v>
      </c>
    </row>
    <row r="11" spans="1:17" ht="15" customHeight="1" x14ac:dyDescent="0.2">
      <c r="A11" s="3" t="s">
        <v>502</v>
      </c>
      <c r="B11" s="21" t="s">
        <v>15</v>
      </c>
      <c r="C11" s="11" t="s">
        <v>8</v>
      </c>
      <c r="D11" s="12" t="s">
        <v>16</v>
      </c>
      <c r="E11" s="13">
        <v>44742</v>
      </c>
      <c r="F11" s="22">
        <v>2275000</v>
      </c>
      <c r="G11" s="14">
        <v>917816</v>
      </c>
      <c r="H11" s="96" t="s">
        <v>500</v>
      </c>
      <c r="I11" s="84">
        <v>0</v>
      </c>
      <c r="J11" s="96" t="s">
        <v>500</v>
      </c>
      <c r="K11" s="14">
        <v>41589</v>
      </c>
      <c r="L11" s="14">
        <f>'[2]A1 Detail-Locals'!G99</f>
        <v>90011</v>
      </c>
      <c r="M11" s="162" t="s">
        <v>500</v>
      </c>
      <c r="N11" s="83">
        <v>0</v>
      </c>
      <c r="O11" s="81">
        <f>G11+I11+K11-L11-N11</f>
        <v>869394</v>
      </c>
    </row>
    <row r="12" spans="1:17" s="20" customFormat="1" ht="15" customHeight="1" x14ac:dyDescent="0.25">
      <c r="A12" s="3" t="s">
        <v>502</v>
      </c>
      <c r="B12" s="21" t="s">
        <v>17</v>
      </c>
      <c r="C12" s="11" t="s">
        <v>11</v>
      </c>
      <c r="D12" s="97" t="s">
        <v>500</v>
      </c>
      <c r="E12" s="23">
        <v>44377</v>
      </c>
      <c r="F12" s="24">
        <v>2105000</v>
      </c>
      <c r="G12" s="25">
        <v>196766</v>
      </c>
      <c r="H12" s="96" t="s">
        <v>500</v>
      </c>
      <c r="I12" s="84">
        <v>0</v>
      </c>
      <c r="J12" s="96" t="s">
        <v>500</v>
      </c>
      <c r="K12" s="14">
        <v>9586</v>
      </c>
      <c r="L12" s="84">
        <v>0</v>
      </c>
      <c r="M12" s="162" t="s">
        <v>500</v>
      </c>
      <c r="N12" s="83">
        <v>0</v>
      </c>
      <c r="O12" s="81">
        <f>G12+I12+K12-L12-N12</f>
        <v>206352</v>
      </c>
    </row>
    <row r="13" spans="1:17" s="153" customFormat="1" ht="15.75" x14ac:dyDescent="0.25">
      <c r="A13" s="3" t="s">
        <v>502</v>
      </c>
      <c r="B13" s="85" t="s">
        <v>19</v>
      </c>
      <c r="C13" s="69" t="s">
        <v>13</v>
      </c>
      <c r="D13" s="98" t="s">
        <v>500</v>
      </c>
      <c r="E13" s="86">
        <v>44012</v>
      </c>
      <c r="F13" s="87">
        <v>2367000</v>
      </c>
      <c r="G13" s="87">
        <v>400168</v>
      </c>
      <c r="H13" s="159" t="s">
        <v>500</v>
      </c>
      <c r="I13" s="88">
        <v>0</v>
      </c>
      <c r="J13" s="159" t="s">
        <v>500</v>
      </c>
      <c r="K13" s="87">
        <v>6479</v>
      </c>
      <c r="L13" s="89">
        <v>0</v>
      </c>
      <c r="M13" s="108" t="s">
        <v>500</v>
      </c>
      <c r="N13" s="90">
        <v>406647</v>
      </c>
      <c r="O13" s="161">
        <f>G13+K13-L13-N13</f>
        <v>0</v>
      </c>
    </row>
    <row r="14" spans="1:17" s="20" customFormat="1" ht="15.75" x14ac:dyDescent="0.25">
      <c r="A14" s="80" t="s">
        <v>503</v>
      </c>
      <c r="B14" s="373" t="s">
        <v>500</v>
      </c>
      <c r="C14" s="224" t="s">
        <v>500</v>
      </c>
      <c r="D14" s="224" t="s">
        <v>500</v>
      </c>
      <c r="E14" s="374" t="s">
        <v>500</v>
      </c>
      <c r="F14" s="78">
        <f>SUBTOTAL(109,dmvnongeneralfund[Original
Appropriation
Amount])</f>
        <v>8698000</v>
      </c>
      <c r="G14" s="78">
        <f>SUBTOTAL(109,dmvnongeneralfund[[Appropriation Balances 1 ]])</f>
        <v>3465750</v>
      </c>
      <c r="H14" s="74" t="s">
        <v>500</v>
      </c>
      <c r="I14" s="91">
        <f>SUBTOTAL(109,dmvnongeneralfund[Budget Adjustments])</f>
        <v>0</v>
      </c>
      <c r="J14" s="384" t="s">
        <v>550</v>
      </c>
      <c r="K14" s="76">
        <f>SUBTOTAL(109,dmvnongeneralfund[Add: Receipts
and Recovered Amounts])</f>
        <v>59140</v>
      </c>
      <c r="L14" s="78">
        <f>SUBTOTAL(109,dmvnongeneralfund[Less: Mandated Program Payments, Offsets, and Interest
(see Schedule A1)])</f>
        <v>2039903</v>
      </c>
      <c r="M14" s="384" t="s">
        <v>550</v>
      </c>
      <c r="N14" s="385">
        <f>SUBTOTAL(109,dmvnongeneralfund[Less: Appropriations for Reversion])</f>
        <v>406647</v>
      </c>
      <c r="O14" s="92">
        <f>SUBTOTAL(109,dmvnongeneralfund[Appropriation Balances
as of 8/31/2020])</f>
        <v>1078340</v>
      </c>
    </row>
    <row r="15" spans="1:17" x14ac:dyDescent="0.2">
      <c r="A15" s="99" t="s">
        <v>508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7" ht="75" customHeight="1" x14ac:dyDescent="0.25">
      <c r="A16" s="82" t="s">
        <v>497</v>
      </c>
      <c r="B16" s="45" t="s">
        <v>0</v>
      </c>
      <c r="C16" s="46" t="s">
        <v>1</v>
      </c>
      <c r="D16" s="46" t="s">
        <v>2</v>
      </c>
      <c r="E16" s="46" t="s">
        <v>3</v>
      </c>
      <c r="F16" s="47" t="s">
        <v>4</v>
      </c>
      <c r="G16" s="48" t="s">
        <v>569</v>
      </c>
      <c r="H16" s="157" t="s">
        <v>544</v>
      </c>
      <c r="I16" s="48" t="s">
        <v>494</v>
      </c>
      <c r="J16" s="157" t="s">
        <v>568</v>
      </c>
      <c r="K16" s="49" t="s">
        <v>5</v>
      </c>
      <c r="L16" s="49" t="s">
        <v>501</v>
      </c>
      <c r="M16" s="158" t="s">
        <v>567</v>
      </c>
      <c r="N16" s="50" t="s">
        <v>495</v>
      </c>
      <c r="O16" s="47" t="s">
        <v>164</v>
      </c>
    </row>
    <row r="17" spans="1:15" s="20" customFormat="1" ht="15" customHeight="1" x14ac:dyDescent="0.25">
      <c r="A17" s="3" t="s">
        <v>504</v>
      </c>
      <c r="B17" s="27" t="s">
        <v>161</v>
      </c>
      <c r="C17" s="11" t="s">
        <v>182</v>
      </c>
      <c r="D17" s="6" t="s">
        <v>165</v>
      </c>
      <c r="E17" s="13">
        <v>45107</v>
      </c>
      <c r="F17" s="28">
        <v>46000</v>
      </c>
      <c r="G17" s="28">
        <v>46000</v>
      </c>
      <c r="H17" s="366"/>
      <c r="I17" s="101">
        <v>0</v>
      </c>
      <c r="J17" s="109" t="s">
        <v>500</v>
      </c>
      <c r="K17" s="101">
        <v>0</v>
      </c>
      <c r="L17" s="28">
        <v>46000</v>
      </c>
      <c r="M17" s="107" t="s">
        <v>500</v>
      </c>
      <c r="N17" s="100">
        <v>0</v>
      </c>
      <c r="O17" s="100">
        <f>G17+I17+K17-L17-N17</f>
        <v>0</v>
      </c>
    </row>
    <row r="18" spans="1:15" s="20" customFormat="1" ht="15.75" x14ac:dyDescent="0.25">
      <c r="A18" s="3" t="s">
        <v>504</v>
      </c>
      <c r="B18" s="27" t="s">
        <v>20</v>
      </c>
      <c r="C18" s="11" t="s">
        <v>8</v>
      </c>
      <c r="D18" s="97" t="s">
        <v>500</v>
      </c>
      <c r="E18" s="29">
        <v>44742</v>
      </c>
      <c r="F18" s="28">
        <v>65000</v>
      </c>
      <c r="G18" s="28">
        <v>21949</v>
      </c>
      <c r="H18" s="366"/>
      <c r="I18" s="101">
        <v>0</v>
      </c>
      <c r="J18" s="109" t="s">
        <v>500</v>
      </c>
      <c r="K18" s="101">
        <v>0</v>
      </c>
      <c r="L18" s="101">
        <v>0</v>
      </c>
      <c r="M18" s="107" t="s">
        <v>500</v>
      </c>
      <c r="N18" s="100">
        <v>0</v>
      </c>
      <c r="O18" s="81">
        <f>G18+I18+K18-L18-N18</f>
        <v>21949</v>
      </c>
    </row>
    <row r="19" spans="1:15" s="20" customFormat="1" ht="15" customHeight="1" x14ac:dyDescent="0.25">
      <c r="A19" s="3" t="s">
        <v>504</v>
      </c>
      <c r="B19" s="21" t="s">
        <v>21</v>
      </c>
      <c r="C19" s="11" t="s">
        <v>11</v>
      </c>
      <c r="D19" s="97" t="s">
        <v>500</v>
      </c>
      <c r="E19" s="23">
        <v>44377</v>
      </c>
      <c r="F19" s="28">
        <v>65000</v>
      </c>
      <c r="G19" s="28">
        <v>4293</v>
      </c>
      <c r="H19" s="366"/>
      <c r="I19" s="101">
        <v>0</v>
      </c>
      <c r="J19" s="109" t="s">
        <v>500</v>
      </c>
      <c r="K19" s="101">
        <v>0</v>
      </c>
      <c r="L19" s="101">
        <v>0</v>
      </c>
      <c r="M19" s="107" t="s">
        <v>500</v>
      </c>
      <c r="N19" s="100">
        <v>0</v>
      </c>
      <c r="O19" s="81">
        <f>G19+I19+K19-L19-N19</f>
        <v>4293</v>
      </c>
    </row>
    <row r="20" spans="1:15" ht="15" customHeight="1" x14ac:dyDescent="0.2">
      <c r="A20" s="3" t="s">
        <v>504</v>
      </c>
      <c r="B20" s="85" t="s">
        <v>22</v>
      </c>
      <c r="C20" s="69" t="s">
        <v>13</v>
      </c>
      <c r="D20" s="102" t="s">
        <v>500</v>
      </c>
      <c r="E20" s="86">
        <v>44012</v>
      </c>
      <c r="F20" s="87">
        <v>50000</v>
      </c>
      <c r="G20" s="103">
        <v>0</v>
      </c>
      <c r="H20" s="103"/>
      <c r="I20" s="103">
        <v>0</v>
      </c>
      <c r="J20" s="110" t="s">
        <v>500</v>
      </c>
      <c r="K20" s="103">
        <v>0</v>
      </c>
      <c r="L20" s="103">
        <v>0</v>
      </c>
      <c r="M20" s="108" t="s">
        <v>500</v>
      </c>
      <c r="N20" s="103">
        <v>0</v>
      </c>
      <c r="O20" s="103">
        <f>G20+I20+K20-L20-N20</f>
        <v>0</v>
      </c>
    </row>
    <row r="21" spans="1:15" s="20" customFormat="1" ht="17.100000000000001" customHeight="1" x14ac:dyDescent="0.25">
      <c r="A21" s="80" t="s">
        <v>505</v>
      </c>
      <c r="B21" s="370" t="s">
        <v>500</v>
      </c>
      <c r="C21" s="370" t="s">
        <v>500</v>
      </c>
      <c r="D21" s="370" t="s">
        <v>500</v>
      </c>
      <c r="E21" s="370" t="s">
        <v>500</v>
      </c>
      <c r="F21" s="76">
        <f>SUBTOTAL(109,pestnongeneralfund[Original
Appropriation
Amount])</f>
        <v>226000</v>
      </c>
      <c r="G21" s="76">
        <f>SUBTOTAL(109,pestnongeneralfund[[Appropriation Balances 1 ]])</f>
        <v>72242</v>
      </c>
      <c r="H21" s="370" t="s">
        <v>500</v>
      </c>
      <c r="I21" s="105">
        <f>SUBTOTAL(109,pestnongeneralfund[Budget Adjustments])</f>
        <v>0</v>
      </c>
      <c r="J21" s="370" t="s">
        <v>500</v>
      </c>
      <c r="K21" s="105">
        <f>SUBTOTAL(109,pestnongeneralfund[Add: Receipts
and Recovered Amounts])</f>
        <v>0</v>
      </c>
      <c r="L21" s="105">
        <f>SUBTOTAL(109,pestnongeneralfund[Less: Mandated Program Payments, Offsets, and Interest
(see Schedule A1)])</f>
        <v>46000</v>
      </c>
      <c r="M21" s="370" t="s">
        <v>500</v>
      </c>
      <c r="N21" s="106">
        <f>SUBTOTAL(109,pestnongeneralfund[Less: Appropriations for Reversion])</f>
        <v>0</v>
      </c>
      <c r="O21" s="187">
        <f>SUBTOTAL(109,pestnongeneralfund[Appropriation Balances
as of 8/31/2020])</f>
        <v>26242</v>
      </c>
    </row>
    <row r="22" spans="1:15" s="20" customFormat="1" ht="15.75" x14ac:dyDescent="0.25">
      <c r="A22" s="57" t="s">
        <v>508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</row>
    <row r="23" spans="1:15" ht="75" customHeight="1" x14ac:dyDescent="0.25">
      <c r="A23" s="82" t="s">
        <v>497</v>
      </c>
      <c r="B23" s="45" t="s">
        <v>0</v>
      </c>
      <c r="C23" s="46" t="s">
        <v>1</v>
      </c>
      <c r="D23" s="46" t="s">
        <v>2</v>
      </c>
      <c r="E23" s="46" t="s">
        <v>3</v>
      </c>
      <c r="F23" s="47" t="s">
        <v>4</v>
      </c>
      <c r="G23" s="48" t="s">
        <v>569</v>
      </c>
      <c r="H23" s="157" t="s">
        <v>544</v>
      </c>
      <c r="I23" s="48" t="s">
        <v>494</v>
      </c>
      <c r="J23" s="157" t="s">
        <v>568</v>
      </c>
      <c r="K23" s="49" t="s">
        <v>5</v>
      </c>
      <c r="L23" s="49" t="s">
        <v>501</v>
      </c>
      <c r="M23" s="158" t="s">
        <v>567</v>
      </c>
      <c r="N23" s="50" t="s">
        <v>495</v>
      </c>
      <c r="O23" s="47" t="s">
        <v>164</v>
      </c>
    </row>
    <row r="24" spans="1:15" ht="15.6" customHeight="1" x14ac:dyDescent="0.2">
      <c r="A24" s="3" t="s">
        <v>506</v>
      </c>
      <c r="B24" s="30" t="s">
        <v>162</v>
      </c>
      <c r="C24" s="11" t="s">
        <v>182</v>
      </c>
      <c r="D24" s="31" t="s">
        <v>165</v>
      </c>
      <c r="E24" s="13">
        <v>45107</v>
      </c>
      <c r="F24" s="32">
        <v>48000</v>
      </c>
      <c r="G24" s="33">
        <v>48000</v>
      </c>
      <c r="H24" s="129" t="s">
        <v>500</v>
      </c>
      <c r="I24" s="125">
        <v>0</v>
      </c>
      <c r="J24" s="116" t="s">
        <v>500</v>
      </c>
      <c r="K24" s="122">
        <v>0</v>
      </c>
      <c r="L24" s="34">
        <v>31000</v>
      </c>
      <c r="M24" s="114" t="s">
        <v>500</v>
      </c>
      <c r="N24" s="120">
        <v>0</v>
      </c>
      <c r="O24" s="81">
        <f>G24+I24+K24-L24-N24</f>
        <v>17000</v>
      </c>
    </row>
    <row r="25" spans="1:15" s="20" customFormat="1" ht="15.6" customHeight="1" x14ac:dyDescent="0.25">
      <c r="A25" s="3" t="s">
        <v>506</v>
      </c>
      <c r="B25" s="30" t="s">
        <v>25</v>
      </c>
      <c r="C25" s="11" t="s">
        <v>8</v>
      </c>
      <c r="D25" s="128" t="s">
        <v>500</v>
      </c>
      <c r="E25" s="35">
        <v>44742</v>
      </c>
      <c r="F25" s="32">
        <v>49000</v>
      </c>
      <c r="G25" s="33">
        <v>16000</v>
      </c>
      <c r="H25" s="129" t="s">
        <v>500</v>
      </c>
      <c r="I25" s="125">
        <v>0</v>
      </c>
      <c r="J25" s="116" t="s">
        <v>500</v>
      </c>
      <c r="K25" s="34">
        <v>1000</v>
      </c>
      <c r="L25" s="122">
        <v>0</v>
      </c>
      <c r="M25" s="114" t="s">
        <v>500</v>
      </c>
      <c r="N25" s="120">
        <v>0</v>
      </c>
      <c r="O25" s="81">
        <f>G25+I25+K25-L25-N25</f>
        <v>17000</v>
      </c>
    </row>
    <row r="26" spans="1:15" ht="15.6" customHeight="1" x14ac:dyDescent="0.2">
      <c r="A26" s="3" t="s">
        <v>506</v>
      </c>
      <c r="B26" s="4" t="s">
        <v>26</v>
      </c>
      <c r="C26" s="11" t="s">
        <v>11</v>
      </c>
      <c r="D26" s="129" t="s">
        <v>500</v>
      </c>
      <c r="E26" s="23">
        <v>44377</v>
      </c>
      <c r="F26" s="28">
        <v>48000</v>
      </c>
      <c r="G26" s="36">
        <v>15000</v>
      </c>
      <c r="H26" s="129" t="s">
        <v>500</v>
      </c>
      <c r="I26" s="125">
        <v>0</v>
      </c>
      <c r="J26" s="117" t="s">
        <v>500</v>
      </c>
      <c r="K26" s="123">
        <v>0</v>
      </c>
      <c r="L26" s="123">
        <v>0</v>
      </c>
      <c r="M26" s="115" t="s">
        <v>500</v>
      </c>
      <c r="N26" s="121">
        <v>0</v>
      </c>
      <c r="O26" s="81">
        <f>G26+I26+K26-L26-N26</f>
        <v>15000</v>
      </c>
    </row>
    <row r="27" spans="1:15" ht="15.6" customHeight="1" x14ac:dyDescent="0.2">
      <c r="A27" s="3" t="s">
        <v>506</v>
      </c>
      <c r="B27" s="111" t="s">
        <v>27</v>
      </c>
      <c r="C27" s="69" t="s">
        <v>13</v>
      </c>
      <c r="D27" s="98" t="s">
        <v>500</v>
      </c>
      <c r="E27" s="86">
        <v>44012</v>
      </c>
      <c r="F27" s="87">
        <v>49000</v>
      </c>
      <c r="G27" s="112">
        <v>13917</v>
      </c>
      <c r="H27" s="377" t="s">
        <v>500</v>
      </c>
      <c r="I27" s="126">
        <v>0</v>
      </c>
      <c r="J27" s="118" t="s">
        <v>500</v>
      </c>
      <c r="K27" s="124">
        <v>0</v>
      </c>
      <c r="L27" s="124">
        <v>0</v>
      </c>
      <c r="M27" s="110" t="s">
        <v>500</v>
      </c>
      <c r="N27" s="87">
        <v>13917</v>
      </c>
      <c r="O27" s="119">
        <f>G27+I27+K27-L27-N27</f>
        <v>0</v>
      </c>
    </row>
    <row r="28" spans="1:15" s="20" customFormat="1" ht="15.6" customHeight="1" x14ac:dyDescent="0.25">
      <c r="A28" s="80" t="s">
        <v>507</v>
      </c>
      <c r="B28" s="378" t="s">
        <v>500</v>
      </c>
      <c r="C28" s="378" t="s">
        <v>500</v>
      </c>
      <c r="D28" s="378" t="s">
        <v>500</v>
      </c>
      <c r="E28" s="378" t="s">
        <v>500</v>
      </c>
      <c r="F28" s="78">
        <f>SUBTOTAL(109,sdgeneralfund[Original
Appropriation
Amount])</f>
        <v>194000</v>
      </c>
      <c r="G28" s="78">
        <f>SUBTOTAL(109,sdgeneralfund[[Appropriation Balances 1 ]])</f>
        <v>92917</v>
      </c>
      <c r="H28" s="378" t="s">
        <v>500</v>
      </c>
      <c r="I28" s="127">
        <f>SUBTOTAL(109,sdgeneralfund[Budget Adjustments])</f>
        <v>0</v>
      </c>
      <c r="J28" s="378" t="s">
        <v>500</v>
      </c>
      <c r="K28" s="138">
        <f>SUBTOTAL(109,sdgeneralfund[Add: Receipts
and Recovered Amounts])</f>
        <v>1000</v>
      </c>
      <c r="L28" s="138">
        <f>SUBTOTAL(109,sdgeneralfund[Less: Mandated Program Payments, Offsets, and Interest
(see Schedule A1)])</f>
        <v>31000</v>
      </c>
      <c r="M28" s="378" t="s">
        <v>500</v>
      </c>
      <c r="N28" s="78">
        <f>SUBTOTAL(109,sdgeneralfund[Less: Appropriations for Reversion])</f>
        <v>13917</v>
      </c>
      <c r="O28" s="92">
        <f>SUBTOTAL(109,sdgeneralfund[Appropriation Balances
as of 8/31/2020])</f>
        <v>49000</v>
      </c>
    </row>
    <row r="29" spans="1:15" s="20" customFormat="1" ht="15.75" x14ac:dyDescent="0.25">
      <c r="A29" s="57" t="s">
        <v>508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</row>
    <row r="30" spans="1:15" s="20" customFormat="1" ht="75" customHeight="1" x14ac:dyDescent="0.25">
      <c r="A30" s="82" t="s">
        <v>497</v>
      </c>
      <c r="B30" s="45" t="s">
        <v>0</v>
      </c>
      <c r="C30" s="46" t="s">
        <v>1</v>
      </c>
      <c r="D30" s="46" t="s">
        <v>2</v>
      </c>
      <c r="E30" s="46" t="s">
        <v>3</v>
      </c>
      <c r="F30" s="47" t="s">
        <v>4</v>
      </c>
      <c r="G30" s="48" t="s">
        <v>569</v>
      </c>
      <c r="H30" s="157" t="s">
        <v>544</v>
      </c>
      <c r="I30" s="48" t="s">
        <v>494</v>
      </c>
      <c r="J30" s="157" t="s">
        <v>568</v>
      </c>
      <c r="K30" s="49" t="s">
        <v>5</v>
      </c>
      <c r="L30" s="49" t="s">
        <v>501</v>
      </c>
      <c r="M30" s="158" t="s">
        <v>567</v>
      </c>
      <c r="N30" s="50" t="s">
        <v>495</v>
      </c>
      <c r="O30" s="47" t="s">
        <v>164</v>
      </c>
    </row>
    <row r="31" spans="1:15" ht="15" customHeight="1" x14ac:dyDescent="0.2">
      <c r="A31" s="3" t="s">
        <v>509</v>
      </c>
      <c r="B31" s="37" t="s">
        <v>163</v>
      </c>
      <c r="C31" s="11" t="s">
        <v>182</v>
      </c>
      <c r="D31" s="133" t="s">
        <v>500</v>
      </c>
      <c r="E31" s="13">
        <v>45107</v>
      </c>
      <c r="F31" s="32">
        <v>13000</v>
      </c>
      <c r="G31" s="38">
        <v>13000</v>
      </c>
      <c r="H31" s="133" t="s">
        <v>500</v>
      </c>
      <c r="I31" s="136">
        <v>0</v>
      </c>
      <c r="J31" s="135" t="s">
        <v>500</v>
      </c>
      <c r="K31" s="137">
        <v>0</v>
      </c>
      <c r="L31" s="137">
        <v>0</v>
      </c>
      <c r="M31" s="135" t="s">
        <v>500</v>
      </c>
      <c r="N31" s="137">
        <v>0</v>
      </c>
      <c r="O31" s="130">
        <f>G31+K31-L31-N31</f>
        <v>13000</v>
      </c>
    </row>
    <row r="32" spans="1:15" ht="15" customHeight="1" x14ac:dyDescent="0.2">
      <c r="A32" s="3" t="s">
        <v>509</v>
      </c>
      <c r="B32" s="37" t="s">
        <v>29</v>
      </c>
      <c r="C32" s="11" t="s">
        <v>30</v>
      </c>
      <c r="D32" s="133" t="s">
        <v>500</v>
      </c>
      <c r="E32" s="39">
        <v>44742</v>
      </c>
      <c r="F32" s="32">
        <v>13000</v>
      </c>
      <c r="G32" s="38">
        <v>13000</v>
      </c>
      <c r="H32" s="133" t="s">
        <v>500</v>
      </c>
      <c r="I32" s="136">
        <v>0</v>
      </c>
      <c r="J32" s="135" t="s">
        <v>500</v>
      </c>
      <c r="K32" s="137">
        <v>0</v>
      </c>
      <c r="L32" s="137">
        <v>0</v>
      </c>
      <c r="M32" s="135" t="s">
        <v>500</v>
      </c>
      <c r="N32" s="137">
        <v>0</v>
      </c>
      <c r="O32" s="130">
        <f>G32+K32-L32-N32</f>
        <v>13000</v>
      </c>
    </row>
    <row r="33" spans="1:15" ht="15.6" customHeight="1" x14ac:dyDescent="0.2">
      <c r="A33" s="3" t="s">
        <v>509</v>
      </c>
      <c r="B33" s="4" t="s">
        <v>31</v>
      </c>
      <c r="C33" s="11" t="s">
        <v>11</v>
      </c>
      <c r="D33" s="134" t="s">
        <v>500</v>
      </c>
      <c r="E33" s="23">
        <v>44377</v>
      </c>
      <c r="F33" s="28">
        <v>13000</v>
      </c>
      <c r="G33" s="26">
        <v>13000</v>
      </c>
      <c r="H33" s="133" t="s">
        <v>500</v>
      </c>
      <c r="I33" s="136">
        <v>0</v>
      </c>
      <c r="J33" s="135" t="s">
        <v>500</v>
      </c>
      <c r="K33" s="123">
        <v>0</v>
      </c>
      <c r="L33" s="123">
        <v>0</v>
      </c>
      <c r="M33" s="135" t="s">
        <v>500</v>
      </c>
      <c r="N33" s="123">
        <v>0</v>
      </c>
      <c r="O33" s="130">
        <f>G33+K33-L33-N33</f>
        <v>13000</v>
      </c>
    </row>
    <row r="34" spans="1:15" ht="15" customHeight="1" x14ac:dyDescent="0.2">
      <c r="A34" s="3" t="s">
        <v>509</v>
      </c>
      <c r="B34" s="111" t="s">
        <v>32</v>
      </c>
      <c r="C34" s="69" t="s">
        <v>13</v>
      </c>
      <c r="D34" s="98" t="s">
        <v>500</v>
      </c>
      <c r="E34" s="86">
        <v>44012</v>
      </c>
      <c r="F34" s="87">
        <v>13000</v>
      </c>
      <c r="G34" s="87">
        <v>13000</v>
      </c>
      <c r="H34" s="379" t="s">
        <v>668</v>
      </c>
      <c r="I34" s="131">
        <v>-13000</v>
      </c>
      <c r="J34" s="387">
        <v>4</v>
      </c>
      <c r="K34" s="124">
        <v>0</v>
      </c>
      <c r="L34" s="124">
        <v>0</v>
      </c>
      <c r="M34" s="375" t="s">
        <v>500</v>
      </c>
      <c r="N34" s="124">
        <v>0</v>
      </c>
      <c r="O34" s="160">
        <v>0</v>
      </c>
    </row>
    <row r="35" spans="1:15" s="20" customFormat="1" ht="15" customHeight="1" x14ac:dyDescent="0.25">
      <c r="A35" s="80" t="s">
        <v>510</v>
      </c>
      <c r="B35" s="380" t="s">
        <v>500</v>
      </c>
      <c r="C35" s="380" t="s">
        <v>500</v>
      </c>
      <c r="D35" s="380" t="s">
        <v>500</v>
      </c>
      <c r="E35" s="380" t="s">
        <v>500</v>
      </c>
      <c r="F35" s="78">
        <f>SUBTOTAL(109,ccdgeneralfund[Original
Appropriation
Amount])</f>
        <v>52000</v>
      </c>
      <c r="G35" s="78">
        <f>SUBTOTAL(109,ccdgeneralfund[[Appropriation Balances 1 ]])</f>
        <v>52000</v>
      </c>
      <c r="H35" s="380" t="s">
        <v>500</v>
      </c>
      <c r="I35" s="386">
        <f>SUBTOTAL(109,ccdgeneralfund[Budget Adjustments])</f>
        <v>-13000</v>
      </c>
      <c r="J35" s="381" t="s">
        <v>550</v>
      </c>
      <c r="K35" s="77">
        <f>SUBTOTAL(109,ccdgeneralfund[Add: Receipts
and Recovered Amounts])</f>
        <v>0</v>
      </c>
      <c r="L35" s="77">
        <f>SUBTOTAL(109,ccdgeneralfund[Less: Mandated Program Payments, Offsets, and Interest
(see Schedule A1)])</f>
        <v>0</v>
      </c>
      <c r="M35" s="381" t="s">
        <v>550</v>
      </c>
      <c r="N35" s="77">
        <f>SUBTOTAL(109,ccdgeneralfund[Less: Appropriations for Reversion])</f>
        <v>0</v>
      </c>
      <c r="O35" s="113">
        <f>SUBTOTAL(109,ccdgeneralfund[Appropriation Balances
as of 8/31/2020])</f>
        <v>39000</v>
      </c>
    </row>
    <row r="36" spans="1:15" x14ac:dyDescent="0.2">
      <c r="A36" s="57" t="s">
        <v>508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</row>
    <row r="37" spans="1:15" ht="75" customHeight="1" x14ac:dyDescent="0.25">
      <c r="A37" s="44" t="s">
        <v>497</v>
      </c>
      <c r="B37" s="45" t="s">
        <v>0</v>
      </c>
      <c r="C37" s="46" t="s">
        <v>1</v>
      </c>
      <c r="D37" s="46" t="s">
        <v>2</v>
      </c>
      <c r="E37" s="46" t="s">
        <v>3</v>
      </c>
      <c r="F37" s="47" t="s">
        <v>4</v>
      </c>
      <c r="G37" s="48" t="s">
        <v>569</v>
      </c>
      <c r="H37" s="157" t="s">
        <v>544</v>
      </c>
      <c r="I37" s="48" t="s">
        <v>494</v>
      </c>
      <c r="J37" s="157" t="s">
        <v>568</v>
      </c>
      <c r="K37" s="49" t="s">
        <v>5</v>
      </c>
      <c r="L37" s="49" t="s">
        <v>501</v>
      </c>
      <c r="M37" s="158" t="s">
        <v>567</v>
      </c>
      <c r="N37" s="50" t="s">
        <v>495</v>
      </c>
      <c r="O37" s="51" t="s">
        <v>164</v>
      </c>
    </row>
    <row r="38" spans="1:15" x14ac:dyDescent="0.2">
      <c r="A38" s="150" t="s">
        <v>498</v>
      </c>
      <c r="B38" s="57" t="s">
        <v>500</v>
      </c>
      <c r="C38" s="57" t="s">
        <v>500</v>
      </c>
      <c r="D38" s="57" t="s">
        <v>500</v>
      </c>
      <c r="E38" s="57" t="s">
        <v>500</v>
      </c>
      <c r="F38" s="145">
        <v>442992000</v>
      </c>
      <c r="G38" s="145">
        <v>60125659</v>
      </c>
      <c r="H38" s="57" t="s">
        <v>500</v>
      </c>
      <c r="I38" s="152">
        <v>0</v>
      </c>
      <c r="J38" s="139" t="s">
        <v>500</v>
      </c>
      <c r="K38" s="145">
        <v>225941</v>
      </c>
      <c r="L38" s="145">
        <v>43111591</v>
      </c>
      <c r="M38" s="155" t="s">
        <v>500</v>
      </c>
      <c r="N38" s="147">
        <v>10459</v>
      </c>
      <c r="O38" s="148">
        <v>17229550</v>
      </c>
    </row>
    <row r="39" spans="1:15" x14ac:dyDescent="0.2">
      <c r="A39" s="132" t="s">
        <v>502</v>
      </c>
      <c r="B39" s="57" t="s">
        <v>500</v>
      </c>
      <c r="C39" s="57" t="s">
        <v>500</v>
      </c>
      <c r="D39" s="57" t="s">
        <v>500</v>
      </c>
      <c r="E39" s="57" t="s">
        <v>500</v>
      </c>
      <c r="F39" s="140">
        <v>8698000</v>
      </c>
      <c r="G39" s="140">
        <v>3465750</v>
      </c>
      <c r="H39" s="57" t="s">
        <v>500</v>
      </c>
      <c r="I39" s="141">
        <v>0</v>
      </c>
      <c r="J39" s="142" t="s">
        <v>500</v>
      </c>
      <c r="K39" s="143">
        <v>59140</v>
      </c>
      <c r="L39" s="143">
        <v>2039903</v>
      </c>
      <c r="M39" s="156" t="s">
        <v>500</v>
      </c>
      <c r="N39" s="144">
        <v>406647</v>
      </c>
      <c r="O39" s="149">
        <v>1078340</v>
      </c>
    </row>
    <row r="40" spans="1:15" x14ac:dyDescent="0.2">
      <c r="A40" s="132" t="s">
        <v>504</v>
      </c>
      <c r="B40" s="57" t="s">
        <v>500</v>
      </c>
      <c r="C40" s="57" t="s">
        <v>500</v>
      </c>
      <c r="D40" s="57" t="s">
        <v>500</v>
      </c>
      <c r="E40" s="57" t="s">
        <v>500</v>
      </c>
      <c r="F40" s="146">
        <v>226000</v>
      </c>
      <c r="G40" s="146">
        <v>72242</v>
      </c>
      <c r="H40" s="57" t="s">
        <v>500</v>
      </c>
      <c r="I40" s="152">
        <v>0</v>
      </c>
      <c r="J40" s="57" t="s">
        <v>500</v>
      </c>
      <c r="K40" s="141">
        <v>0</v>
      </c>
      <c r="L40" s="146">
        <v>46000</v>
      </c>
      <c r="M40" s="57" t="s">
        <v>500</v>
      </c>
      <c r="N40" s="141">
        <v>0</v>
      </c>
      <c r="O40" s="146">
        <v>26242</v>
      </c>
    </row>
    <row r="41" spans="1:15" x14ac:dyDescent="0.2">
      <c r="A41" s="151" t="s">
        <v>506</v>
      </c>
      <c r="B41" s="57" t="s">
        <v>500</v>
      </c>
      <c r="C41" s="57" t="s">
        <v>500</v>
      </c>
      <c r="D41" s="57" t="s">
        <v>500</v>
      </c>
      <c r="E41" s="57" t="s">
        <v>500</v>
      </c>
      <c r="F41" s="146">
        <v>194000</v>
      </c>
      <c r="G41" s="146">
        <v>92917</v>
      </c>
      <c r="H41" s="57" t="s">
        <v>500</v>
      </c>
      <c r="I41" s="141">
        <v>0</v>
      </c>
      <c r="J41" s="57" t="s">
        <v>500</v>
      </c>
      <c r="K41" s="146">
        <v>1000</v>
      </c>
      <c r="L41" s="146">
        <v>31000</v>
      </c>
      <c r="M41" s="57" t="s">
        <v>500</v>
      </c>
      <c r="N41" s="146">
        <v>13917</v>
      </c>
      <c r="O41" s="146">
        <v>49000</v>
      </c>
    </row>
    <row r="42" spans="1:15" x14ac:dyDescent="0.2">
      <c r="A42" s="151" t="s">
        <v>509</v>
      </c>
      <c r="B42" s="57" t="s">
        <v>500</v>
      </c>
      <c r="C42" s="57" t="s">
        <v>500</v>
      </c>
      <c r="D42" s="57" t="s">
        <v>500</v>
      </c>
      <c r="E42" s="57" t="s">
        <v>500</v>
      </c>
      <c r="F42" s="146">
        <v>52000</v>
      </c>
      <c r="G42" s="146">
        <v>52000</v>
      </c>
      <c r="H42" s="57" t="s">
        <v>500</v>
      </c>
      <c r="I42" s="146">
        <v>-13000</v>
      </c>
      <c r="J42" s="57" t="s">
        <v>500</v>
      </c>
      <c r="K42" s="141">
        <v>0</v>
      </c>
      <c r="L42" s="141">
        <v>0</v>
      </c>
      <c r="M42" s="57" t="s">
        <v>500</v>
      </c>
      <c r="N42" s="141">
        <v>0</v>
      </c>
      <c r="O42" s="146">
        <v>39000</v>
      </c>
    </row>
    <row r="43" spans="1:15" s="20" customFormat="1" ht="15.75" x14ac:dyDescent="0.25">
      <c r="A43" s="80" t="s">
        <v>511</v>
      </c>
      <c r="B43" s="312" t="s">
        <v>500</v>
      </c>
      <c r="C43" s="312" t="s">
        <v>500</v>
      </c>
      <c r="D43" s="312" t="s">
        <v>500</v>
      </c>
      <c r="E43" s="312" t="s">
        <v>500</v>
      </c>
      <c r="F43" s="78">
        <f>SUBTOTAL(109,grandtotala[Original
Appropriation
Amount])</f>
        <v>452162000</v>
      </c>
      <c r="G43" s="78">
        <f>SUBTOTAL(109,grandtotala[[Appropriation Balances 1 ]])</f>
        <v>63808568</v>
      </c>
      <c r="H43" s="312" t="s">
        <v>500</v>
      </c>
      <c r="I43" s="78">
        <f>SUBTOTAL(109,grandtotala[Budget Adjustments])</f>
        <v>-13000</v>
      </c>
      <c r="J43" s="312" t="s">
        <v>500</v>
      </c>
      <c r="K43" s="78">
        <f>SUBTOTAL(109,grandtotala[Add: Receipts
and Recovered Amounts])</f>
        <v>286081</v>
      </c>
      <c r="L43" s="78">
        <f>SUBTOTAL(109,grandtotala[Less: Mandated Program Payments, Offsets, and Interest
(see Schedule A1)])</f>
        <v>45228494</v>
      </c>
      <c r="M43" s="312" t="s">
        <v>500</v>
      </c>
      <c r="N43" s="179">
        <f>SUBTOTAL(109,grandtotala[Less: Appropriations for Reversion])</f>
        <v>431023</v>
      </c>
      <c r="O43" s="78">
        <f>SUBTOTAL(109,grandtotala[Appropriation Balances
as of 8/31/2020])</f>
        <v>18422132</v>
      </c>
    </row>
    <row r="44" spans="1:15" x14ac:dyDescent="0.2">
      <c r="A44" s="314" t="s">
        <v>570</v>
      </c>
    </row>
    <row r="45" spans="1:15" ht="18" x14ac:dyDescent="0.2">
      <c r="A45" s="272" t="s">
        <v>524</v>
      </c>
    </row>
    <row r="46" spans="1:15" ht="18" x14ac:dyDescent="0.2">
      <c r="A46" s="272" t="s">
        <v>525</v>
      </c>
    </row>
    <row r="47" spans="1:15" ht="18" x14ac:dyDescent="0.2">
      <c r="A47" s="272" t="s">
        <v>526</v>
      </c>
    </row>
    <row r="48" spans="1:15" ht="18" x14ac:dyDescent="0.2">
      <c r="A48" s="272" t="s">
        <v>527</v>
      </c>
    </row>
  </sheetData>
  <hyperlinks>
    <hyperlink ref="J34" location="'Schedule A-Summary'!A48" tooltip="This hyperlink will take you to the referenced footnote-footnote 4" display="'Schedule A-Summary'!A48"/>
    <hyperlink ref="G2" location="'Schedule A-Summary'!A44" tooltip="This hyperlink will take you to the referenced footnote-footnote 1" display="Appropriation Balances 1"/>
    <hyperlink ref="J5" location="'Schedule A-Summary'!A47" tooltip="This hyperlink will take you to the referenced footnote-footnote 3" display="'Schedule A-Summary'!A47"/>
    <hyperlink ref="M5" location="'Schedule A-Summary'!A46" tooltip="This hyperlink will take you to the referenced footnote-footnote 2" display="'Schedule A-Summary'!A46"/>
    <hyperlink ref="M6" location="'Schedule A-Summary'!A46" tooltip="This hyperlink will take you to the referenced footnote-footnote 2" display="'Schedule A-Summary'!A46"/>
  </hyperlinks>
  <printOptions horizontalCentered="1" gridLines="1"/>
  <pageMargins left="0.25" right="0.25" top="1" bottom="0.75" header="0.3" footer="0.3"/>
  <pageSetup scale="48" fitToHeight="0" orientation="landscape" r:id="rId1"/>
  <headerFooter>
    <oddHeader>&amp;C&amp;"-,Bold"&amp;13State Controller's Office
Schedule A: Summary of State-Mandated Program Appropriations, Receipts, and Payments 
As of August 31, 2020</oddHeader>
    <oddFooter>&amp;L&amp;12Schedule A: Summary of State-Mandated Program Appropriations, Receipts, and Payments&amp;R&amp;12Page &amp;P of &amp;N</oddFooter>
  </headerFooter>
  <rowBreaks count="1" manualBreakCount="1">
    <brk id="36" max="14" man="1"/>
  </rowBreaks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6"/>
  <sheetViews>
    <sheetView zoomScaleNormal="100" zoomScaleSheetLayoutView="40" workbookViewId="0"/>
  </sheetViews>
  <sheetFormatPr defaultColWidth="8.7109375" defaultRowHeight="15" x14ac:dyDescent="0.2"/>
  <cols>
    <col min="1" max="1" width="35.5703125" style="3" customWidth="1"/>
    <col min="2" max="2" width="11.7109375" style="40" customWidth="1"/>
    <col min="3" max="3" width="26.85546875" style="40" customWidth="1"/>
    <col min="4" max="4" width="90" style="3" customWidth="1"/>
    <col min="5" max="5" width="15.28515625" style="3" customWidth="1"/>
    <col min="6" max="6" width="15.140625" style="40" customWidth="1"/>
    <col min="7" max="7" width="15.140625" style="167" customWidth="1"/>
    <col min="8" max="8" width="15.140625" style="3" customWidth="1"/>
    <col min="9" max="9" width="15.140625" style="169" customWidth="1"/>
    <col min="10" max="10" width="8.7109375" style="3"/>
    <col min="11" max="11" width="11.5703125" style="3" bestFit="1" customWidth="1"/>
    <col min="12" max="12" width="10.85546875" style="3" bestFit="1" customWidth="1"/>
    <col min="13" max="16384" width="8.7109375" style="3"/>
  </cols>
  <sheetData>
    <row r="1" spans="1:10" s="201" customFormat="1" ht="54" customHeight="1" x14ac:dyDescent="0.25">
      <c r="A1" s="198" t="s">
        <v>517</v>
      </c>
      <c r="B1" s="199"/>
      <c r="C1" s="199"/>
      <c r="D1" s="199"/>
      <c r="E1" s="199"/>
      <c r="F1" s="199"/>
      <c r="G1" s="199"/>
      <c r="H1" s="199"/>
      <c r="I1" s="199"/>
    </row>
    <row r="2" spans="1:10" ht="48" customHeight="1" x14ac:dyDescent="0.25">
      <c r="A2" s="176" t="s">
        <v>512</v>
      </c>
      <c r="B2" s="176" t="s">
        <v>35</v>
      </c>
      <c r="C2" s="176" t="s">
        <v>513</v>
      </c>
      <c r="D2" s="176" t="s">
        <v>36</v>
      </c>
      <c r="E2" s="176" t="s">
        <v>514</v>
      </c>
      <c r="F2" s="176" t="s">
        <v>515</v>
      </c>
      <c r="G2" s="176" t="s">
        <v>516</v>
      </c>
      <c r="H2" s="176" t="s">
        <v>37</v>
      </c>
      <c r="I2" s="176" t="s">
        <v>38</v>
      </c>
    </row>
    <row r="3" spans="1:10" x14ac:dyDescent="0.2">
      <c r="A3" s="3" t="s">
        <v>563</v>
      </c>
      <c r="B3" s="40" t="s">
        <v>165</v>
      </c>
      <c r="C3" s="40" t="s">
        <v>159</v>
      </c>
      <c r="D3" s="3" t="s">
        <v>39</v>
      </c>
      <c r="E3" s="3" t="s">
        <v>40</v>
      </c>
      <c r="F3" s="40">
        <v>152</v>
      </c>
      <c r="G3" s="164">
        <v>584999</v>
      </c>
      <c r="H3" s="177">
        <v>0</v>
      </c>
      <c r="I3" s="165">
        <f>G3+H3</f>
        <v>584999</v>
      </c>
      <c r="J3" s="163"/>
    </row>
    <row r="4" spans="1:10" x14ac:dyDescent="0.2">
      <c r="A4" s="3" t="s">
        <v>563</v>
      </c>
      <c r="B4" s="40" t="s">
        <v>165</v>
      </c>
      <c r="C4" s="40" t="s">
        <v>159</v>
      </c>
      <c r="D4" s="3" t="s">
        <v>41</v>
      </c>
      <c r="E4" s="3" t="s">
        <v>42</v>
      </c>
      <c r="F4" s="40">
        <v>13</v>
      </c>
      <c r="G4" s="164">
        <v>12872611</v>
      </c>
      <c r="H4" s="177">
        <v>0</v>
      </c>
      <c r="I4" s="165">
        <f t="shared" ref="I4:I25" si="0">G4+H4</f>
        <v>12872611</v>
      </c>
      <c r="J4" s="163"/>
    </row>
    <row r="5" spans="1:10" x14ac:dyDescent="0.2">
      <c r="A5" s="3" t="s">
        <v>563</v>
      </c>
      <c r="B5" s="40" t="s">
        <v>165</v>
      </c>
      <c r="C5" s="40" t="s">
        <v>159</v>
      </c>
      <c r="D5" s="3" t="s">
        <v>43</v>
      </c>
      <c r="E5" s="3" t="s">
        <v>44</v>
      </c>
      <c r="F5" s="40">
        <v>262</v>
      </c>
      <c r="G5" s="164">
        <v>172453</v>
      </c>
      <c r="H5" s="177">
        <v>0</v>
      </c>
      <c r="I5" s="165">
        <f t="shared" si="0"/>
        <v>172453</v>
      </c>
      <c r="J5" s="163"/>
    </row>
    <row r="6" spans="1:10" x14ac:dyDescent="0.2">
      <c r="A6" s="3" t="s">
        <v>563</v>
      </c>
      <c r="B6" s="40" t="s">
        <v>165</v>
      </c>
      <c r="C6" s="40" t="s">
        <v>159</v>
      </c>
      <c r="D6" s="3" t="s">
        <v>45</v>
      </c>
      <c r="E6" s="3" t="s">
        <v>46</v>
      </c>
      <c r="F6" s="40">
        <v>167</v>
      </c>
      <c r="G6" s="164">
        <v>9508028</v>
      </c>
      <c r="H6" s="177">
        <v>0</v>
      </c>
      <c r="I6" s="165">
        <f t="shared" si="0"/>
        <v>9508028</v>
      </c>
      <c r="J6" s="163"/>
    </row>
    <row r="7" spans="1:10" x14ac:dyDescent="0.2">
      <c r="A7" s="3" t="s">
        <v>563</v>
      </c>
      <c r="B7" s="40" t="s">
        <v>165</v>
      </c>
      <c r="C7" s="40" t="s">
        <v>159</v>
      </c>
      <c r="D7" s="3" t="s">
        <v>47</v>
      </c>
      <c r="E7" s="3" t="s">
        <v>48</v>
      </c>
      <c r="F7" s="40">
        <v>274</v>
      </c>
      <c r="G7" s="164">
        <v>2220997</v>
      </c>
      <c r="H7" s="177">
        <v>0</v>
      </c>
      <c r="I7" s="165">
        <f t="shared" si="0"/>
        <v>2220997</v>
      </c>
      <c r="J7" s="163"/>
    </row>
    <row r="8" spans="1:10" x14ac:dyDescent="0.2">
      <c r="A8" s="3" t="s">
        <v>563</v>
      </c>
      <c r="B8" s="40" t="s">
        <v>165</v>
      </c>
      <c r="C8" s="40" t="s">
        <v>159</v>
      </c>
      <c r="D8" s="3" t="s">
        <v>49</v>
      </c>
      <c r="E8" s="3" t="s">
        <v>50</v>
      </c>
      <c r="F8" s="40">
        <v>177</v>
      </c>
      <c r="G8" s="164">
        <v>2297992</v>
      </c>
      <c r="H8" s="177">
        <v>0</v>
      </c>
      <c r="I8" s="165">
        <f t="shared" si="0"/>
        <v>2297992</v>
      </c>
      <c r="J8" s="163"/>
    </row>
    <row r="9" spans="1:10" x14ac:dyDescent="0.2">
      <c r="A9" s="3" t="s">
        <v>563</v>
      </c>
      <c r="B9" s="40" t="s">
        <v>165</v>
      </c>
      <c r="C9" s="40" t="s">
        <v>159</v>
      </c>
      <c r="D9" s="3" t="s">
        <v>51</v>
      </c>
      <c r="E9" s="3" t="s">
        <v>52</v>
      </c>
      <c r="F9" s="40">
        <v>197</v>
      </c>
      <c r="G9" s="164">
        <v>2616223</v>
      </c>
      <c r="H9" s="177">
        <v>0</v>
      </c>
      <c r="I9" s="165">
        <f t="shared" si="0"/>
        <v>2616223</v>
      </c>
      <c r="J9" s="163"/>
    </row>
    <row r="10" spans="1:10" x14ac:dyDescent="0.2">
      <c r="A10" s="3" t="s">
        <v>563</v>
      </c>
      <c r="B10" s="40" t="s">
        <v>165</v>
      </c>
      <c r="C10" s="40" t="s">
        <v>159</v>
      </c>
      <c r="D10" s="3" t="s">
        <v>166</v>
      </c>
      <c r="E10" s="3" t="s">
        <v>167</v>
      </c>
      <c r="F10" s="40">
        <v>371</v>
      </c>
      <c r="G10" s="164">
        <v>201582</v>
      </c>
      <c r="H10" s="177">
        <v>0</v>
      </c>
      <c r="I10" s="165">
        <f t="shared" si="0"/>
        <v>201582</v>
      </c>
      <c r="J10" s="163"/>
    </row>
    <row r="11" spans="1:10" x14ac:dyDescent="0.2">
      <c r="A11" s="3" t="s">
        <v>563</v>
      </c>
      <c r="B11" s="40" t="s">
        <v>165</v>
      </c>
      <c r="C11" s="40" t="s">
        <v>159</v>
      </c>
      <c r="D11" s="3" t="s">
        <v>53</v>
      </c>
      <c r="E11" s="3" t="s">
        <v>54</v>
      </c>
      <c r="F11" s="40">
        <v>334</v>
      </c>
      <c r="G11" s="164">
        <v>16200</v>
      </c>
      <c r="H11" s="177">
        <v>0</v>
      </c>
      <c r="I11" s="165">
        <f t="shared" si="0"/>
        <v>16200</v>
      </c>
      <c r="J11" s="163"/>
    </row>
    <row r="12" spans="1:10" x14ac:dyDescent="0.2">
      <c r="A12" s="3" t="s">
        <v>563</v>
      </c>
      <c r="B12" s="40" t="s">
        <v>165</v>
      </c>
      <c r="C12" s="40" t="s">
        <v>159</v>
      </c>
      <c r="D12" s="3" t="s">
        <v>55</v>
      </c>
      <c r="E12" s="3" t="s">
        <v>56</v>
      </c>
      <c r="F12" s="40">
        <v>43</v>
      </c>
      <c r="G12" s="164">
        <v>8146</v>
      </c>
      <c r="H12" s="177">
        <v>0</v>
      </c>
      <c r="I12" s="165">
        <f t="shared" si="0"/>
        <v>8146</v>
      </c>
      <c r="J12" s="163"/>
    </row>
    <row r="13" spans="1:10" x14ac:dyDescent="0.2">
      <c r="A13" s="3" t="s">
        <v>563</v>
      </c>
      <c r="B13" s="40" t="s">
        <v>165</v>
      </c>
      <c r="C13" s="40" t="s">
        <v>159</v>
      </c>
      <c r="D13" s="3" t="s">
        <v>57</v>
      </c>
      <c r="E13" s="3" t="s">
        <v>58</v>
      </c>
      <c r="F13" s="40">
        <v>361</v>
      </c>
      <c r="G13" s="164">
        <v>1628</v>
      </c>
      <c r="H13" s="177">
        <v>0</v>
      </c>
      <c r="I13" s="165">
        <f t="shared" si="0"/>
        <v>1628</v>
      </c>
      <c r="J13" s="163"/>
    </row>
    <row r="14" spans="1:10" x14ac:dyDescent="0.2">
      <c r="A14" s="3" t="s">
        <v>563</v>
      </c>
      <c r="B14" s="40" t="s">
        <v>165</v>
      </c>
      <c r="C14" s="40" t="s">
        <v>159</v>
      </c>
      <c r="D14" s="3" t="s">
        <v>59</v>
      </c>
      <c r="E14" s="3" t="s">
        <v>60</v>
      </c>
      <c r="F14" s="40">
        <v>264</v>
      </c>
      <c r="G14" s="164">
        <v>785067</v>
      </c>
      <c r="H14" s="177">
        <v>0</v>
      </c>
      <c r="I14" s="165">
        <f t="shared" si="0"/>
        <v>785067</v>
      </c>
      <c r="J14" s="163"/>
    </row>
    <row r="15" spans="1:10" x14ac:dyDescent="0.2">
      <c r="A15" s="3" t="s">
        <v>563</v>
      </c>
      <c r="B15" s="40" t="s">
        <v>165</v>
      </c>
      <c r="C15" s="40" t="s">
        <v>159</v>
      </c>
      <c r="D15" s="3" t="s">
        <v>61</v>
      </c>
      <c r="E15" s="3" t="s">
        <v>62</v>
      </c>
      <c r="F15" s="40">
        <v>127</v>
      </c>
      <c r="G15" s="164">
        <v>583727</v>
      </c>
      <c r="H15" s="177">
        <v>0</v>
      </c>
      <c r="I15" s="165">
        <f t="shared" si="0"/>
        <v>583727</v>
      </c>
      <c r="J15" s="163"/>
    </row>
    <row r="16" spans="1:10" x14ac:dyDescent="0.2">
      <c r="A16" s="3" t="s">
        <v>563</v>
      </c>
      <c r="B16" s="40" t="s">
        <v>165</v>
      </c>
      <c r="C16" s="40" t="s">
        <v>159</v>
      </c>
      <c r="D16" s="3" t="s">
        <v>63</v>
      </c>
      <c r="E16" s="3" t="s">
        <v>64</v>
      </c>
      <c r="F16" s="40">
        <v>360</v>
      </c>
      <c r="G16" s="164">
        <v>703084</v>
      </c>
      <c r="H16" s="177">
        <v>0</v>
      </c>
      <c r="I16" s="165">
        <f t="shared" si="0"/>
        <v>703084</v>
      </c>
      <c r="J16" s="163"/>
    </row>
    <row r="17" spans="1:10" x14ac:dyDescent="0.2">
      <c r="A17" s="3" t="s">
        <v>563</v>
      </c>
      <c r="B17" s="40" t="s">
        <v>165</v>
      </c>
      <c r="C17" s="40" t="s">
        <v>159</v>
      </c>
      <c r="D17" s="3" t="s">
        <v>65</v>
      </c>
      <c r="E17" s="3" t="s">
        <v>66</v>
      </c>
      <c r="F17" s="40">
        <v>175</v>
      </c>
      <c r="G17" s="164">
        <v>3688999</v>
      </c>
      <c r="H17" s="177">
        <v>0</v>
      </c>
      <c r="I17" s="165">
        <f t="shared" si="0"/>
        <v>3688999</v>
      </c>
      <c r="J17" s="163"/>
    </row>
    <row r="18" spans="1:10" x14ac:dyDescent="0.2">
      <c r="A18" s="3" t="s">
        <v>563</v>
      </c>
      <c r="B18" s="40" t="s">
        <v>165</v>
      </c>
      <c r="C18" s="40" t="s">
        <v>159</v>
      </c>
      <c r="D18" s="3" t="s">
        <v>67</v>
      </c>
      <c r="E18" s="3" t="s">
        <v>68</v>
      </c>
      <c r="F18" s="40">
        <v>345</v>
      </c>
      <c r="G18" s="164">
        <v>232475</v>
      </c>
      <c r="H18" s="177">
        <v>0</v>
      </c>
      <c r="I18" s="165">
        <f t="shared" si="0"/>
        <v>232475</v>
      </c>
      <c r="J18" s="163"/>
    </row>
    <row r="19" spans="1:10" x14ac:dyDescent="0.2">
      <c r="A19" s="3" t="s">
        <v>563</v>
      </c>
      <c r="B19" s="40" t="s">
        <v>165</v>
      </c>
      <c r="C19" s="40" t="s">
        <v>159</v>
      </c>
      <c r="D19" s="166" t="s">
        <v>168</v>
      </c>
      <c r="E19" s="3" t="s">
        <v>169</v>
      </c>
      <c r="F19" s="40">
        <v>372</v>
      </c>
      <c r="G19" s="164">
        <v>813201</v>
      </c>
      <c r="H19" s="177">
        <v>0</v>
      </c>
      <c r="I19" s="165">
        <f t="shared" si="0"/>
        <v>813201</v>
      </c>
      <c r="J19" s="163"/>
    </row>
    <row r="20" spans="1:10" x14ac:dyDescent="0.2">
      <c r="A20" s="3" t="s">
        <v>563</v>
      </c>
      <c r="B20" s="40" t="s">
        <v>165</v>
      </c>
      <c r="C20" s="40" t="s">
        <v>159</v>
      </c>
      <c r="D20" s="3" t="s">
        <v>69</v>
      </c>
      <c r="E20" s="3" t="s">
        <v>70</v>
      </c>
      <c r="F20" s="40">
        <v>90</v>
      </c>
      <c r="G20" s="164">
        <v>388169</v>
      </c>
      <c r="H20" s="177">
        <v>0</v>
      </c>
      <c r="I20" s="165">
        <f t="shared" si="0"/>
        <v>388169</v>
      </c>
      <c r="J20" s="163"/>
    </row>
    <row r="21" spans="1:10" x14ac:dyDescent="0.2">
      <c r="A21" s="3" t="s">
        <v>563</v>
      </c>
      <c r="B21" s="40" t="s">
        <v>16</v>
      </c>
      <c r="C21" s="40" t="s">
        <v>159</v>
      </c>
      <c r="D21" s="3" t="s">
        <v>166</v>
      </c>
      <c r="E21" s="3" t="s">
        <v>167</v>
      </c>
      <c r="F21" s="40">
        <v>371</v>
      </c>
      <c r="G21" s="167">
        <v>326114</v>
      </c>
      <c r="H21" s="177">
        <v>0</v>
      </c>
      <c r="I21" s="165">
        <f t="shared" si="0"/>
        <v>326114</v>
      </c>
      <c r="J21" s="163"/>
    </row>
    <row r="22" spans="1:10" x14ac:dyDescent="0.2">
      <c r="A22" s="3" t="s">
        <v>563</v>
      </c>
      <c r="B22" s="40" t="s">
        <v>16</v>
      </c>
      <c r="C22" s="40" t="s">
        <v>159</v>
      </c>
      <c r="D22" s="166" t="s">
        <v>168</v>
      </c>
      <c r="E22" s="3" t="s">
        <v>169</v>
      </c>
      <c r="F22" s="40">
        <v>372</v>
      </c>
      <c r="G22" s="167">
        <v>1284690</v>
      </c>
      <c r="H22" s="177">
        <v>0</v>
      </c>
      <c r="I22" s="165">
        <f t="shared" si="0"/>
        <v>1284690</v>
      </c>
      <c r="J22" s="163"/>
    </row>
    <row r="23" spans="1:10" x14ac:dyDescent="0.2">
      <c r="A23" s="3" t="s">
        <v>563</v>
      </c>
      <c r="B23" s="40" t="s">
        <v>18</v>
      </c>
      <c r="C23" s="40" t="s">
        <v>159</v>
      </c>
      <c r="D23" s="3" t="s">
        <v>166</v>
      </c>
      <c r="E23" s="3" t="s">
        <v>167</v>
      </c>
      <c r="F23" s="40">
        <v>371</v>
      </c>
      <c r="G23" s="167">
        <v>106277</v>
      </c>
      <c r="H23" s="177">
        <v>0</v>
      </c>
      <c r="I23" s="165">
        <f t="shared" si="0"/>
        <v>106277</v>
      </c>
      <c r="J23" s="163"/>
    </row>
    <row r="24" spans="1:10" x14ac:dyDescent="0.2">
      <c r="A24" s="3" t="s">
        <v>563</v>
      </c>
      <c r="B24" s="40" t="s">
        <v>18</v>
      </c>
      <c r="C24" s="40" t="s">
        <v>159</v>
      </c>
      <c r="D24" s="166" t="s">
        <v>168</v>
      </c>
      <c r="E24" s="3" t="s">
        <v>169</v>
      </c>
      <c r="F24" s="40">
        <v>372</v>
      </c>
      <c r="G24" s="167">
        <v>1202109</v>
      </c>
      <c r="H24" s="177">
        <v>0</v>
      </c>
      <c r="I24" s="165">
        <f t="shared" si="0"/>
        <v>1202109</v>
      </c>
      <c r="J24" s="163"/>
    </row>
    <row r="25" spans="1:10" x14ac:dyDescent="0.2">
      <c r="A25" s="3" t="s">
        <v>563</v>
      </c>
      <c r="B25" s="40" t="s">
        <v>14</v>
      </c>
      <c r="C25" s="40" t="s">
        <v>159</v>
      </c>
      <c r="D25" s="3" t="s">
        <v>166</v>
      </c>
      <c r="E25" s="3" t="s">
        <v>167</v>
      </c>
      <c r="F25" s="40">
        <v>371</v>
      </c>
      <c r="G25" s="167">
        <v>532224</v>
      </c>
      <c r="H25" s="177">
        <v>0</v>
      </c>
      <c r="I25" s="165">
        <f t="shared" si="0"/>
        <v>532224</v>
      </c>
      <c r="J25" s="163"/>
    </row>
    <row r="26" spans="1:10" ht="15.75" x14ac:dyDescent="0.25">
      <c r="A26" s="80" t="s">
        <v>520</v>
      </c>
      <c r="B26" s="180" t="s">
        <v>500</v>
      </c>
      <c r="C26" s="180" t="s">
        <v>500</v>
      </c>
      <c r="D26" s="74" t="s">
        <v>500</v>
      </c>
      <c r="E26" s="74" t="s">
        <v>500</v>
      </c>
      <c r="F26" s="180" t="s">
        <v>500</v>
      </c>
      <c r="G26" s="178">
        <f>SUBTOTAL(109,localannualclaim20[Program 
Payments and Offsets])</f>
        <v>41146995</v>
      </c>
      <c r="H26" s="179">
        <f>SUBTOTAL(109,localannualclaim20[Interest
Payments and Offsets])</f>
        <v>0</v>
      </c>
      <c r="I26" s="78">
        <f>SUBTOTAL(109,localannualclaim20[Total 
Payments])</f>
        <v>41146995</v>
      </c>
    </row>
    <row r="27" spans="1:10" x14ac:dyDescent="0.2">
      <c r="A27" s="57" t="s">
        <v>508</v>
      </c>
      <c r="B27" s="3"/>
      <c r="C27" s="3"/>
      <c r="F27" s="3"/>
      <c r="G27" s="3"/>
      <c r="I27" s="3"/>
    </row>
    <row r="28" spans="1:10" ht="48" customHeight="1" x14ac:dyDescent="0.25">
      <c r="A28" s="176" t="s">
        <v>512</v>
      </c>
      <c r="B28" s="176" t="s">
        <v>35</v>
      </c>
      <c r="C28" s="176" t="s">
        <v>513</v>
      </c>
      <c r="D28" s="176" t="s">
        <v>36</v>
      </c>
      <c r="E28" s="176" t="s">
        <v>514</v>
      </c>
      <c r="F28" s="176" t="s">
        <v>515</v>
      </c>
      <c r="G28" s="176" t="s">
        <v>516</v>
      </c>
      <c r="H28" s="176" t="s">
        <v>37</v>
      </c>
      <c r="I28" s="176" t="s">
        <v>38</v>
      </c>
      <c r="J28" s="154"/>
    </row>
    <row r="29" spans="1:10" x14ac:dyDescent="0.2">
      <c r="A29" s="3" t="s">
        <v>563</v>
      </c>
      <c r="B29" s="40" t="s">
        <v>16</v>
      </c>
      <c r="C29" s="40" t="s">
        <v>7</v>
      </c>
      <c r="D29" s="3" t="s">
        <v>39</v>
      </c>
      <c r="E29" s="3" t="s">
        <v>40</v>
      </c>
      <c r="F29" s="40">
        <v>152</v>
      </c>
      <c r="G29" s="167">
        <v>15985</v>
      </c>
      <c r="H29" s="181">
        <v>0</v>
      </c>
      <c r="I29" s="169">
        <f>G29+H29</f>
        <v>15985</v>
      </c>
      <c r="J29" s="154"/>
    </row>
    <row r="30" spans="1:10" x14ac:dyDescent="0.2">
      <c r="A30" s="3" t="s">
        <v>563</v>
      </c>
      <c r="B30" s="40" t="s">
        <v>16</v>
      </c>
      <c r="C30" s="40" t="s">
        <v>7</v>
      </c>
      <c r="D30" s="3" t="s">
        <v>41</v>
      </c>
      <c r="E30" s="3" t="s">
        <v>42</v>
      </c>
      <c r="F30" s="40">
        <v>13</v>
      </c>
      <c r="G30" s="167">
        <v>13910</v>
      </c>
      <c r="H30" s="181">
        <v>0</v>
      </c>
      <c r="I30" s="169">
        <f t="shared" ref="I30:I65" si="1">G30+H30</f>
        <v>13910</v>
      </c>
      <c r="J30" s="154"/>
    </row>
    <row r="31" spans="1:10" x14ac:dyDescent="0.2">
      <c r="A31" s="3" t="s">
        <v>563</v>
      </c>
      <c r="B31" s="40" t="s">
        <v>16</v>
      </c>
      <c r="C31" s="40" t="s">
        <v>7</v>
      </c>
      <c r="D31" s="3" t="s">
        <v>43</v>
      </c>
      <c r="E31" s="3" t="s">
        <v>44</v>
      </c>
      <c r="F31" s="40">
        <v>262</v>
      </c>
      <c r="G31" s="167">
        <v>2482</v>
      </c>
      <c r="H31" s="181">
        <v>0</v>
      </c>
      <c r="I31" s="169">
        <f t="shared" si="1"/>
        <v>2482</v>
      </c>
      <c r="J31" s="154"/>
    </row>
    <row r="32" spans="1:10" x14ac:dyDescent="0.2">
      <c r="A32" s="3" t="s">
        <v>563</v>
      </c>
      <c r="B32" s="40" t="s">
        <v>16</v>
      </c>
      <c r="C32" s="40" t="s">
        <v>7</v>
      </c>
      <c r="D32" s="3" t="s">
        <v>45</v>
      </c>
      <c r="E32" s="3" t="s">
        <v>46</v>
      </c>
      <c r="F32" s="40">
        <v>167</v>
      </c>
      <c r="G32" s="167">
        <v>290312</v>
      </c>
      <c r="H32" s="181">
        <v>0</v>
      </c>
      <c r="I32" s="169">
        <f t="shared" si="1"/>
        <v>290312</v>
      </c>
      <c r="J32" s="154"/>
    </row>
    <row r="33" spans="1:10" x14ac:dyDescent="0.2">
      <c r="A33" s="3" t="s">
        <v>563</v>
      </c>
      <c r="B33" s="40" t="s">
        <v>16</v>
      </c>
      <c r="C33" s="40" t="s">
        <v>7</v>
      </c>
      <c r="D33" s="3" t="s">
        <v>47</v>
      </c>
      <c r="E33" s="3" t="s">
        <v>48</v>
      </c>
      <c r="F33" s="40">
        <v>274</v>
      </c>
      <c r="G33" s="167">
        <v>74509</v>
      </c>
      <c r="H33" s="181">
        <v>0</v>
      </c>
      <c r="I33" s="169">
        <f t="shared" si="1"/>
        <v>74509</v>
      </c>
      <c r="J33" s="154"/>
    </row>
    <row r="34" spans="1:10" x14ac:dyDescent="0.2">
      <c r="A34" s="3" t="s">
        <v>563</v>
      </c>
      <c r="B34" s="40" t="s">
        <v>16</v>
      </c>
      <c r="C34" s="40" t="s">
        <v>7</v>
      </c>
      <c r="D34" s="3" t="s">
        <v>49</v>
      </c>
      <c r="E34" s="3" t="s">
        <v>50</v>
      </c>
      <c r="F34" s="40">
        <v>177</v>
      </c>
      <c r="G34" s="167">
        <v>22449</v>
      </c>
      <c r="H34" s="181">
        <v>0</v>
      </c>
      <c r="I34" s="169">
        <f t="shared" si="1"/>
        <v>22449</v>
      </c>
      <c r="J34" s="154"/>
    </row>
    <row r="35" spans="1:10" x14ac:dyDescent="0.2">
      <c r="A35" s="3" t="s">
        <v>563</v>
      </c>
      <c r="B35" s="40" t="s">
        <v>16</v>
      </c>
      <c r="C35" s="40" t="s">
        <v>7</v>
      </c>
      <c r="D35" s="3" t="s">
        <v>51</v>
      </c>
      <c r="E35" s="3" t="s">
        <v>52</v>
      </c>
      <c r="F35" s="40">
        <v>197</v>
      </c>
      <c r="G35" s="167">
        <v>28607</v>
      </c>
      <c r="H35" s="181">
        <v>0</v>
      </c>
      <c r="I35" s="169">
        <f t="shared" si="1"/>
        <v>28607</v>
      </c>
      <c r="J35" s="154"/>
    </row>
    <row r="36" spans="1:10" x14ac:dyDescent="0.2">
      <c r="A36" s="3" t="s">
        <v>563</v>
      </c>
      <c r="B36" s="40" t="s">
        <v>16</v>
      </c>
      <c r="C36" s="40" t="s">
        <v>7</v>
      </c>
      <c r="D36" s="3" t="s">
        <v>59</v>
      </c>
      <c r="E36" s="3" t="s">
        <v>60</v>
      </c>
      <c r="F36" s="40">
        <v>264</v>
      </c>
      <c r="G36" s="167">
        <v>14296</v>
      </c>
      <c r="H36" s="181">
        <v>0</v>
      </c>
      <c r="I36" s="169">
        <f t="shared" si="1"/>
        <v>14296</v>
      </c>
      <c r="J36" s="154"/>
    </row>
    <row r="37" spans="1:10" x14ac:dyDescent="0.2">
      <c r="A37" s="3" t="s">
        <v>563</v>
      </c>
      <c r="B37" s="40" t="s">
        <v>16</v>
      </c>
      <c r="C37" s="40" t="s">
        <v>7</v>
      </c>
      <c r="D37" s="3" t="s">
        <v>61</v>
      </c>
      <c r="E37" s="3" t="s">
        <v>62</v>
      </c>
      <c r="F37" s="40">
        <v>127</v>
      </c>
      <c r="G37" s="167">
        <v>15102</v>
      </c>
      <c r="H37" s="181">
        <v>0</v>
      </c>
      <c r="I37" s="169">
        <f t="shared" si="1"/>
        <v>15102</v>
      </c>
      <c r="J37" s="154"/>
    </row>
    <row r="38" spans="1:10" x14ac:dyDescent="0.2">
      <c r="A38" s="3" t="s">
        <v>563</v>
      </c>
      <c r="B38" s="40" t="s">
        <v>16</v>
      </c>
      <c r="C38" s="40" t="s">
        <v>7</v>
      </c>
      <c r="D38" s="3" t="s">
        <v>63</v>
      </c>
      <c r="E38" s="3" t="s">
        <v>64</v>
      </c>
      <c r="F38" s="40">
        <v>360</v>
      </c>
      <c r="G38" s="167">
        <v>84430</v>
      </c>
      <c r="H38" s="181">
        <v>0</v>
      </c>
      <c r="I38" s="169">
        <f t="shared" si="1"/>
        <v>84430</v>
      </c>
      <c r="J38" s="154"/>
    </row>
    <row r="39" spans="1:10" x14ac:dyDescent="0.2">
      <c r="A39" s="3" t="s">
        <v>563</v>
      </c>
      <c r="B39" s="40" t="s">
        <v>84</v>
      </c>
      <c r="C39" s="40" t="s">
        <v>7</v>
      </c>
      <c r="D39" s="166" t="s">
        <v>85</v>
      </c>
      <c r="E39" s="170" t="s">
        <v>86</v>
      </c>
      <c r="F39" s="40">
        <v>285</v>
      </c>
      <c r="G39" s="182">
        <v>0</v>
      </c>
      <c r="H39" s="167">
        <v>4259</v>
      </c>
      <c r="I39" s="169">
        <f t="shared" si="1"/>
        <v>4259</v>
      </c>
      <c r="J39" s="154"/>
    </row>
    <row r="40" spans="1:10" x14ac:dyDescent="0.2">
      <c r="A40" s="3" t="s">
        <v>563</v>
      </c>
      <c r="B40" s="40" t="s">
        <v>87</v>
      </c>
      <c r="C40" s="40" t="s">
        <v>7</v>
      </c>
      <c r="D40" s="166" t="s">
        <v>85</v>
      </c>
      <c r="E40" s="170" t="s">
        <v>86</v>
      </c>
      <c r="F40" s="40">
        <v>285</v>
      </c>
      <c r="G40" s="182">
        <v>0</v>
      </c>
      <c r="H40" s="167">
        <v>30479</v>
      </c>
      <c r="I40" s="169">
        <f t="shared" si="1"/>
        <v>30479</v>
      </c>
      <c r="J40" s="154"/>
    </row>
    <row r="41" spans="1:10" x14ac:dyDescent="0.2">
      <c r="A41" s="3" t="s">
        <v>563</v>
      </c>
      <c r="B41" s="40" t="s">
        <v>76</v>
      </c>
      <c r="C41" s="40" t="s">
        <v>7</v>
      </c>
      <c r="D41" s="166" t="s">
        <v>77</v>
      </c>
      <c r="E41" s="170" t="s">
        <v>78</v>
      </c>
      <c r="F41" s="40">
        <v>283</v>
      </c>
      <c r="G41" s="182">
        <v>0</v>
      </c>
      <c r="H41" s="167">
        <v>6416</v>
      </c>
      <c r="I41" s="169">
        <f t="shared" si="1"/>
        <v>6416</v>
      </c>
      <c r="J41" s="154"/>
    </row>
    <row r="42" spans="1:10" x14ac:dyDescent="0.2">
      <c r="A42" s="3" t="s">
        <v>563</v>
      </c>
      <c r="B42" s="40" t="s">
        <v>76</v>
      </c>
      <c r="C42" s="40" t="s">
        <v>7</v>
      </c>
      <c r="D42" s="166" t="s">
        <v>85</v>
      </c>
      <c r="E42" s="170" t="s">
        <v>86</v>
      </c>
      <c r="F42" s="40">
        <v>285</v>
      </c>
      <c r="G42" s="182">
        <v>0</v>
      </c>
      <c r="H42" s="167">
        <v>42576</v>
      </c>
      <c r="I42" s="169">
        <f t="shared" si="1"/>
        <v>42576</v>
      </c>
      <c r="J42" s="154"/>
    </row>
    <row r="43" spans="1:10" x14ac:dyDescent="0.2">
      <c r="A43" s="3" t="s">
        <v>563</v>
      </c>
      <c r="B43" s="40" t="s">
        <v>79</v>
      </c>
      <c r="C43" s="40" t="s">
        <v>7</v>
      </c>
      <c r="D43" s="166" t="s">
        <v>77</v>
      </c>
      <c r="E43" s="170" t="s">
        <v>78</v>
      </c>
      <c r="F43" s="40">
        <v>283</v>
      </c>
      <c r="G43" s="182">
        <v>0</v>
      </c>
      <c r="H43" s="167">
        <v>9761</v>
      </c>
      <c r="I43" s="169">
        <f t="shared" si="1"/>
        <v>9761</v>
      </c>
      <c r="J43" s="154"/>
    </row>
    <row r="44" spans="1:10" x14ac:dyDescent="0.2">
      <c r="A44" s="3" t="s">
        <v>563</v>
      </c>
      <c r="B44" s="40" t="s">
        <v>79</v>
      </c>
      <c r="C44" s="40" t="s">
        <v>7</v>
      </c>
      <c r="D44" s="166" t="s">
        <v>85</v>
      </c>
      <c r="E44" s="170" t="s">
        <v>86</v>
      </c>
      <c r="F44" s="40">
        <v>285</v>
      </c>
      <c r="G44" s="182">
        <v>0</v>
      </c>
      <c r="H44" s="167">
        <v>44461</v>
      </c>
      <c r="I44" s="169">
        <f t="shared" si="1"/>
        <v>44461</v>
      </c>
      <c r="J44" s="154"/>
    </row>
    <row r="45" spans="1:10" x14ac:dyDescent="0.2">
      <c r="A45" s="3" t="s">
        <v>563</v>
      </c>
      <c r="B45" s="40" t="s">
        <v>80</v>
      </c>
      <c r="C45" s="40" t="s">
        <v>7</v>
      </c>
      <c r="D45" s="166" t="s">
        <v>77</v>
      </c>
      <c r="E45" s="170" t="s">
        <v>78</v>
      </c>
      <c r="F45" s="40">
        <v>283</v>
      </c>
      <c r="G45" s="182">
        <v>0</v>
      </c>
      <c r="H45" s="167">
        <v>6660</v>
      </c>
      <c r="I45" s="169">
        <f t="shared" si="1"/>
        <v>6660</v>
      </c>
      <c r="J45" s="154"/>
    </row>
    <row r="46" spans="1:10" x14ac:dyDescent="0.2">
      <c r="A46" s="3" t="s">
        <v>563</v>
      </c>
      <c r="B46" s="40" t="s">
        <v>80</v>
      </c>
      <c r="C46" s="40" t="s">
        <v>7</v>
      </c>
      <c r="D46" s="166" t="s">
        <v>85</v>
      </c>
      <c r="E46" s="170" t="s">
        <v>86</v>
      </c>
      <c r="F46" s="40">
        <v>285</v>
      </c>
      <c r="G46" s="182">
        <v>0</v>
      </c>
      <c r="H46" s="167">
        <v>41054</v>
      </c>
      <c r="I46" s="169">
        <f t="shared" si="1"/>
        <v>41054</v>
      </c>
      <c r="J46" s="154"/>
    </row>
    <row r="47" spans="1:10" x14ac:dyDescent="0.2">
      <c r="A47" s="3" t="s">
        <v>563</v>
      </c>
      <c r="B47" s="40" t="s">
        <v>81</v>
      </c>
      <c r="C47" s="40" t="s">
        <v>7</v>
      </c>
      <c r="D47" s="166" t="s">
        <v>77</v>
      </c>
      <c r="E47" s="170" t="s">
        <v>78</v>
      </c>
      <c r="F47" s="40">
        <v>283</v>
      </c>
      <c r="G47" s="182">
        <v>0</v>
      </c>
      <c r="H47" s="167">
        <v>5019</v>
      </c>
      <c r="I47" s="169">
        <f t="shared" si="1"/>
        <v>5019</v>
      </c>
      <c r="J47" s="154"/>
    </row>
    <row r="48" spans="1:10" x14ac:dyDescent="0.2">
      <c r="A48" s="3" t="s">
        <v>563</v>
      </c>
      <c r="B48" s="40" t="s">
        <v>81</v>
      </c>
      <c r="C48" s="40" t="s">
        <v>7</v>
      </c>
      <c r="D48" s="166" t="s">
        <v>85</v>
      </c>
      <c r="E48" s="170" t="s">
        <v>86</v>
      </c>
      <c r="F48" s="40">
        <v>285</v>
      </c>
      <c r="G48" s="182">
        <v>0</v>
      </c>
      <c r="H48" s="167">
        <v>35107</v>
      </c>
      <c r="I48" s="169">
        <f t="shared" si="1"/>
        <v>35107</v>
      </c>
      <c r="J48" s="154"/>
    </row>
    <row r="49" spans="1:12" x14ac:dyDescent="0.2">
      <c r="A49" s="3" t="s">
        <v>563</v>
      </c>
      <c r="B49" s="40" t="s">
        <v>82</v>
      </c>
      <c r="C49" s="40" t="s">
        <v>7</v>
      </c>
      <c r="D49" s="166" t="s">
        <v>77</v>
      </c>
      <c r="E49" s="170" t="s">
        <v>78</v>
      </c>
      <c r="F49" s="40">
        <v>283</v>
      </c>
      <c r="G49" s="182">
        <v>0</v>
      </c>
      <c r="H49" s="167">
        <v>5598</v>
      </c>
      <c r="I49" s="169">
        <f t="shared" si="1"/>
        <v>5598</v>
      </c>
      <c r="J49" s="154"/>
    </row>
    <row r="50" spans="1:12" x14ac:dyDescent="0.2">
      <c r="A50" s="3" t="s">
        <v>563</v>
      </c>
      <c r="B50" s="40" t="s">
        <v>82</v>
      </c>
      <c r="C50" s="40" t="s">
        <v>7</v>
      </c>
      <c r="D50" s="166" t="s">
        <v>85</v>
      </c>
      <c r="E50" s="170" t="s">
        <v>86</v>
      </c>
      <c r="F50" s="40">
        <v>285</v>
      </c>
      <c r="G50" s="182">
        <v>0</v>
      </c>
      <c r="H50" s="167">
        <v>28564</v>
      </c>
      <c r="I50" s="169">
        <f t="shared" si="1"/>
        <v>28564</v>
      </c>
      <c r="J50" s="154"/>
    </row>
    <row r="51" spans="1:12" x14ac:dyDescent="0.2">
      <c r="A51" s="3" t="s">
        <v>563</v>
      </c>
      <c r="B51" s="40" t="s">
        <v>82</v>
      </c>
      <c r="C51" s="40" t="s">
        <v>7</v>
      </c>
      <c r="D51" s="166" t="s">
        <v>88</v>
      </c>
      <c r="E51" s="170" t="s">
        <v>89</v>
      </c>
      <c r="F51" s="40">
        <v>282</v>
      </c>
      <c r="G51" s="182">
        <v>0</v>
      </c>
      <c r="H51" s="167">
        <v>8329</v>
      </c>
      <c r="I51" s="169">
        <f t="shared" si="1"/>
        <v>8329</v>
      </c>
      <c r="J51" s="154"/>
    </row>
    <row r="52" spans="1:12" x14ac:dyDescent="0.2">
      <c r="A52" s="3" t="s">
        <v>563</v>
      </c>
      <c r="B52" s="40" t="s">
        <v>83</v>
      </c>
      <c r="C52" s="40" t="s">
        <v>7</v>
      </c>
      <c r="D52" s="166" t="s">
        <v>77</v>
      </c>
      <c r="E52" s="170" t="s">
        <v>78</v>
      </c>
      <c r="F52" s="40">
        <v>283</v>
      </c>
      <c r="G52" s="182">
        <v>0</v>
      </c>
      <c r="H52" s="167">
        <v>4628</v>
      </c>
      <c r="I52" s="169">
        <f t="shared" si="1"/>
        <v>4628</v>
      </c>
      <c r="J52" s="154"/>
    </row>
    <row r="53" spans="1:12" x14ac:dyDescent="0.2">
      <c r="A53" s="3" t="s">
        <v>563</v>
      </c>
      <c r="B53" s="40" t="s">
        <v>83</v>
      </c>
      <c r="C53" s="40" t="s">
        <v>7</v>
      </c>
      <c r="D53" s="166" t="s">
        <v>85</v>
      </c>
      <c r="E53" s="170" t="s">
        <v>86</v>
      </c>
      <c r="F53" s="40">
        <v>285</v>
      </c>
      <c r="G53" s="182">
        <v>0</v>
      </c>
      <c r="H53" s="167">
        <v>26307</v>
      </c>
      <c r="I53" s="169">
        <f t="shared" si="1"/>
        <v>26307</v>
      </c>
      <c r="J53" s="154"/>
      <c r="L53" s="18"/>
    </row>
    <row r="54" spans="1:12" x14ac:dyDescent="0.2">
      <c r="A54" s="3" t="s">
        <v>563</v>
      </c>
      <c r="B54" s="40" t="s">
        <v>83</v>
      </c>
      <c r="C54" s="40" t="s">
        <v>7</v>
      </c>
      <c r="D54" s="166" t="s">
        <v>88</v>
      </c>
      <c r="E54" s="170" t="s">
        <v>89</v>
      </c>
      <c r="F54" s="40">
        <v>282</v>
      </c>
      <c r="G54" s="171">
        <v>316636</v>
      </c>
      <c r="H54" s="168">
        <v>439560</v>
      </c>
      <c r="I54" s="169">
        <f t="shared" si="1"/>
        <v>756196</v>
      </c>
      <c r="J54" s="154"/>
      <c r="L54" s="146"/>
    </row>
    <row r="55" spans="1:12" x14ac:dyDescent="0.2">
      <c r="A55" s="3" t="s">
        <v>563</v>
      </c>
      <c r="B55" s="40" t="s">
        <v>71</v>
      </c>
      <c r="C55" s="40" t="s">
        <v>7</v>
      </c>
      <c r="D55" s="166" t="s">
        <v>72</v>
      </c>
      <c r="E55" s="170" t="s">
        <v>73</v>
      </c>
      <c r="F55" s="40">
        <v>284</v>
      </c>
      <c r="G55" s="183">
        <v>0</v>
      </c>
      <c r="H55" s="167">
        <v>8247</v>
      </c>
      <c r="I55" s="169">
        <f t="shared" si="1"/>
        <v>8247</v>
      </c>
      <c r="J55" s="154"/>
    </row>
    <row r="56" spans="1:12" x14ac:dyDescent="0.2">
      <c r="A56" s="3" t="s">
        <v>563</v>
      </c>
      <c r="B56" s="40" t="s">
        <v>71</v>
      </c>
      <c r="C56" s="40" t="s">
        <v>7</v>
      </c>
      <c r="D56" s="166" t="s">
        <v>77</v>
      </c>
      <c r="E56" s="170" t="s">
        <v>78</v>
      </c>
      <c r="F56" s="40">
        <v>283</v>
      </c>
      <c r="G56" s="183">
        <v>0</v>
      </c>
      <c r="H56" s="167">
        <v>3980</v>
      </c>
      <c r="I56" s="169">
        <f t="shared" si="1"/>
        <v>3980</v>
      </c>
      <c r="J56" s="154"/>
    </row>
    <row r="57" spans="1:12" x14ac:dyDescent="0.2">
      <c r="A57" s="3" t="s">
        <v>563</v>
      </c>
      <c r="B57" s="40" t="s">
        <v>71</v>
      </c>
      <c r="C57" s="40" t="s">
        <v>7</v>
      </c>
      <c r="D57" s="166" t="s">
        <v>85</v>
      </c>
      <c r="E57" s="170" t="s">
        <v>86</v>
      </c>
      <c r="F57" s="40">
        <v>285</v>
      </c>
      <c r="G57" s="183">
        <v>0</v>
      </c>
      <c r="H57" s="167">
        <v>26829</v>
      </c>
      <c r="I57" s="169">
        <f t="shared" si="1"/>
        <v>26829</v>
      </c>
      <c r="J57" s="154"/>
    </row>
    <row r="58" spans="1:12" x14ac:dyDescent="0.2">
      <c r="A58" s="3" t="s">
        <v>563</v>
      </c>
      <c r="B58" s="40" t="s">
        <v>71</v>
      </c>
      <c r="C58" s="40" t="s">
        <v>7</v>
      </c>
      <c r="D58" s="166" t="s">
        <v>88</v>
      </c>
      <c r="E58" s="170" t="s">
        <v>89</v>
      </c>
      <c r="F58" s="40">
        <v>282</v>
      </c>
      <c r="G58" s="183">
        <v>0</v>
      </c>
      <c r="H58" s="167">
        <v>198326</v>
      </c>
      <c r="I58" s="169">
        <f t="shared" si="1"/>
        <v>198326</v>
      </c>
      <c r="J58" s="154"/>
    </row>
    <row r="59" spans="1:12" x14ac:dyDescent="0.2">
      <c r="A59" s="3" t="s">
        <v>563</v>
      </c>
      <c r="B59" s="40" t="s">
        <v>74</v>
      </c>
      <c r="C59" s="40" t="s">
        <v>7</v>
      </c>
      <c r="D59" s="166" t="s">
        <v>72</v>
      </c>
      <c r="E59" s="170" t="s">
        <v>73</v>
      </c>
      <c r="F59" s="40">
        <v>284</v>
      </c>
      <c r="G59" s="183">
        <v>0</v>
      </c>
      <c r="H59" s="167">
        <v>11447</v>
      </c>
      <c r="I59" s="169">
        <f t="shared" si="1"/>
        <v>11447</v>
      </c>
      <c r="J59" s="154"/>
    </row>
    <row r="60" spans="1:12" x14ac:dyDescent="0.2">
      <c r="A60" s="3" t="s">
        <v>563</v>
      </c>
      <c r="B60" s="40" t="s">
        <v>74</v>
      </c>
      <c r="C60" s="40" t="s">
        <v>7</v>
      </c>
      <c r="D60" s="166" t="s">
        <v>77</v>
      </c>
      <c r="E60" s="170" t="s">
        <v>78</v>
      </c>
      <c r="F60" s="40">
        <v>283</v>
      </c>
      <c r="G60" s="183">
        <v>0</v>
      </c>
      <c r="H60" s="167">
        <v>5022</v>
      </c>
      <c r="I60" s="169">
        <f t="shared" si="1"/>
        <v>5022</v>
      </c>
      <c r="J60" s="154"/>
    </row>
    <row r="61" spans="1:12" x14ac:dyDescent="0.2">
      <c r="A61" s="3" t="s">
        <v>563</v>
      </c>
      <c r="B61" s="40" t="s">
        <v>74</v>
      </c>
      <c r="C61" s="40" t="s">
        <v>7</v>
      </c>
      <c r="D61" s="166" t="s">
        <v>85</v>
      </c>
      <c r="E61" s="170" t="s">
        <v>86</v>
      </c>
      <c r="F61" s="40">
        <v>285</v>
      </c>
      <c r="G61" s="183">
        <v>0</v>
      </c>
      <c r="H61" s="167">
        <v>11563</v>
      </c>
      <c r="I61" s="169">
        <f t="shared" si="1"/>
        <v>11563</v>
      </c>
      <c r="J61" s="154"/>
    </row>
    <row r="62" spans="1:12" x14ac:dyDescent="0.2">
      <c r="A62" s="3" t="s">
        <v>563</v>
      </c>
      <c r="B62" s="40" t="s">
        <v>74</v>
      </c>
      <c r="C62" s="40" t="s">
        <v>7</v>
      </c>
      <c r="D62" s="166" t="s">
        <v>88</v>
      </c>
      <c r="E62" s="170" t="s">
        <v>89</v>
      </c>
      <c r="F62" s="40">
        <v>282</v>
      </c>
      <c r="G62" s="183">
        <v>0</v>
      </c>
      <c r="H62" s="167">
        <v>4617</v>
      </c>
      <c r="I62" s="169">
        <f t="shared" si="1"/>
        <v>4617</v>
      </c>
      <c r="J62" s="154"/>
    </row>
    <row r="63" spans="1:12" x14ac:dyDescent="0.2">
      <c r="A63" s="3" t="s">
        <v>563</v>
      </c>
      <c r="B63" s="40" t="s">
        <v>75</v>
      </c>
      <c r="C63" s="40" t="s">
        <v>7</v>
      </c>
      <c r="D63" s="166" t="s">
        <v>72</v>
      </c>
      <c r="E63" s="170" t="s">
        <v>73</v>
      </c>
      <c r="F63" s="40">
        <v>284</v>
      </c>
      <c r="G63" s="183">
        <v>0</v>
      </c>
      <c r="H63" s="167">
        <v>2448</v>
      </c>
      <c r="I63" s="169">
        <f t="shared" si="1"/>
        <v>2448</v>
      </c>
      <c r="J63" s="154"/>
    </row>
    <row r="64" spans="1:12" x14ac:dyDescent="0.2">
      <c r="A64" s="3" t="s">
        <v>563</v>
      </c>
      <c r="B64" s="40" t="s">
        <v>75</v>
      </c>
      <c r="C64" s="40" t="s">
        <v>7</v>
      </c>
      <c r="D64" s="166" t="s">
        <v>77</v>
      </c>
      <c r="E64" s="170" t="s">
        <v>78</v>
      </c>
      <c r="F64" s="40">
        <v>283</v>
      </c>
      <c r="G64" s="183">
        <v>0</v>
      </c>
      <c r="H64" s="167">
        <v>3748</v>
      </c>
      <c r="I64" s="169">
        <f t="shared" si="1"/>
        <v>3748</v>
      </c>
      <c r="J64" s="154"/>
    </row>
    <row r="65" spans="1:10" x14ac:dyDescent="0.2">
      <c r="A65" s="3" t="s">
        <v>563</v>
      </c>
      <c r="B65" s="40" t="s">
        <v>75</v>
      </c>
      <c r="C65" s="40" t="s">
        <v>7</v>
      </c>
      <c r="D65" s="166" t="s">
        <v>88</v>
      </c>
      <c r="E65" s="170" t="s">
        <v>89</v>
      </c>
      <c r="F65" s="40">
        <v>282</v>
      </c>
      <c r="G65" s="183">
        <v>0</v>
      </c>
      <c r="H65" s="167">
        <v>283</v>
      </c>
      <c r="I65" s="169">
        <f t="shared" si="1"/>
        <v>283</v>
      </c>
      <c r="J65" s="154"/>
    </row>
    <row r="66" spans="1:10" ht="15.75" x14ac:dyDescent="0.25">
      <c r="A66" s="80" t="s">
        <v>90</v>
      </c>
      <c r="B66" s="180" t="s">
        <v>500</v>
      </c>
      <c r="C66" s="180" t="s">
        <v>500</v>
      </c>
      <c r="D66" s="184" t="s">
        <v>500</v>
      </c>
      <c r="E66" s="185" t="s">
        <v>500</v>
      </c>
      <c r="F66" s="180" t="s">
        <v>500</v>
      </c>
      <c r="G66" s="186">
        <f>SUBTOTAL(109,localannualclaim19[Program 
Payments and Offsets])</f>
        <v>878718</v>
      </c>
      <c r="H66" s="178">
        <f>SUBTOTAL(109,localannualclaim19[Interest
Payments and Offsets])</f>
        <v>1015288</v>
      </c>
      <c r="I66" s="187">
        <f>SUBTOTAL(109,localannualclaim19[Total 
Payments])</f>
        <v>1894006</v>
      </c>
    </row>
    <row r="67" spans="1:10" x14ac:dyDescent="0.2">
      <c r="A67" s="57" t="s">
        <v>508</v>
      </c>
      <c r="B67" s="3"/>
      <c r="C67" s="3"/>
      <c r="F67" s="3"/>
      <c r="G67" s="3"/>
      <c r="I67" s="3"/>
    </row>
    <row r="68" spans="1:10" ht="48" customHeight="1" x14ac:dyDescent="0.25">
      <c r="A68" s="176" t="s">
        <v>512</v>
      </c>
      <c r="B68" s="176" t="s">
        <v>35</v>
      </c>
      <c r="C68" s="176" t="s">
        <v>513</v>
      </c>
      <c r="D68" s="176" t="s">
        <v>36</v>
      </c>
      <c r="E68" s="176" t="s">
        <v>514</v>
      </c>
      <c r="F68" s="176" t="s">
        <v>515</v>
      </c>
      <c r="G68" s="176" t="s">
        <v>516</v>
      </c>
      <c r="H68" s="176" t="s">
        <v>37</v>
      </c>
      <c r="I68" s="176" t="s">
        <v>38</v>
      </c>
      <c r="J68" s="154"/>
    </row>
    <row r="69" spans="1:10" x14ac:dyDescent="0.2">
      <c r="A69" s="3" t="s">
        <v>563</v>
      </c>
      <c r="B69" s="40" t="s">
        <v>18</v>
      </c>
      <c r="C69" s="40" t="s">
        <v>10</v>
      </c>
      <c r="D69" s="3" t="s">
        <v>45</v>
      </c>
      <c r="E69" s="3" t="s">
        <v>46</v>
      </c>
      <c r="F69" s="40">
        <v>167</v>
      </c>
      <c r="G69" s="167">
        <v>292</v>
      </c>
      <c r="H69" s="177">
        <v>0</v>
      </c>
      <c r="I69" s="169">
        <f>G69+H69</f>
        <v>292</v>
      </c>
      <c r="J69" s="154"/>
    </row>
    <row r="70" spans="1:10" x14ac:dyDescent="0.2">
      <c r="A70" s="3" t="s">
        <v>563</v>
      </c>
      <c r="B70" s="40" t="s">
        <v>14</v>
      </c>
      <c r="C70" s="40" t="s">
        <v>10</v>
      </c>
      <c r="D70" s="3" t="s">
        <v>45</v>
      </c>
      <c r="E70" s="3" t="s">
        <v>46</v>
      </c>
      <c r="F70" s="40">
        <v>167</v>
      </c>
      <c r="G70" s="167">
        <v>372</v>
      </c>
      <c r="H70" s="177">
        <v>0</v>
      </c>
      <c r="I70" s="169">
        <f>G70+H70</f>
        <v>372</v>
      </c>
      <c r="J70" s="154"/>
    </row>
    <row r="71" spans="1:10" ht="30" x14ac:dyDescent="0.2">
      <c r="A71" s="3" t="s">
        <v>563</v>
      </c>
      <c r="B71" s="40" t="s">
        <v>76</v>
      </c>
      <c r="C71" s="40" t="s">
        <v>10</v>
      </c>
      <c r="D71" s="166" t="s">
        <v>171</v>
      </c>
      <c r="E71" s="170" t="s">
        <v>172</v>
      </c>
      <c r="F71" s="40">
        <v>273</v>
      </c>
      <c r="G71" s="182">
        <v>0</v>
      </c>
      <c r="H71" s="167">
        <v>54230</v>
      </c>
      <c r="I71" s="169">
        <f>G71+H71</f>
        <v>54230</v>
      </c>
      <c r="J71" s="154"/>
    </row>
    <row r="72" spans="1:10" s="20" customFormat="1" ht="15.75" x14ac:dyDescent="0.25">
      <c r="A72" s="80" t="s">
        <v>91</v>
      </c>
      <c r="B72" s="180" t="s">
        <v>500</v>
      </c>
      <c r="C72" s="180" t="s">
        <v>500</v>
      </c>
      <c r="D72" s="74" t="s">
        <v>500</v>
      </c>
      <c r="E72" s="74" t="s">
        <v>500</v>
      </c>
      <c r="F72" s="180" t="s">
        <v>500</v>
      </c>
      <c r="G72" s="178">
        <f>SUBTOTAL(109,localannualclaim18[Program 
Payments and Offsets])</f>
        <v>664</v>
      </c>
      <c r="H72" s="78">
        <f>SUBTOTAL(109,localannualclaim18[Interest
Payments and Offsets])</f>
        <v>54230</v>
      </c>
      <c r="I72" s="187">
        <f>SUBTOTAL(109,localannualclaim18[Total 
Payments])</f>
        <v>54894</v>
      </c>
    </row>
    <row r="73" spans="1:10" x14ac:dyDescent="0.2">
      <c r="A73" s="57" t="s">
        <v>508</v>
      </c>
      <c r="B73" s="3"/>
      <c r="C73" s="3"/>
      <c r="F73" s="3"/>
      <c r="G73" s="3"/>
      <c r="I73" s="3"/>
    </row>
    <row r="74" spans="1:10" ht="48" customHeight="1" x14ac:dyDescent="0.25">
      <c r="A74" s="176" t="s">
        <v>512</v>
      </c>
      <c r="B74" s="176" t="s">
        <v>35</v>
      </c>
      <c r="C74" s="176" t="s">
        <v>513</v>
      </c>
      <c r="D74" s="176" t="s">
        <v>36</v>
      </c>
      <c r="E74" s="176" t="s">
        <v>514</v>
      </c>
      <c r="F74" s="176" t="s">
        <v>515</v>
      </c>
      <c r="G74" s="176" t="s">
        <v>516</v>
      </c>
      <c r="H74" s="176" t="s">
        <v>37</v>
      </c>
      <c r="I74" s="176" t="s">
        <v>38</v>
      </c>
      <c r="J74" s="154"/>
    </row>
    <row r="75" spans="1:10" x14ac:dyDescent="0.2">
      <c r="A75" s="3" t="s">
        <v>563</v>
      </c>
      <c r="B75" s="172" t="s">
        <v>183</v>
      </c>
      <c r="C75" s="172" t="s">
        <v>12</v>
      </c>
      <c r="D75" s="173" t="s">
        <v>173</v>
      </c>
      <c r="E75" s="174" t="s">
        <v>174</v>
      </c>
      <c r="F75" s="40">
        <v>353</v>
      </c>
      <c r="G75" s="182">
        <v>0</v>
      </c>
      <c r="H75" s="167">
        <v>5196</v>
      </c>
      <c r="I75" s="169">
        <f>G75+H75</f>
        <v>5196</v>
      </c>
      <c r="J75" s="154"/>
    </row>
    <row r="76" spans="1:10" x14ac:dyDescent="0.2">
      <c r="A76" s="3" t="s">
        <v>563</v>
      </c>
      <c r="B76" s="172" t="s">
        <v>183</v>
      </c>
      <c r="C76" s="172" t="s">
        <v>12</v>
      </c>
      <c r="D76" s="3" t="s">
        <v>63</v>
      </c>
      <c r="E76" s="3" t="s">
        <v>64</v>
      </c>
      <c r="F76" s="40">
        <v>360</v>
      </c>
      <c r="G76" s="182">
        <v>0</v>
      </c>
      <c r="H76" s="167">
        <v>255</v>
      </c>
      <c r="I76" s="169">
        <f t="shared" ref="I76:I93" si="2">G76+H76</f>
        <v>255</v>
      </c>
      <c r="J76" s="154"/>
    </row>
    <row r="77" spans="1:10" x14ac:dyDescent="0.2">
      <c r="A77" s="3" t="s">
        <v>563</v>
      </c>
      <c r="B77" s="172" t="s">
        <v>183</v>
      </c>
      <c r="C77" s="172" t="s">
        <v>12</v>
      </c>
      <c r="D77" s="3" t="s">
        <v>69</v>
      </c>
      <c r="E77" s="3" t="s">
        <v>70</v>
      </c>
      <c r="F77" s="40">
        <v>90</v>
      </c>
      <c r="G77" s="182">
        <v>0</v>
      </c>
      <c r="H77" s="167">
        <v>55</v>
      </c>
      <c r="I77" s="169">
        <f t="shared" si="2"/>
        <v>55</v>
      </c>
      <c r="J77" s="154"/>
    </row>
    <row r="78" spans="1:10" x14ac:dyDescent="0.2">
      <c r="A78" s="3" t="s">
        <v>563</v>
      </c>
      <c r="B78" s="172" t="s">
        <v>184</v>
      </c>
      <c r="C78" s="172" t="s">
        <v>12</v>
      </c>
      <c r="D78" s="173" t="s">
        <v>173</v>
      </c>
      <c r="E78" s="174" t="s">
        <v>174</v>
      </c>
      <c r="F78" s="40">
        <v>353</v>
      </c>
      <c r="G78" s="182">
        <v>0</v>
      </c>
      <c r="H78" s="167">
        <v>3669</v>
      </c>
      <c r="I78" s="169">
        <f t="shared" si="2"/>
        <v>3669</v>
      </c>
      <c r="J78" s="154"/>
    </row>
    <row r="79" spans="1:10" x14ac:dyDescent="0.2">
      <c r="A79" s="3" t="s">
        <v>563</v>
      </c>
      <c r="B79" s="172" t="s">
        <v>184</v>
      </c>
      <c r="C79" s="172" t="s">
        <v>12</v>
      </c>
      <c r="D79" s="3" t="s">
        <v>63</v>
      </c>
      <c r="E79" s="3" t="s">
        <v>64</v>
      </c>
      <c r="F79" s="40">
        <v>360</v>
      </c>
      <c r="G79" s="182">
        <v>0</v>
      </c>
      <c r="H79" s="167">
        <v>553</v>
      </c>
      <c r="I79" s="169">
        <f t="shared" si="2"/>
        <v>553</v>
      </c>
      <c r="J79" s="154"/>
    </row>
    <row r="80" spans="1:10" x14ac:dyDescent="0.2">
      <c r="A80" s="3" t="s">
        <v>563</v>
      </c>
      <c r="B80" s="172" t="s">
        <v>185</v>
      </c>
      <c r="C80" s="172" t="s">
        <v>12</v>
      </c>
      <c r="D80" s="173" t="s">
        <v>173</v>
      </c>
      <c r="E80" s="174" t="s">
        <v>174</v>
      </c>
      <c r="F80" s="40">
        <v>353</v>
      </c>
      <c r="G80" s="182">
        <v>0</v>
      </c>
      <c r="H80" s="167">
        <v>2449</v>
      </c>
      <c r="I80" s="169">
        <f t="shared" si="2"/>
        <v>2449</v>
      </c>
      <c r="J80" s="154"/>
    </row>
    <row r="81" spans="1:10" x14ac:dyDescent="0.2">
      <c r="A81" s="3" t="s">
        <v>563</v>
      </c>
      <c r="B81" s="172" t="s">
        <v>84</v>
      </c>
      <c r="C81" s="172" t="s">
        <v>12</v>
      </c>
      <c r="D81" s="173" t="s">
        <v>173</v>
      </c>
      <c r="E81" s="174" t="s">
        <v>174</v>
      </c>
      <c r="F81" s="40">
        <v>353</v>
      </c>
      <c r="G81" s="182">
        <v>0</v>
      </c>
      <c r="H81" s="167">
        <v>228</v>
      </c>
      <c r="I81" s="169">
        <f t="shared" si="2"/>
        <v>228</v>
      </c>
      <c r="J81" s="154"/>
    </row>
    <row r="82" spans="1:10" x14ac:dyDescent="0.2">
      <c r="A82" s="3" t="s">
        <v>563</v>
      </c>
      <c r="B82" s="172" t="s">
        <v>87</v>
      </c>
      <c r="C82" s="172" t="s">
        <v>12</v>
      </c>
      <c r="D82" s="173" t="s">
        <v>173</v>
      </c>
      <c r="E82" s="174" t="s">
        <v>174</v>
      </c>
      <c r="F82" s="172">
        <v>353</v>
      </c>
      <c r="G82" s="182">
        <v>0</v>
      </c>
      <c r="H82" s="167">
        <v>161</v>
      </c>
      <c r="I82" s="167">
        <f t="shared" si="2"/>
        <v>161</v>
      </c>
      <c r="J82" s="154"/>
    </row>
    <row r="83" spans="1:10" x14ac:dyDescent="0.2">
      <c r="A83" s="3" t="s">
        <v>563</v>
      </c>
      <c r="B83" s="172" t="s">
        <v>76</v>
      </c>
      <c r="C83" s="172" t="s">
        <v>12</v>
      </c>
      <c r="D83" s="173" t="s">
        <v>173</v>
      </c>
      <c r="E83" s="174" t="s">
        <v>174</v>
      </c>
      <c r="F83" s="172">
        <v>353</v>
      </c>
      <c r="G83" s="182">
        <v>0</v>
      </c>
      <c r="H83" s="167">
        <v>176</v>
      </c>
      <c r="I83" s="167">
        <f t="shared" si="2"/>
        <v>176</v>
      </c>
      <c r="J83" s="154"/>
    </row>
    <row r="84" spans="1:10" x14ac:dyDescent="0.2">
      <c r="A84" s="3" t="s">
        <v>563</v>
      </c>
      <c r="B84" s="172" t="s">
        <v>76</v>
      </c>
      <c r="C84" s="172" t="s">
        <v>12</v>
      </c>
      <c r="D84" s="175" t="s">
        <v>175</v>
      </c>
      <c r="E84" s="174" t="s">
        <v>176</v>
      </c>
      <c r="F84" s="172">
        <v>363</v>
      </c>
      <c r="G84" s="182">
        <v>0</v>
      </c>
      <c r="H84" s="167">
        <v>554</v>
      </c>
      <c r="I84" s="167">
        <f t="shared" si="2"/>
        <v>554</v>
      </c>
      <c r="J84" s="154"/>
    </row>
    <row r="85" spans="1:10" x14ac:dyDescent="0.2">
      <c r="A85" s="3" t="s">
        <v>563</v>
      </c>
      <c r="B85" s="172" t="s">
        <v>79</v>
      </c>
      <c r="C85" s="172" t="s">
        <v>12</v>
      </c>
      <c r="D85" s="173" t="s">
        <v>173</v>
      </c>
      <c r="E85" s="174" t="s">
        <v>174</v>
      </c>
      <c r="F85" s="172">
        <v>353</v>
      </c>
      <c r="G85" s="182">
        <v>0</v>
      </c>
      <c r="H85" s="167">
        <v>150</v>
      </c>
      <c r="I85" s="167">
        <f t="shared" si="2"/>
        <v>150</v>
      </c>
      <c r="J85" s="154"/>
    </row>
    <row r="86" spans="1:10" x14ac:dyDescent="0.2">
      <c r="A86" s="3" t="s">
        <v>563</v>
      </c>
      <c r="B86" s="172" t="s">
        <v>80</v>
      </c>
      <c r="C86" s="172" t="s">
        <v>12</v>
      </c>
      <c r="D86" s="173" t="s">
        <v>173</v>
      </c>
      <c r="E86" s="174" t="s">
        <v>174</v>
      </c>
      <c r="F86" s="172">
        <v>353</v>
      </c>
      <c r="G86" s="182">
        <v>0</v>
      </c>
      <c r="H86" s="167">
        <v>88</v>
      </c>
      <c r="I86" s="167">
        <f t="shared" si="2"/>
        <v>88</v>
      </c>
      <c r="J86" s="154"/>
    </row>
    <row r="87" spans="1:10" x14ac:dyDescent="0.2">
      <c r="A87" s="3" t="s">
        <v>563</v>
      </c>
      <c r="B87" s="172" t="s">
        <v>81</v>
      </c>
      <c r="C87" s="172" t="s">
        <v>12</v>
      </c>
      <c r="D87" s="173" t="s">
        <v>173</v>
      </c>
      <c r="E87" s="174" t="s">
        <v>174</v>
      </c>
      <c r="F87" s="172">
        <v>353</v>
      </c>
      <c r="G87" s="182">
        <v>0</v>
      </c>
      <c r="H87" s="167">
        <v>63</v>
      </c>
      <c r="I87" s="167">
        <f t="shared" si="2"/>
        <v>63</v>
      </c>
      <c r="J87" s="154"/>
    </row>
    <row r="88" spans="1:10" x14ac:dyDescent="0.2">
      <c r="A88" s="3" t="s">
        <v>563</v>
      </c>
      <c r="B88" s="172" t="s">
        <v>82</v>
      </c>
      <c r="C88" s="172" t="s">
        <v>12</v>
      </c>
      <c r="D88" s="173" t="s">
        <v>173</v>
      </c>
      <c r="E88" s="174" t="s">
        <v>174</v>
      </c>
      <c r="F88" s="172">
        <v>353</v>
      </c>
      <c r="G88" s="182">
        <v>0</v>
      </c>
      <c r="H88" s="167">
        <v>44</v>
      </c>
      <c r="I88" s="167">
        <f t="shared" si="2"/>
        <v>44</v>
      </c>
      <c r="J88" s="154"/>
    </row>
    <row r="89" spans="1:10" x14ac:dyDescent="0.2">
      <c r="A89" s="3" t="s">
        <v>563</v>
      </c>
      <c r="B89" s="172" t="s">
        <v>83</v>
      </c>
      <c r="C89" s="172" t="s">
        <v>12</v>
      </c>
      <c r="D89" s="173" t="s">
        <v>173</v>
      </c>
      <c r="E89" s="174" t="s">
        <v>174</v>
      </c>
      <c r="F89" s="172">
        <v>353</v>
      </c>
      <c r="G89" s="182">
        <v>0</v>
      </c>
      <c r="H89" s="167">
        <v>797</v>
      </c>
      <c r="I89" s="167">
        <f t="shared" si="2"/>
        <v>797</v>
      </c>
      <c r="J89" s="154"/>
    </row>
    <row r="90" spans="1:10" x14ac:dyDescent="0.2">
      <c r="A90" s="3" t="s">
        <v>563</v>
      </c>
      <c r="B90" s="172" t="s">
        <v>83</v>
      </c>
      <c r="C90" s="172" t="s">
        <v>12</v>
      </c>
      <c r="D90" s="173" t="s">
        <v>67</v>
      </c>
      <c r="E90" s="174" t="s">
        <v>68</v>
      </c>
      <c r="F90" s="172">
        <v>345</v>
      </c>
      <c r="G90" s="182">
        <v>0</v>
      </c>
      <c r="H90" s="167">
        <v>45</v>
      </c>
      <c r="I90" s="167">
        <f t="shared" si="2"/>
        <v>45</v>
      </c>
      <c r="J90" s="154"/>
    </row>
    <row r="91" spans="1:10" x14ac:dyDescent="0.2">
      <c r="A91" s="3" t="s">
        <v>563</v>
      </c>
      <c r="B91" s="172" t="s">
        <v>71</v>
      </c>
      <c r="C91" s="172" t="s">
        <v>12</v>
      </c>
      <c r="D91" s="173" t="s">
        <v>173</v>
      </c>
      <c r="E91" s="174" t="s">
        <v>174</v>
      </c>
      <c r="F91" s="172">
        <v>353</v>
      </c>
      <c r="G91" s="182">
        <v>0</v>
      </c>
      <c r="H91" s="167">
        <v>638</v>
      </c>
      <c r="I91" s="167">
        <f t="shared" si="2"/>
        <v>638</v>
      </c>
      <c r="J91" s="154"/>
    </row>
    <row r="92" spans="1:10" x14ac:dyDescent="0.2">
      <c r="A92" s="3" t="s">
        <v>563</v>
      </c>
      <c r="B92" s="172" t="s">
        <v>71</v>
      </c>
      <c r="C92" s="172" t="s">
        <v>12</v>
      </c>
      <c r="D92" s="173" t="s">
        <v>67</v>
      </c>
      <c r="E92" s="174" t="s">
        <v>68</v>
      </c>
      <c r="F92" s="172">
        <v>345</v>
      </c>
      <c r="G92" s="182">
        <v>0</v>
      </c>
      <c r="H92" s="167">
        <v>11</v>
      </c>
      <c r="I92" s="167">
        <f t="shared" si="2"/>
        <v>11</v>
      </c>
      <c r="J92" s="154"/>
    </row>
    <row r="93" spans="1:10" x14ac:dyDescent="0.2">
      <c r="A93" s="3" t="s">
        <v>563</v>
      </c>
      <c r="B93" s="172" t="s">
        <v>74</v>
      </c>
      <c r="C93" s="172" t="s">
        <v>12</v>
      </c>
      <c r="D93" s="173" t="s">
        <v>173</v>
      </c>
      <c r="E93" s="174" t="s">
        <v>174</v>
      </c>
      <c r="F93" s="172">
        <v>353</v>
      </c>
      <c r="G93" s="182">
        <v>0</v>
      </c>
      <c r="H93" s="167">
        <v>564</v>
      </c>
      <c r="I93" s="167">
        <f t="shared" si="2"/>
        <v>564</v>
      </c>
      <c r="J93" s="154"/>
    </row>
    <row r="94" spans="1:10" s="20" customFormat="1" ht="15.75" x14ac:dyDescent="0.25">
      <c r="A94" s="80" t="s">
        <v>92</v>
      </c>
      <c r="B94" s="189" t="s">
        <v>500</v>
      </c>
      <c r="C94" s="189" t="s">
        <v>500</v>
      </c>
      <c r="D94" s="190" t="s">
        <v>500</v>
      </c>
      <c r="E94" s="191" t="s">
        <v>500</v>
      </c>
      <c r="F94" s="189" t="s">
        <v>500</v>
      </c>
      <c r="G94" s="188">
        <f>SUBTOTAL(109,localannualclaim17[Program 
Payments and Offsets])</f>
        <v>0</v>
      </c>
      <c r="H94" s="178">
        <f>SUBTOTAL(109,localannualclaim17[Interest
Payments and Offsets])</f>
        <v>15696</v>
      </c>
      <c r="I94" s="178">
        <f>SUBTOTAL(109,localannualclaim17[Total 
Payments])</f>
        <v>15696</v>
      </c>
    </row>
    <row r="95" spans="1:10" x14ac:dyDescent="0.2">
      <c r="A95" s="57" t="s">
        <v>508</v>
      </c>
      <c r="B95" s="3"/>
      <c r="C95" s="3"/>
      <c r="F95" s="3"/>
      <c r="G95" s="3"/>
      <c r="I95" s="3"/>
    </row>
    <row r="96" spans="1:10" ht="48" customHeight="1" x14ac:dyDescent="0.25">
      <c r="A96" s="176" t="s">
        <v>512</v>
      </c>
      <c r="B96" s="176" t="s">
        <v>35</v>
      </c>
      <c r="C96" s="176" t="s">
        <v>513</v>
      </c>
      <c r="D96" s="176" t="s">
        <v>36</v>
      </c>
      <c r="E96" s="176" t="s">
        <v>514</v>
      </c>
      <c r="F96" s="176" t="s">
        <v>515</v>
      </c>
      <c r="G96" s="176" t="s">
        <v>516</v>
      </c>
      <c r="H96" s="176" t="s">
        <v>37</v>
      </c>
      <c r="I96" s="176" t="s">
        <v>38</v>
      </c>
      <c r="J96" s="154"/>
    </row>
    <row r="97" spans="1:10" x14ac:dyDescent="0.2">
      <c r="A97" s="3" t="s">
        <v>518</v>
      </c>
      <c r="B97" s="172" t="s">
        <v>165</v>
      </c>
      <c r="C97" s="172" t="s">
        <v>160</v>
      </c>
      <c r="D97" s="19" t="s">
        <v>93</v>
      </c>
      <c r="E97" s="19" t="s">
        <v>94</v>
      </c>
      <c r="F97" s="172">
        <v>246</v>
      </c>
      <c r="G97" s="167">
        <v>1949892</v>
      </c>
      <c r="H97" s="182">
        <v>0</v>
      </c>
      <c r="I97" s="167">
        <f>G97</f>
        <v>1949892</v>
      </c>
      <c r="J97" s="154"/>
    </row>
    <row r="98" spans="1:10" s="20" customFormat="1" ht="15.75" x14ac:dyDescent="0.25">
      <c r="A98" s="80" t="s">
        <v>179</v>
      </c>
      <c r="B98" s="189" t="s">
        <v>500</v>
      </c>
      <c r="C98" s="189" t="s">
        <v>500</v>
      </c>
      <c r="D98" s="192" t="s">
        <v>500</v>
      </c>
      <c r="E98" s="192" t="s">
        <v>500</v>
      </c>
      <c r="F98" s="189" t="s">
        <v>500</v>
      </c>
      <c r="G98" s="178">
        <f>SUBTOTAL(109,localmotor20[Program 
Payments and Offsets])</f>
        <v>1949892</v>
      </c>
      <c r="H98" s="188">
        <f>SUBTOTAL(109,localmotor20[Interest
Payments and Offsets])</f>
        <v>0</v>
      </c>
      <c r="I98" s="178">
        <f>SUBTOTAL(109,localmotor20[Total 
Payments])</f>
        <v>1949892</v>
      </c>
    </row>
    <row r="99" spans="1:10" x14ac:dyDescent="0.2">
      <c r="A99" s="57" t="s">
        <v>508</v>
      </c>
      <c r="B99" s="3"/>
      <c r="C99" s="3"/>
      <c r="F99" s="3"/>
      <c r="G99" s="3"/>
      <c r="I99" s="3"/>
    </row>
    <row r="100" spans="1:10" ht="48" customHeight="1" x14ac:dyDescent="0.25">
      <c r="A100" s="176" t="s">
        <v>512</v>
      </c>
      <c r="B100" s="176" t="s">
        <v>35</v>
      </c>
      <c r="C100" s="176" t="s">
        <v>513</v>
      </c>
      <c r="D100" s="176" t="s">
        <v>36</v>
      </c>
      <c r="E100" s="176" t="s">
        <v>514</v>
      </c>
      <c r="F100" s="176" t="s">
        <v>515</v>
      </c>
      <c r="G100" s="176" t="s">
        <v>516</v>
      </c>
      <c r="H100" s="176" t="s">
        <v>37</v>
      </c>
      <c r="I100" s="176" t="s">
        <v>38</v>
      </c>
      <c r="J100" s="154"/>
    </row>
    <row r="101" spans="1:10" x14ac:dyDescent="0.2">
      <c r="A101" s="3" t="s">
        <v>518</v>
      </c>
      <c r="B101" s="40" t="s">
        <v>16</v>
      </c>
      <c r="C101" s="40" t="s">
        <v>15</v>
      </c>
      <c r="D101" s="3" t="s">
        <v>93</v>
      </c>
      <c r="E101" s="3" t="s">
        <v>94</v>
      </c>
      <c r="F101" s="40">
        <v>246</v>
      </c>
      <c r="G101" s="167">
        <v>90011</v>
      </c>
      <c r="H101" s="177">
        <v>0</v>
      </c>
      <c r="I101" s="169">
        <f>G101</f>
        <v>90011</v>
      </c>
      <c r="J101" s="154"/>
    </row>
    <row r="102" spans="1:10" s="1" customFormat="1" ht="15.75" x14ac:dyDescent="0.25">
      <c r="A102" s="80" t="s">
        <v>95</v>
      </c>
      <c r="B102" s="180" t="s">
        <v>500</v>
      </c>
      <c r="C102" s="180" t="s">
        <v>500</v>
      </c>
      <c r="D102" s="74" t="s">
        <v>500</v>
      </c>
      <c r="E102" s="74" t="s">
        <v>500</v>
      </c>
      <c r="F102" s="180" t="s">
        <v>500</v>
      </c>
      <c r="G102" s="178">
        <f>SUBTOTAL(109,localmotor19[Program 
Payments and Offsets])</f>
        <v>90011</v>
      </c>
      <c r="H102" s="179">
        <f>SUBTOTAL(109,localmotor19[Interest
Payments and Offsets])</f>
        <v>0</v>
      </c>
      <c r="I102" s="187">
        <f>SUBTOTAL(109,localmotor19[Total 
Payments])</f>
        <v>90011</v>
      </c>
    </row>
    <row r="103" spans="1:10" customFormat="1" ht="15.75" x14ac:dyDescent="0.25">
      <c r="A103" s="57" t="s">
        <v>508</v>
      </c>
    </row>
    <row r="104" spans="1:10" ht="47.25" x14ac:dyDescent="0.25">
      <c r="A104" s="176" t="s">
        <v>512</v>
      </c>
      <c r="B104" s="176" t="s">
        <v>35</v>
      </c>
      <c r="C104" s="176" t="s">
        <v>513</v>
      </c>
      <c r="D104" s="176" t="s">
        <v>36</v>
      </c>
      <c r="E104" s="176" t="s">
        <v>514</v>
      </c>
      <c r="F104" s="176" t="s">
        <v>515</v>
      </c>
      <c r="G104" s="176" t="s">
        <v>516</v>
      </c>
      <c r="H104" s="176" t="s">
        <v>37</v>
      </c>
      <c r="I104" s="176" t="s">
        <v>38</v>
      </c>
    </row>
    <row r="105" spans="1:10" x14ac:dyDescent="0.2">
      <c r="A105" s="3" t="s">
        <v>519</v>
      </c>
      <c r="B105" s="40" t="s">
        <v>165</v>
      </c>
      <c r="C105" s="40" t="s">
        <v>161</v>
      </c>
      <c r="D105" s="3" t="s">
        <v>96</v>
      </c>
      <c r="E105" s="3" t="s">
        <v>97</v>
      </c>
      <c r="F105" s="40">
        <v>121</v>
      </c>
      <c r="G105" s="167">
        <v>46000</v>
      </c>
      <c r="H105" s="177">
        <v>0</v>
      </c>
      <c r="I105" s="169">
        <f>G105</f>
        <v>46000</v>
      </c>
    </row>
    <row r="106" spans="1:10" s="1" customFormat="1" ht="15.75" x14ac:dyDescent="0.25">
      <c r="A106" s="80" t="s">
        <v>521</v>
      </c>
      <c r="B106" s="180" t="s">
        <v>500</v>
      </c>
      <c r="C106" s="180" t="s">
        <v>500</v>
      </c>
      <c r="D106" s="74" t="s">
        <v>500</v>
      </c>
      <c r="E106" s="74" t="s">
        <v>500</v>
      </c>
      <c r="F106" s="180" t="s">
        <v>500</v>
      </c>
      <c r="G106" s="178">
        <f>SUBTOTAL(109,localpest20[Program 
Payments and Offsets])</f>
        <v>46000</v>
      </c>
      <c r="H106" s="179">
        <f>SUBTOTAL(109,localpest20[Interest
Payments and Offsets])</f>
        <v>0</v>
      </c>
      <c r="I106" s="187">
        <f>SUBTOTAL(109,localpest20[Total 
Payments])</f>
        <v>46000</v>
      </c>
    </row>
    <row r="107" spans="1:10" customFormat="1" ht="15.75" x14ac:dyDescent="0.25">
      <c r="A107" s="57" t="s">
        <v>508</v>
      </c>
    </row>
    <row r="108" spans="1:10" customFormat="1" ht="47.25" x14ac:dyDescent="0.25">
      <c r="A108" s="176" t="s">
        <v>512</v>
      </c>
      <c r="B108" s="176" t="s">
        <v>35</v>
      </c>
      <c r="C108" s="176" t="s">
        <v>513</v>
      </c>
      <c r="D108" s="176" t="s">
        <v>36</v>
      </c>
      <c r="E108" s="176" t="s">
        <v>514</v>
      </c>
      <c r="F108" s="176" t="s">
        <v>515</v>
      </c>
      <c r="G108" s="176" t="s">
        <v>516</v>
      </c>
      <c r="H108" s="176" t="s">
        <v>37</v>
      </c>
      <c r="I108" s="176" t="s">
        <v>38</v>
      </c>
    </row>
    <row r="109" spans="1:10" x14ac:dyDescent="0.2">
      <c r="A109" s="3" t="s">
        <v>563</v>
      </c>
      <c r="B109" s="57" t="s">
        <v>500</v>
      </c>
      <c r="C109" s="40" t="s">
        <v>159</v>
      </c>
      <c r="D109" s="194" t="s">
        <v>500</v>
      </c>
      <c r="E109" s="194" t="s">
        <v>500</v>
      </c>
      <c r="F109" s="194" t="s">
        <v>500</v>
      </c>
      <c r="G109" s="167">
        <v>41146995</v>
      </c>
      <c r="H109" s="182">
        <v>0</v>
      </c>
      <c r="I109" s="167">
        <v>41146995</v>
      </c>
    </row>
    <row r="110" spans="1:10" x14ac:dyDescent="0.2">
      <c r="A110" s="3" t="s">
        <v>563</v>
      </c>
      <c r="B110" s="194" t="s">
        <v>500</v>
      </c>
      <c r="C110" s="40" t="s">
        <v>7</v>
      </c>
      <c r="D110" s="194" t="s">
        <v>500</v>
      </c>
      <c r="E110" s="194" t="s">
        <v>500</v>
      </c>
      <c r="F110" s="194" t="s">
        <v>500</v>
      </c>
      <c r="G110" s="167">
        <v>878718</v>
      </c>
      <c r="H110" s="167">
        <v>1015288</v>
      </c>
      <c r="I110" s="167">
        <v>1894006</v>
      </c>
    </row>
    <row r="111" spans="1:10" x14ac:dyDescent="0.2">
      <c r="A111" s="3" t="s">
        <v>563</v>
      </c>
      <c r="B111" s="194" t="s">
        <v>500</v>
      </c>
      <c r="C111" s="40" t="s">
        <v>10</v>
      </c>
      <c r="D111" s="194" t="s">
        <v>500</v>
      </c>
      <c r="E111" s="194" t="s">
        <v>500</v>
      </c>
      <c r="F111" s="194" t="s">
        <v>500</v>
      </c>
      <c r="G111" s="167">
        <v>664</v>
      </c>
      <c r="H111" s="167">
        <v>54230</v>
      </c>
      <c r="I111" s="167">
        <v>54894</v>
      </c>
    </row>
    <row r="112" spans="1:10" x14ac:dyDescent="0.2">
      <c r="A112" s="3" t="s">
        <v>563</v>
      </c>
      <c r="B112" s="194" t="s">
        <v>500</v>
      </c>
      <c r="C112" s="172" t="s">
        <v>12</v>
      </c>
      <c r="D112" s="194" t="s">
        <v>500</v>
      </c>
      <c r="E112" s="194" t="s">
        <v>500</v>
      </c>
      <c r="F112" s="194" t="s">
        <v>500</v>
      </c>
      <c r="G112" s="182">
        <v>0</v>
      </c>
      <c r="H112" s="167">
        <v>15696</v>
      </c>
      <c r="I112" s="167">
        <v>15696</v>
      </c>
    </row>
    <row r="113" spans="1:9" x14ac:dyDescent="0.2">
      <c r="A113" s="3" t="s">
        <v>518</v>
      </c>
      <c r="B113" s="194" t="s">
        <v>500</v>
      </c>
      <c r="C113" s="40" t="s">
        <v>160</v>
      </c>
      <c r="D113" s="194" t="s">
        <v>500</v>
      </c>
      <c r="E113" s="194" t="s">
        <v>500</v>
      </c>
      <c r="F113" s="194" t="s">
        <v>500</v>
      </c>
      <c r="G113" s="167">
        <v>1949892</v>
      </c>
      <c r="H113" s="182">
        <v>0</v>
      </c>
      <c r="I113" s="167">
        <v>1949892</v>
      </c>
    </row>
    <row r="114" spans="1:9" x14ac:dyDescent="0.2">
      <c r="A114" s="3" t="s">
        <v>518</v>
      </c>
      <c r="B114" s="194" t="s">
        <v>500</v>
      </c>
      <c r="C114" s="40" t="s">
        <v>15</v>
      </c>
      <c r="D114" s="194" t="s">
        <v>500</v>
      </c>
      <c r="E114" s="194" t="s">
        <v>500</v>
      </c>
      <c r="F114" s="194" t="s">
        <v>500</v>
      </c>
      <c r="G114" s="167">
        <v>90011</v>
      </c>
      <c r="H114" s="182">
        <v>0</v>
      </c>
      <c r="I114" s="167">
        <v>90011</v>
      </c>
    </row>
    <row r="115" spans="1:9" x14ac:dyDescent="0.2">
      <c r="A115" s="3" t="s">
        <v>519</v>
      </c>
      <c r="B115" s="194" t="s">
        <v>500</v>
      </c>
      <c r="C115" s="40" t="s">
        <v>161</v>
      </c>
      <c r="D115" s="194" t="s">
        <v>500</v>
      </c>
      <c r="E115" s="194" t="s">
        <v>500</v>
      </c>
      <c r="F115" s="194" t="s">
        <v>500</v>
      </c>
      <c r="G115" s="167">
        <v>46000</v>
      </c>
      <c r="H115" s="182">
        <v>0</v>
      </c>
      <c r="I115" s="167">
        <v>46000</v>
      </c>
    </row>
    <row r="116" spans="1:9" s="20" customFormat="1" ht="15.75" x14ac:dyDescent="0.25">
      <c r="A116" s="80" t="s">
        <v>511</v>
      </c>
      <c r="B116" s="180" t="s">
        <v>500</v>
      </c>
      <c r="C116" s="180" t="s">
        <v>500</v>
      </c>
      <c r="D116" s="195" t="s">
        <v>500</v>
      </c>
      <c r="E116" s="195" t="s">
        <v>500</v>
      </c>
      <c r="F116" s="195" t="s">
        <v>500</v>
      </c>
      <c r="G116" s="178">
        <f>SUBTOTAL(109,localgrandtotala1[Program 
Payments and Offsets])</f>
        <v>44112280</v>
      </c>
      <c r="H116" s="178">
        <f>SUBTOTAL(109,localgrandtotala1[Interest
Payments and Offsets])</f>
        <v>1085214</v>
      </c>
      <c r="I116" s="178">
        <f>SUBTOTAL(109,localgrandtotala1[Total 
Payments])</f>
        <v>45197494</v>
      </c>
    </row>
  </sheetData>
  <printOptions horizontalCentered="1" gridLines="1"/>
  <pageMargins left="0.25" right="0.25" top="1.1000000000000001" bottom="0.75" header="0.3" footer="0.3"/>
  <pageSetup scale="55" fitToHeight="0" orientation="landscape" r:id="rId1"/>
  <headerFooter>
    <oddHeader>&amp;C&amp;"-,Bold"&amp;12State Controller's Office
Schedule A1: Detail of State-Mandated Program Payments by Fiscal Year
As of August 31, 2020</oddHeader>
    <oddFooter>&amp;LSchedule A1: Detail of State-Mandated Program Payments by Fiscal Year
Local Agencies&amp;RPage &amp;P of &amp;N</oddFooter>
  </headerFooter>
  <rowBreaks count="1" manualBreakCount="1">
    <brk id="95" max="8" man="1"/>
  </rowBreaks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41"/>
  <sheetViews>
    <sheetView zoomScaleNormal="100" workbookViewId="0"/>
  </sheetViews>
  <sheetFormatPr defaultColWidth="8.7109375" defaultRowHeight="15" x14ac:dyDescent="0.2"/>
  <cols>
    <col min="1" max="1" width="55.28515625" style="3" customWidth="1"/>
    <col min="2" max="2" width="11.7109375" style="40" customWidth="1"/>
    <col min="3" max="3" width="25" style="40" customWidth="1"/>
    <col min="4" max="4" width="90" style="3" customWidth="1"/>
    <col min="5" max="5" width="15.28515625" style="3" customWidth="1"/>
    <col min="6" max="6" width="15.140625" style="40" customWidth="1"/>
    <col min="7" max="9" width="15.140625" style="3" customWidth="1"/>
    <col min="10" max="16384" width="8.7109375" style="3"/>
  </cols>
  <sheetData>
    <row r="1" spans="1:10" s="200" customFormat="1" ht="54" customHeight="1" x14ac:dyDescent="0.25">
      <c r="A1" s="198" t="s">
        <v>517</v>
      </c>
      <c r="B1" s="198"/>
      <c r="C1" s="199"/>
      <c r="D1" s="199"/>
      <c r="E1" s="199"/>
      <c r="F1" s="199"/>
      <c r="G1" s="199"/>
      <c r="H1" s="199"/>
      <c r="I1" s="199"/>
    </row>
    <row r="2" spans="1:10" customFormat="1" ht="48" customHeight="1" x14ac:dyDescent="0.25">
      <c r="A2" s="176" t="s">
        <v>512</v>
      </c>
      <c r="B2" s="203" t="s">
        <v>35</v>
      </c>
      <c r="C2" s="176" t="s">
        <v>513</v>
      </c>
      <c r="D2" s="176" t="s">
        <v>36</v>
      </c>
      <c r="E2" s="176" t="s">
        <v>514</v>
      </c>
      <c r="F2" s="204" t="s">
        <v>515</v>
      </c>
      <c r="G2" s="176" t="s">
        <v>516</v>
      </c>
      <c r="H2" s="176" t="s">
        <v>37</v>
      </c>
      <c r="I2" s="176" t="s">
        <v>100</v>
      </c>
    </row>
    <row r="3" spans="1:10" x14ac:dyDescent="0.2">
      <c r="A3" s="3" t="s">
        <v>522</v>
      </c>
      <c r="B3" s="40" t="s">
        <v>165</v>
      </c>
      <c r="C3" s="40" t="s">
        <v>162</v>
      </c>
      <c r="D3" s="3" t="s">
        <v>101</v>
      </c>
      <c r="E3" s="3" t="s">
        <v>102</v>
      </c>
      <c r="F3" s="40">
        <v>250</v>
      </c>
      <c r="G3" s="169">
        <v>1000</v>
      </c>
      <c r="H3" s="177">
        <v>0</v>
      </c>
      <c r="I3" s="169">
        <f>G3</f>
        <v>1000</v>
      </c>
      <c r="J3" s="163"/>
    </row>
    <row r="4" spans="1:10" ht="15.6" customHeight="1" x14ac:dyDescent="0.2">
      <c r="A4" s="3" t="s">
        <v>522</v>
      </c>
      <c r="B4" s="40" t="s">
        <v>165</v>
      </c>
      <c r="C4" s="40" t="s">
        <v>162</v>
      </c>
      <c r="D4" s="196" t="s">
        <v>103</v>
      </c>
      <c r="E4" s="3" t="s">
        <v>104</v>
      </c>
      <c r="F4" s="40">
        <v>272</v>
      </c>
      <c r="G4" s="169">
        <v>1000</v>
      </c>
      <c r="H4" s="177">
        <v>0</v>
      </c>
      <c r="I4" s="169">
        <f t="shared" ref="I4:I33" si="0">G4</f>
        <v>1000</v>
      </c>
      <c r="J4" s="163"/>
    </row>
    <row r="5" spans="1:10" ht="15" customHeight="1" x14ac:dyDescent="0.2">
      <c r="A5" s="3" t="s">
        <v>522</v>
      </c>
      <c r="B5" s="40" t="s">
        <v>165</v>
      </c>
      <c r="C5" s="40" t="s">
        <v>162</v>
      </c>
      <c r="D5" s="3" t="s">
        <v>105</v>
      </c>
      <c r="E5" s="3" t="s">
        <v>106</v>
      </c>
      <c r="F5" s="40">
        <v>369</v>
      </c>
      <c r="G5" s="169">
        <v>1000</v>
      </c>
      <c r="H5" s="177">
        <v>0</v>
      </c>
      <c r="I5" s="169">
        <f t="shared" si="0"/>
        <v>1000</v>
      </c>
      <c r="J5" s="163"/>
    </row>
    <row r="6" spans="1:10" x14ac:dyDescent="0.2">
      <c r="A6" s="3" t="s">
        <v>522</v>
      </c>
      <c r="B6" s="40" t="s">
        <v>165</v>
      </c>
      <c r="C6" s="40" t="s">
        <v>162</v>
      </c>
      <c r="D6" s="3" t="s">
        <v>107</v>
      </c>
      <c r="E6" s="3" t="s">
        <v>108</v>
      </c>
      <c r="F6" s="40">
        <v>370</v>
      </c>
      <c r="G6" s="169">
        <v>1000</v>
      </c>
      <c r="H6" s="177">
        <v>0</v>
      </c>
      <c r="I6" s="169">
        <f t="shared" si="0"/>
        <v>1000</v>
      </c>
      <c r="J6" s="163"/>
    </row>
    <row r="7" spans="1:10" x14ac:dyDescent="0.2">
      <c r="A7" s="3" t="s">
        <v>522</v>
      </c>
      <c r="B7" s="40" t="s">
        <v>165</v>
      </c>
      <c r="C7" s="40" t="s">
        <v>162</v>
      </c>
      <c r="D7" s="3" t="s">
        <v>109</v>
      </c>
      <c r="E7" s="3" t="s">
        <v>110</v>
      </c>
      <c r="F7" s="40">
        <v>172</v>
      </c>
      <c r="G7" s="169">
        <v>1000</v>
      </c>
      <c r="H7" s="177">
        <v>0</v>
      </c>
      <c r="I7" s="169">
        <f t="shared" si="0"/>
        <v>1000</v>
      </c>
      <c r="J7" s="163"/>
    </row>
    <row r="8" spans="1:10" x14ac:dyDescent="0.2">
      <c r="A8" s="3" t="s">
        <v>522</v>
      </c>
      <c r="B8" s="40" t="s">
        <v>165</v>
      </c>
      <c r="C8" s="40" t="s">
        <v>162</v>
      </c>
      <c r="D8" s="3" t="s">
        <v>111</v>
      </c>
      <c r="E8" s="3" t="s">
        <v>112</v>
      </c>
      <c r="F8" s="40">
        <v>330</v>
      </c>
      <c r="G8" s="169">
        <v>1000</v>
      </c>
      <c r="H8" s="177">
        <v>0</v>
      </c>
      <c r="I8" s="169">
        <f t="shared" si="0"/>
        <v>1000</v>
      </c>
      <c r="J8" s="163"/>
    </row>
    <row r="9" spans="1:10" x14ac:dyDescent="0.2">
      <c r="A9" s="3" t="s">
        <v>522</v>
      </c>
      <c r="B9" s="40" t="s">
        <v>165</v>
      </c>
      <c r="C9" s="40" t="s">
        <v>162</v>
      </c>
      <c r="D9" s="3" t="s">
        <v>113</v>
      </c>
      <c r="E9" s="3" t="s">
        <v>114</v>
      </c>
      <c r="F9" s="40">
        <v>209</v>
      </c>
      <c r="G9" s="169">
        <v>1000</v>
      </c>
      <c r="H9" s="177">
        <v>0</v>
      </c>
      <c r="I9" s="169">
        <f t="shared" si="0"/>
        <v>1000</v>
      </c>
      <c r="J9" s="163"/>
    </row>
    <row r="10" spans="1:10" x14ac:dyDescent="0.2">
      <c r="A10" s="3" t="s">
        <v>522</v>
      </c>
      <c r="B10" s="40" t="s">
        <v>165</v>
      </c>
      <c r="C10" s="40" t="s">
        <v>162</v>
      </c>
      <c r="D10" s="3" t="s">
        <v>115</v>
      </c>
      <c r="E10" s="3" t="s">
        <v>116</v>
      </c>
      <c r="F10" s="40">
        <v>11</v>
      </c>
      <c r="G10" s="169">
        <v>1000</v>
      </c>
      <c r="H10" s="177">
        <v>0</v>
      </c>
      <c r="I10" s="169">
        <f t="shared" si="0"/>
        <v>1000</v>
      </c>
      <c r="J10" s="163"/>
    </row>
    <row r="11" spans="1:10" x14ac:dyDescent="0.2">
      <c r="A11" s="3" t="s">
        <v>522</v>
      </c>
      <c r="B11" s="40" t="s">
        <v>165</v>
      </c>
      <c r="C11" s="40" t="s">
        <v>162</v>
      </c>
      <c r="D11" s="3" t="s">
        <v>117</v>
      </c>
      <c r="E11" s="3" t="s">
        <v>118</v>
      </c>
      <c r="F11" s="40">
        <v>313</v>
      </c>
      <c r="G11" s="169">
        <v>1000</v>
      </c>
      <c r="H11" s="177">
        <v>0</v>
      </c>
      <c r="I11" s="169">
        <f t="shared" si="0"/>
        <v>1000</v>
      </c>
      <c r="J11" s="163"/>
    </row>
    <row r="12" spans="1:10" x14ac:dyDescent="0.2">
      <c r="A12" s="3" t="s">
        <v>522</v>
      </c>
      <c r="B12" s="40" t="s">
        <v>165</v>
      </c>
      <c r="C12" s="40" t="s">
        <v>162</v>
      </c>
      <c r="D12" s="3" t="s">
        <v>119</v>
      </c>
      <c r="E12" s="3" t="s">
        <v>120</v>
      </c>
      <c r="F12" s="40">
        <v>183</v>
      </c>
      <c r="G12" s="169">
        <v>1000</v>
      </c>
      <c r="H12" s="177">
        <v>0</v>
      </c>
      <c r="I12" s="169">
        <f t="shared" si="0"/>
        <v>1000</v>
      </c>
      <c r="J12" s="163"/>
    </row>
    <row r="13" spans="1:10" x14ac:dyDescent="0.2">
      <c r="A13" s="3" t="s">
        <v>522</v>
      </c>
      <c r="B13" s="40" t="s">
        <v>165</v>
      </c>
      <c r="C13" s="40" t="s">
        <v>162</v>
      </c>
      <c r="D13" s="3" t="s">
        <v>121</v>
      </c>
      <c r="E13" s="3" t="s">
        <v>122</v>
      </c>
      <c r="F13" s="40">
        <v>251</v>
      </c>
      <c r="G13" s="169">
        <v>1000</v>
      </c>
      <c r="H13" s="177">
        <v>0</v>
      </c>
      <c r="I13" s="169">
        <f t="shared" si="0"/>
        <v>1000</v>
      </c>
      <c r="J13" s="163"/>
    </row>
    <row r="14" spans="1:10" x14ac:dyDescent="0.2">
      <c r="A14" s="3" t="s">
        <v>522</v>
      </c>
      <c r="B14" s="40" t="s">
        <v>165</v>
      </c>
      <c r="C14" s="40" t="s">
        <v>162</v>
      </c>
      <c r="D14" s="3" t="s">
        <v>123</v>
      </c>
      <c r="E14" s="3" t="s">
        <v>124</v>
      </c>
      <c r="F14" s="40">
        <v>192</v>
      </c>
      <c r="G14" s="169">
        <v>1000</v>
      </c>
      <c r="H14" s="177">
        <v>0</v>
      </c>
      <c r="I14" s="169">
        <f t="shared" si="0"/>
        <v>1000</v>
      </c>
      <c r="J14" s="163"/>
    </row>
    <row r="15" spans="1:10" x14ac:dyDescent="0.2">
      <c r="A15" s="3" t="s">
        <v>522</v>
      </c>
      <c r="B15" s="40" t="s">
        <v>165</v>
      </c>
      <c r="C15" s="40" t="s">
        <v>162</v>
      </c>
      <c r="D15" s="3" t="s">
        <v>125</v>
      </c>
      <c r="E15" s="3" t="s">
        <v>126</v>
      </c>
      <c r="F15" s="40">
        <v>297</v>
      </c>
      <c r="G15" s="169">
        <v>1000</v>
      </c>
      <c r="H15" s="177">
        <v>0</v>
      </c>
      <c r="I15" s="169">
        <f t="shared" si="0"/>
        <v>1000</v>
      </c>
      <c r="J15" s="163"/>
    </row>
    <row r="16" spans="1:10" x14ac:dyDescent="0.2">
      <c r="A16" s="3" t="s">
        <v>522</v>
      </c>
      <c r="B16" s="40" t="s">
        <v>165</v>
      </c>
      <c r="C16" s="40" t="s">
        <v>162</v>
      </c>
      <c r="D16" s="3" t="s">
        <v>127</v>
      </c>
      <c r="E16" s="3" t="s">
        <v>128</v>
      </c>
      <c r="F16" s="40">
        <v>166</v>
      </c>
      <c r="G16" s="169">
        <v>1000</v>
      </c>
      <c r="H16" s="177">
        <v>0</v>
      </c>
      <c r="I16" s="169">
        <f t="shared" si="0"/>
        <v>1000</v>
      </c>
      <c r="J16" s="163"/>
    </row>
    <row r="17" spans="1:10" x14ac:dyDescent="0.2">
      <c r="A17" s="3" t="s">
        <v>522</v>
      </c>
      <c r="B17" s="40" t="s">
        <v>165</v>
      </c>
      <c r="C17" s="40" t="s">
        <v>162</v>
      </c>
      <c r="D17" s="3" t="s">
        <v>129</v>
      </c>
      <c r="E17" s="3" t="s">
        <v>130</v>
      </c>
      <c r="F17" s="40">
        <v>368</v>
      </c>
      <c r="G17" s="169">
        <v>1000</v>
      </c>
      <c r="H17" s="177">
        <v>0</v>
      </c>
      <c r="I17" s="169">
        <f t="shared" si="0"/>
        <v>1000</v>
      </c>
      <c r="J17" s="163"/>
    </row>
    <row r="18" spans="1:10" x14ac:dyDescent="0.2">
      <c r="A18" s="3" t="s">
        <v>522</v>
      </c>
      <c r="B18" s="40" t="s">
        <v>165</v>
      </c>
      <c r="C18" s="40" t="s">
        <v>162</v>
      </c>
      <c r="D18" s="3" t="s">
        <v>131</v>
      </c>
      <c r="E18" s="3" t="s">
        <v>132</v>
      </c>
      <c r="F18" s="40">
        <v>357</v>
      </c>
      <c r="G18" s="169">
        <v>1000</v>
      </c>
      <c r="H18" s="177">
        <v>0</v>
      </c>
      <c r="I18" s="169">
        <f t="shared" si="0"/>
        <v>1000</v>
      </c>
      <c r="J18" s="163"/>
    </row>
    <row r="19" spans="1:10" x14ac:dyDescent="0.2">
      <c r="A19" s="3" t="s">
        <v>522</v>
      </c>
      <c r="B19" s="40" t="s">
        <v>165</v>
      </c>
      <c r="C19" s="40" t="s">
        <v>162</v>
      </c>
      <c r="D19" s="3" t="s">
        <v>133</v>
      </c>
      <c r="E19" s="3" t="s">
        <v>134</v>
      </c>
      <c r="F19" s="40">
        <v>32</v>
      </c>
      <c r="G19" s="169">
        <v>1000</v>
      </c>
      <c r="H19" s="177">
        <v>0</v>
      </c>
      <c r="I19" s="169">
        <f t="shared" si="0"/>
        <v>1000</v>
      </c>
      <c r="J19" s="163"/>
    </row>
    <row r="20" spans="1:10" x14ac:dyDescent="0.2">
      <c r="A20" s="3" t="s">
        <v>522</v>
      </c>
      <c r="B20" s="40" t="s">
        <v>165</v>
      </c>
      <c r="C20" s="40" t="s">
        <v>162</v>
      </c>
      <c r="D20" s="3" t="s">
        <v>135</v>
      </c>
      <c r="E20" s="3" t="s">
        <v>136</v>
      </c>
      <c r="F20" s="40">
        <v>153</v>
      </c>
      <c r="G20" s="169">
        <v>1000</v>
      </c>
      <c r="H20" s="177">
        <v>0</v>
      </c>
      <c r="I20" s="169">
        <f t="shared" si="0"/>
        <v>1000</v>
      </c>
      <c r="J20" s="163"/>
    </row>
    <row r="21" spans="1:10" x14ac:dyDescent="0.2">
      <c r="A21" s="3" t="s">
        <v>522</v>
      </c>
      <c r="B21" s="40" t="s">
        <v>165</v>
      </c>
      <c r="C21" s="40" t="s">
        <v>162</v>
      </c>
      <c r="D21" s="3" t="s">
        <v>137</v>
      </c>
      <c r="E21" s="3" t="s">
        <v>138</v>
      </c>
      <c r="F21" s="40">
        <v>155</v>
      </c>
      <c r="G21" s="169">
        <v>1000</v>
      </c>
      <c r="H21" s="177">
        <v>0</v>
      </c>
      <c r="I21" s="169">
        <f t="shared" si="0"/>
        <v>1000</v>
      </c>
      <c r="J21" s="163"/>
    </row>
    <row r="22" spans="1:10" ht="15" customHeight="1" x14ac:dyDescent="0.2">
      <c r="A22" s="3" t="s">
        <v>522</v>
      </c>
      <c r="B22" s="40" t="s">
        <v>165</v>
      </c>
      <c r="C22" s="40" t="s">
        <v>162</v>
      </c>
      <c r="D22" s="196" t="s">
        <v>139</v>
      </c>
      <c r="E22" s="3" t="s">
        <v>140</v>
      </c>
      <c r="F22" s="40">
        <v>276</v>
      </c>
      <c r="G22" s="169">
        <v>1000</v>
      </c>
      <c r="H22" s="177">
        <v>0</v>
      </c>
      <c r="I22" s="169">
        <f t="shared" si="0"/>
        <v>1000</v>
      </c>
      <c r="J22" s="163"/>
    </row>
    <row r="23" spans="1:10" x14ac:dyDescent="0.2">
      <c r="A23" s="3" t="s">
        <v>522</v>
      </c>
      <c r="B23" s="40" t="s">
        <v>165</v>
      </c>
      <c r="C23" s="40" t="s">
        <v>162</v>
      </c>
      <c r="D23" s="3" t="s">
        <v>141</v>
      </c>
      <c r="E23" s="3" t="s">
        <v>126</v>
      </c>
      <c r="F23" s="40">
        <v>48</v>
      </c>
      <c r="G23" s="169">
        <v>1000</v>
      </c>
      <c r="H23" s="177">
        <v>0</v>
      </c>
      <c r="I23" s="169">
        <f t="shared" si="0"/>
        <v>1000</v>
      </c>
      <c r="J23" s="163"/>
    </row>
    <row r="24" spans="1:10" ht="15" customHeight="1" x14ac:dyDescent="0.2">
      <c r="A24" s="3" t="s">
        <v>522</v>
      </c>
      <c r="B24" s="40" t="s">
        <v>165</v>
      </c>
      <c r="C24" s="40" t="s">
        <v>162</v>
      </c>
      <c r="D24" s="196" t="s">
        <v>142</v>
      </c>
      <c r="E24" s="3" t="s">
        <v>143</v>
      </c>
      <c r="F24" s="40">
        <v>292</v>
      </c>
      <c r="G24" s="169">
        <v>1000</v>
      </c>
      <c r="H24" s="177">
        <v>0</v>
      </c>
      <c r="I24" s="169">
        <f t="shared" si="0"/>
        <v>1000</v>
      </c>
      <c r="J24" s="163"/>
    </row>
    <row r="25" spans="1:10" x14ac:dyDescent="0.2">
      <c r="A25" s="3" t="s">
        <v>522</v>
      </c>
      <c r="B25" s="40" t="s">
        <v>165</v>
      </c>
      <c r="C25" s="40" t="s">
        <v>162</v>
      </c>
      <c r="D25" s="3" t="s">
        <v>144</v>
      </c>
      <c r="E25" s="3" t="s">
        <v>145</v>
      </c>
      <c r="F25" s="40">
        <v>350</v>
      </c>
      <c r="G25" s="169">
        <v>1000</v>
      </c>
      <c r="H25" s="177">
        <v>0</v>
      </c>
      <c r="I25" s="169">
        <f t="shared" si="0"/>
        <v>1000</v>
      </c>
      <c r="J25" s="163"/>
    </row>
    <row r="26" spans="1:10" x14ac:dyDescent="0.2">
      <c r="A26" s="3" t="s">
        <v>522</v>
      </c>
      <c r="B26" s="40" t="s">
        <v>165</v>
      </c>
      <c r="C26" s="40" t="s">
        <v>162</v>
      </c>
      <c r="D26" s="3" t="s">
        <v>146</v>
      </c>
      <c r="E26" s="3" t="s">
        <v>147</v>
      </c>
      <c r="F26" s="40">
        <v>173</v>
      </c>
      <c r="G26" s="169">
        <v>1000</v>
      </c>
      <c r="H26" s="177">
        <v>0</v>
      </c>
      <c r="I26" s="169">
        <f t="shared" si="0"/>
        <v>1000</v>
      </c>
      <c r="J26" s="163"/>
    </row>
    <row r="27" spans="1:10" x14ac:dyDescent="0.2">
      <c r="A27" s="3" t="s">
        <v>522</v>
      </c>
      <c r="B27" s="40" t="s">
        <v>165</v>
      </c>
      <c r="C27" s="40" t="s">
        <v>162</v>
      </c>
      <c r="D27" s="3" t="s">
        <v>148</v>
      </c>
      <c r="E27" s="3" t="s">
        <v>149</v>
      </c>
      <c r="F27" s="40">
        <v>244</v>
      </c>
      <c r="G27" s="169">
        <v>1000</v>
      </c>
      <c r="H27" s="177">
        <v>0</v>
      </c>
      <c r="I27" s="169">
        <f t="shared" si="0"/>
        <v>1000</v>
      </c>
      <c r="J27" s="163"/>
    </row>
    <row r="28" spans="1:10" x14ac:dyDescent="0.2">
      <c r="A28" s="3" t="s">
        <v>522</v>
      </c>
      <c r="B28" s="40" t="s">
        <v>165</v>
      </c>
      <c r="C28" s="40" t="s">
        <v>162</v>
      </c>
      <c r="D28" s="3" t="s">
        <v>150</v>
      </c>
      <c r="E28" s="3" t="s">
        <v>151</v>
      </c>
      <c r="F28" s="40">
        <v>171</v>
      </c>
      <c r="G28" s="169">
        <v>1000</v>
      </c>
      <c r="H28" s="177">
        <v>0</v>
      </c>
      <c r="I28" s="169">
        <f t="shared" si="0"/>
        <v>1000</v>
      </c>
      <c r="J28" s="163"/>
    </row>
    <row r="29" spans="1:10" x14ac:dyDescent="0.2">
      <c r="A29" s="3" t="s">
        <v>522</v>
      </c>
      <c r="B29" s="40" t="s">
        <v>165</v>
      </c>
      <c r="C29" s="40" t="s">
        <v>162</v>
      </c>
      <c r="D29" s="3" t="s">
        <v>152</v>
      </c>
      <c r="E29" s="3" t="s">
        <v>149</v>
      </c>
      <c r="F29" s="40">
        <v>258</v>
      </c>
      <c r="G29" s="169">
        <v>1000</v>
      </c>
      <c r="H29" s="177">
        <v>0</v>
      </c>
      <c r="I29" s="169">
        <f t="shared" si="0"/>
        <v>1000</v>
      </c>
      <c r="J29" s="163"/>
    </row>
    <row r="30" spans="1:10" x14ac:dyDescent="0.2">
      <c r="A30" s="3" t="s">
        <v>522</v>
      </c>
      <c r="B30" s="40" t="s">
        <v>165</v>
      </c>
      <c r="C30" s="40" t="s">
        <v>162</v>
      </c>
      <c r="D30" s="3" t="s">
        <v>153</v>
      </c>
      <c r="E30" s="3" t="s">
        <v>126</v>
      </c>
      <c r="F30" s="40">
        <v>260</v>
      </c>
      <c r="G30" s="169">
        <v>1000</v>
      </c>
      <c r="H30" s="177">
        <v>0</v>
      </c>
      <c r="I30" s="169">
        <f t="shared" si="0"/>
        <v>1000</v>
      </c>
      <c r="J30" s="163"/>
    </row>
    <row r="31" spans="1:10" x14ac:dyDescent="0.2">
      <c r="A31" s="3" t="s">
        <v>522</v>
      </c>
      <c r="B31" s="40" t="s">
        <v>165</v>
      </c>
      <c r="C31" s="40" t="s">
        <v>162</v>
      </c>
      <c r="D31" s="3" t="s">
        <v>154</v>
      </c>
      <c r="E31" s="3" t="s">
        <v>155</v>
      </c>
      <c r="F31" s="40">
        <v>367</v>
      </c>
      <c r="G31" s="169">
        <v>1000</v>
      </c>
      <c r="H31" s="177">
        <v>0</v>
      </c>
      <c r="I31" s="169">
        <f t="shared" si="0"/>
        <v>1000</v>
      </c>
      <c r="J31" s="163"/>
    </row>
    <row r="32" spans="1:10" x14ac:dyDescent="0.2">
      <c r="A32" s="3" t="s">
        <v>522</v>
      </c>
      <c r="B32" s="40" t="s">
        <v>165</v>
      </c>
      <c r="C32" s="40" t="s">
        <v>162</v>
      </c>
      <c r="D32" s="3" t="s">
        <v>180</v>
      </c>
      <c r="E32" s="3" t="s">
        <v>181</v>
      </c>
      <c r="F32" s="40">
        <v>346</v>
      </c>
      <c r="G32" s="169">
        <v>1000</v>
      </c>
      <c r="H32" s="177">
        <v>0</v>
      </c>
      <c r="I32" s="169">
        <f t="shared" si="0"/>
        <v>1000</v>
      </c>
      <c r="J32" s="163"/>
    </row>
    <row r="33" spans="1:10" x14ac:dyDescent="0.2">
      <c r="A33" s="3" t="s">
        <v>522</v>
      </c>
      <c r="B33" s="40" t="s">
        <v>165</v>
      </c>
      <c r="C33" s="40" t="s">
        <v>162</v>
      </c>
      <c r="D33" s="3" t="s">
        <v>156</v>
      </c>
      <c r="E33" s="3" t="s">
        <v>157</v>
      </c>
      <c r="F33" s="40">
        <v>351</v>
      </c>
      <c r="G33" s="169">
        <v>1000</v>
      </c>
      <c r="H33" s="177">
        <v>0</v>
      </c>
      <c r="I33" s="169">
        <f t="shared" si="0"/>
        <v>1000</v>
      </c>
      <c r="J33" s="163"/>
    </row>
    <row r="34" spans="1:10" s="20" customFormat="1" ht="15.75" x14ac:dyDescent="0.25">
      <c r="A34" s="80" t="s">
        <v>158</v>
      </c>
      <c r="B34" s="180" t="s">
        <v>500</v>
      </c>
      <c r="C34" s="180" t="s">
        <v>500</v>
      </c>
      <c r="D34" s="74" t="s">
        <v>500</v>
      </c>
      <c r="E34" s="74" t="s">
        <v>500</v>
      </c>
      <c r="F34" s="180" t="s">
        <v>500</v>
      </c>
      <c r="G34" s="187">
        <f>SUBTOTAL(109,schoolannualclaim20[Program 
Payments and Offsets])</f>
        <v>31000</v>
      </c>
      <c r="H34" s="179">
        <f>SUBTOTAL(109,schoolannualclaim20[Interest
Payments and Offsets])</f>
        <v>0</v>
      </c>
      <c r="I34" s="187">
        <f>SUBTOTAL(109,schoolannualclaim20[Total
Payments])</f>
        <v>31000</v>
      </c>
    </row>
    <row r="35" spans="1:10" x14ac:dyDescent="0.2">
      <c r="A35" s="57" t="s">
        <v>508</v>
      </c>
      <c r="B35" s="3"/>
      <c r="C35" s="3"/>
      <c r="F35" s="3"/>
    </row>
    <row r="36" spans="1:10" ht="48" customHeight="1" x14ac:dyDescent="0.25">
      <c r="A36" s="176" t="s">
        <v>512</v>
      </c>
      <c r="B36" s="203" t="s">
        <v>35</v>
      </c>
      <c r="C36" s="176" t="s">
        <v>513</v>
      </c>
      <c r="D36" s="176" t="s">
        <v>36</v>
      </c>
      <c r="E36" s="176" t="s">
        <v>514</v>
      </c>
      <c r="F36" s="204" t="s">
        <v>515</v>
      </c>
      <c r="G36" s="176" t="s">
        <v>516</v>
      </c>
      <c r="H36" s="176" t="s">
        <v>37</v>
      </c>
      <c r="I36" s="176" t="s">
        <v>100</v>
      </c>
    </row>
    <row r="37" spans="1:10" x14ac:dyDescent="0.2">
      <c r="A37" s="3" t="s">
        <v>6</v>
      </c>
      <c r="B37" s="57" t="s">
        <v>500</v>
      </c>
      <c r="C37" s="57" t="s">
        <v>500</v>
      </c>
      <c r="D37" s="57" t="s">
        <v>500</v>
      </c>
      <c r="E37" s="57" t="s">
        <v>500</v>
      </c>
      <c r="F37" s="57" t="s">
        <v>500</v>
      </c>
      <c r="G37" s="169">
        <v>31000</v>
      </c>
      <c r="H37" s="177">
        <v>0</v>
      </c>
      <c r="I37" s="169">
        <v>31000</v>
      </c>
    </row>
    <row r="38" spans="1:10" x14ac:dyDescent="0.2">
      <c r="A38" s="3" t="s">
        <v>24</v>
      </c>
      <c r="B38" s="57" t="s">
        <v>500</v>
      </c>
      <c r="C38" s="57" t="s">
        <v>500</v>
      </c>
      <c r="D38" s="57" t="s">
        <v>500</v>
      </c>
      <c r="E38" s="57" t="s">
        <v>500</v>
      </c>
      <c r="F38" s="57" t="s">
        <v>500</v>
      </c>
      <c r="G38" s="169">
        <v>44112280</v>
      </c>
      <c r="H38" s="169">
        <v>1085214</v>
      </c>
      <c r="I38" s="169">
        <v>45197494</v>
      </c>
    </row>
    <row r="39" spans="1:10" s="20" customFormat="1" ht="17.45" customHeight="1" x14ac:dyDescent="0.25">
      <c r="A39" s="392" t="s">
        <v>574</v>
      </c>
      <c r="B39" s="74" t="s">
        <v>572</v>
      </c>
      <c r="C39" s="74" t="s">
        <v>500</v>
      </c>
      <c r="D39" s="74" t="s">
        <v>500</v>
      </c>
      <c r="E39" s="74" t="s">
        <v>500</v>
      </c>
      <c r="F39" s="74" t="s">
        <v>500</v>
      </c>
      <c r="G39" s="187">
        <f>SUBTOTAL(109,schoolgrandtotala1[Program 
Payments and Offsets])</f>
        <v>44143280</v>
      </c>
      <c r="H39" s="187">
        <f>SUBTOTAL(109,schoolgrandtotala1[Interest
Payments and Offsets])</f>
        <v>1085214</v>
      </c>
      <c r="I39" s="187">
        <f>SUBTOTAL(109,schoolgrandtotala1[Total
Payments])</f>
        <v>45228494</v>
      </c>
    </row>
    <row r="40" spans="1:10" ht="15.6" customHeight="1" x14ac:dyDescent="0.2">
      <c r="A40" s="391" t="s">
        <v>573</v>
      </c>
      <c r="B40" s="154"/>
      <c r="C40" s="154"/>
      <c r="D40" s="154"/>
      <c r="E40" s="154"/>
      <c r="F40" s="154"/>
      <c r="G40" s="205"/>
      <c r="H40" s="205"/>
      <c r="I40" s="205"/>
    </row>
    <row r="41" spans="1:10" ht="18.600000000000001" customHeight="1" x14ac:dyDescent="0.2">
      <c r="A41" s="390" t="s">
        <v>523</v>
      </c>
      <c r="B41" s="154"/>
      <c r="C41" s="154"/>
      <c r="D41" s="154"/>
      <c r="E41" s="154"/>
      <c r="F41" s="154"/>
      <c r="G41" s="205"/>
      <c r="H41" s="205"/>
      <c r="I41" s="205"/>
    </row>
  </sheetData>
  <hyperlinks>
    <hyperlink ref="A39" location="'Schedule A1-Schools '!A40" tooltip="This hyperlink will take you to the referenced footnote-footnote5" display="Grand Total Local Agencies and School Districts 5"/>
  </hyperlinks>
  <printOptions horizontalCentered="1" gridLines="1"/>
  <pageMargins left="0.25" right="0.25" top="1.1000000000000001" bottom="0.75" header="0.3" footer="0.3"/>
  <pageSetup scale="51" fitToHeight="0" orientation="landscape" r:id="rId1"/>
  <headerFooter>
    <oddHeader>&amp;C&amp;"-,Bold"&amp;12State Controller's Office
Schedule A1: Detail of State-Mandated Program Payments by Fiscal Year
As of August 31, 2020</oddHeader>
    <oddFooter>&amp;LSchedule A1: Detail of State-Mandated Program Payments by Fiscal Year
School Districts&amp;RPage &amp;P of &amp;N</oddFooter>
  </headerFooter>
  <legacy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131"/>
  <sheetViews>
    <sheetView zoomScaleNormal="100" zoomScalePageLayoutView="80" workbookViewId="0"/>
  </sheetViews>
  <sheetFormatPr defaultColWidth="9.140625" defaultRowHeight="15" x14ac:dyDescent="0.2"/>
  <cols>
    <col min="1" max="1" width="82.85546875" style="314" customWidth="1"/>
    <col min="2" max="2" width="2.5703125" style="314" customWidth="1"/>
    <col min="3" max="3" width="23.85546875" style="314" customWidth="1"/>
    <col min="4" max="4" width="15.5703125" style="314" customWidth="1"/>
    <col min="5" max="6" width="18.7109375" style="314" customWidth="1"/>
    <col min="7" max="7" width="2.5703125" style="314" customWidth="1"/>
    <col min="8" max="8" width="18.7109375" style="314" customWidth="1"/>
    <col min="9" max="9" width="2.5703125" style="314" customWidth="1"/>
    <col min="10" max="10" width="18.7109375" style="314" customWidth="1"/>
    <col min="11" max="11" width="2.5703125" style="314" customWidth="1"/>
    <col min="12" max="13" width="18.7109375" style="314" customWidth="1"/>
    <col min="14" max="14" width="2.5703125" style="314" customWidth="1"/>
    <col min="15" max="15" width="18.7109375" style="314" customWidth="1"/>
    <col min="16" max="16" width="2.5703125" style="313" customWidth="1"/>
    <col min="17" max="18" width="10.28515625" style="313" customWidth="1"/>
    <col min="19" max="21" width="10.28515625" style="314" customWidth="1"/>
    <col min="22" max="16384" width="9.140625" style="314"/>
  </cols>
  <sheetData>
    <row r="1" spans="1:20" s="201" customFormat="1" ht="54" customHeight="1" x14ac:dyDescent="0.25">
      <c r="A1" s="198" t="s">
        <v>549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</row>
    <row r="2" spans="1:20" s="272" customFormat="1" ht="60" customHeight="1" x14ac:dyDescent="0.25">
      <c r="A2" s="329" t="s">
        <v>186</v>
      </c>
      <c r="B2" s="330" t="s">
        <v>532</v>
      </c>
      <c r="C2" s="204" t="s">
        <v>98</v>
      </c>
      <c r="D2" s="204" t="s">
        <v>187</v>
      </c>
      <c r="E2" s="331" t="s">
        <v>188</v>
      </c>
      <c r="F2" s="204" t="s">
        <v>442</v>
      </c>
      <c r="G2" s="330" t="s">
        <v>544</v>
      </c>
      <c r="H2" s="397" t="s">
        <v>666</v>
      </c>
      <c r="I2" s="330" t="s">
        <v>558</v>
      </c>
      <c r="J2" s="397" t="s">
        <v>581</v>
      </c>
      <c r="K2" s="330" t="s">
        <v>559</v>
      </c>
      <c r="L2" s="204" t="s">
        <v>189</v>
      </c>
      <c r="M2" s="397" t="s">
        <v>667</v>
      </c>
      <c r="N2" s="330" t="s">
        <v>560</v>
      </c>
      <c r="O2" s="397" t="s">
        <v>582</v>
      </c>
    </row>
    <row r="3" spans="1:20" ht="15.6" customHeight="1" x14ac:dyDescent="0.25">
      <c r="A3" s="326" t="s">
        <v>190</v>
      </c>
      <c r="B3" s="347" t="s">
        <v>500</v>
      </c>
      <c r="C3" s="348" t="s">
        <v>500</v>
      </c>
      <c r="D3" s="348" t="s">
        <v>500</v>
      </c>
      <c r="E3" s="348" t="s">
        <v>500</v>
      </c>
      <c r="F3" s="348" t="s">
        <v>500</v>
      </c>
      <c r="G3" s="349" t="s">
        <v>500</v>
      </c>
      <c r="H3" s="348" t="s">
        <v>500</v>
      </c>
      <c r="I3" s="348" t="s">
        <v>500</v>
      </c>
      <c r="J3" s="348" t="s">
        <v>500</v>
      </c>
      <c r="K3" s="348" t="s">
        <v>500</v>
      </c>
      <c r="L3" s="348" t="s">
        <v>500</v>
      </c>
      <c r="M3" s="348" t="s">
        <v>500</v>
      </c>
      <c r="N3" s="348" t="s">
        <v>500</v>
      </c>
      <c r="O3" s="348" t="s">
        <v>500</v>
      </c>
      <c r="P3" s="317"/>
      <c r="Q3" s="317"/>
    </row>
    <row r="4" spans="1:20" ht="15.6" customHeight="1" x14ac:dyDescent="0.2">
      <c r="A4" s="328" t="s">
        <v>6</v>
      </c>
      <c r="B4" s="349" t="s">
        <v>500</v>
      </c>
      <c r="C4" s="318" t="s">
        <v>191</v>
      </c>
      <c r="D4" s="318" t="s">
        <v>554</v>
      </c>
      <c r="E4" s="319">
        <v>595676025</v>
      </c>
      <c r="F4" s="319">
        <v>252671853</v>
      </c>
      <c r="G4" s="396">
        <v>1</v>
      </c>
      <c r="H4" s="319">
        <v>343004172</v>
      </c>
      <c r="I4" s="350" t="s">
        <v>500</v>
      </c>
      <c r="J4" s="319">
        <v>49872281</v>
      </c>
      <c r="K4" s="350" t="s">
        <v>500</v>
      </c>
      <c r="L4" s="319">
        <v>47870176</v>
      </c>
      <c r="M4" s="319">
        <v>2002105</v>
      </c>
      <c r="N4" s="350" t="s">
        <v>500</v>
      </c>
      <c r="O4" s="319">
        <v>341002067</v>
      </c>
      <c r="P4" s="317"/>
      <c r="Q4" s="317"/>
    </row>
    <row r="5" spans="1:20" s="231" customFormat="1" ht="15.6" customHeight="1" x14ac:dyDescent="0.25">
      <c r="A5" s="80" t="s">
        <v>23</v>
      </c>
      <c r="B5" s="74" t="s">
        <v>500</v>
      </c>
      <c r="C5" s="74" t="s">
        <v>500</v>
      </c>
      <c r="D5" s="74" t="s">
        <v>500</v>
      </c>
      <c r="E5" s="78">
        <f>SUBTOTAL(109,scheduleblocalfunded[Program
Costs])</f>
        <v>595676025</v>
      </c>
      <c r="F5" s="78">
        <f>SUBTOTAL(109,scheduleblocalfunded[Less: Net Payments and Offsets])</f>
        <v>252671853</v>
      </c>
      <c r="G5" s="74" t="s">
        <v>500</v>
      </c>
      <c r="H5" s="78">
        <f>SUBTOTAL(109,scheduleblocalfunded[Accounts Payable
Balance 4])</f>
        <v>343004172</v>
      </c>
      <c r="I5" s="74" t="s">
        <v>500</v>
      </c>
      <c r="J5" s="78">
        <f>SUBTOTAL(109,scheduleblocalfunded[Established
Accounts 
Receivable 5])</f>
        <v>49872281</v>
      </c>
      <c r="K5" s="74" t="s">
        <v>500</v>
      </c>
      <c r="L5" s="78">
        <f>SUBTOTAL(109,scheduleblocalfunded[Less: Recovered
Amount])</f>
        <v>47870176</v>
      </c>
      <c r="M5" s="78">
        <f>SUBTOTAL(109,scheduleblocalfunded[Accounts Receivable
Balance 6])</f>
        <v>2002105</v>
      </c>
      <c r="N5" s="74" t="s">
        <v>500</v>
      </c>
      <c r="O5" s="78">
        <f>SUBTOTAL(109,scheduleblocalfunded[Net
Balance 7 ])</f>
        <v>341002067</v>
      </c>
      <c r="P5" s="332"/>
      <c r="Q5" s="332"/>
      <c r="R5" s="333"/>
    </row>
    <row r="6" spans="1:20" ht="15.6" customHeight="1" x14ac:dyDescent="0.2">
      <c r="A6" s="360" t="s">
        <v>508</v>
      </c>
      <c r="B6" s="328"/>
      <c r="C6" s="318"/>
      <c r="D6" s="318"/>
      <c r="E6" s="319"/>
      <c r="F6" s="319"/>
      <c r="G6" s="320"/>
      <c r="H6" s="319"/>
      <c r="I6" s="319"/>
      <c r="J6" s="319"/>
      <c r="K6" s="319"/>
      <c r="L6" s="319"/>
      <c r="M6" s="319"/>
      <c r="N6" s="319"/>
      <c r="O6" s="319"/>
      <c r="P6" s="317"/>
      <c r="Q6" s="317"/>
    </row>
    <row r="7" spans="1:20" ht="60" customHeight="1" x14ac:dyDescent="0.25">
      <c r="A7" s="329" t="s">
        <v>186</v>
      </c>
      <c r="B7" s="330" t="s">
        <v>532</v>
      </c>
      <c r="C7" s="204" t="s">
        <v>98</v>
      </c>
      <c r="D7" s="204" t="s">
        <v>187</v>
      </c>
      <c r="E7" s="331" t="s">
        <v>188</v>
      </c>
      <c r="F7" s="204" t="s">
        <v>442</v>
      </c>
      <c r="G7" s="330" t="s">
        <v>544</v>
      </c>
      <c r="H7" s="204" t="s">
        <v>548</v>
      </c>
      <c r="I7" s="330" t="s">
        <v>567</v>
      </c>
      <c r="J7" s="204" t="s">
        <v>547</v>
      </c>
      <c r="K7" s="330" t="s">
        <v>568</v>
      </c>
      <c r="L7" s="204" t="s">
        <v>189</v>
      </c>
      <c r="M7" s="204" t="s">
        <v>546</v>
      </c>
      <c r="N7" s="330" t="s">
        <v>583</v>
      </c>
      <c r="O7" s="204" t="s">
        <v>545</v>
      </c>
      <c r="P7" s="317"/>
      <c r="Q7" s="317"/>
    </row>
    <row r="8" spans="1:20" ht="15.6" customHeight="1" x14ac:dyDescent="0.25">
      <c r="A8" s="326" t="s">
        <v>192</v>
      </c>
      <c r="B8" s="347" t="s">
        <v>500</v>
      </c>
      <c r="C8" s="352" t="s">
        <v>500</v>
      </c>
      <c r="D8" s="353" t="s">
        <v>500</v>
      </c>
      <c r="E8" s="351" t="s">
        <v>500</v>
      </c>
      <c r="F8" s="351" t="s">
        <v>500</v>
      </c>
      <c r="G8" s="349" t="s">
        <v>500</v>
      </c>
      <c r="H8" s="351" t="s">
        <v>500</v>
      </c>
      <c r="I8" s="351" t="s">
        <v>500</v>
      </c>
      <c r="J8" s="351" t="s">
        <v>500</v>
      </c>
      <c r="K8" s="351" t="s">
        <v>500</v>
      </c>
      <c r="L8" s="351" t="s">
        <v>500</v>
      </c>
      <c r="M8" s="351" t="s">
        <v>500</v>
      </c>
      <c r="N8" s="351" t="s">
        <v>500</v>
      </c>
      <c r="O8" s="351" t="s">
        <v>500</v>
      </c>
      <c r="P8" s="317"/>
      <c r="Q8" s="317"/>
    </row>
    <row r="9" spans="1:20" ht="15.6" customHeight="1" x14ac:dyDescent="0.2">
      <c r="A9" s="328" t="s">
        <v>24</v>
      </c>
      <c r="B9" s="349" t="s">
        <v>500</v>
      </c>
      <c r="C9" s="318" t="s">
        <v>191</v>
      </c>
      <c r="D9" s="318" t="s">
        <v>554</v>
      </c>
      <c r="E9" s="321">
        <v>6329695133</v>
      </c>
      <c r="F9" s="321">
        <v>5392595992</v>
      </c>
      <c r="G9" s="396">
        <v>2</v>
      </c>
      <c r="H9" s="319">
        <v>937099141</v>
      </c>
      <c r="I9" s="350" t="s">
        <v>500</v>
      </c>
      <c r="J9" s="319">
        <v>194845243</v>
      </c>
      <c r="K9" s="350" t="s">
        <v>500</v>
      </c>
      <c r="L9" s="319">
        <v>143140043</v>
      </c>
      <c r="M9" s="319">
        <v>51705200</v>
      </c>
      <c r="N9" s="350" t="s">
        <v>500</v>
      </c>
      <c r="O9" s="319">
        <v>885393941</v>
      </c>
      <c r="P9" s="317"/>
      <c r="Q9" s="317"/>
      <c r="R9" s="313" t="s">
        <v>194</v>
      </c>
    </row>
    <row r="10" spans="1:20" ht="15.6" customHeight="1" x14ac:dyDescent="0.2">
      <c r="A10" s="328" t="s">
        <v>28</v>
      </c>
      <c r="B10" s="349" t="s">
        <v>500</v>
      </c>
      <c r="C10" s="318" t="s">
        <v>193</v>
      </c>
      <c r="D10" s="318" t="s">
        <v>554</v>
      </c>
      <c r="E10" s="321">
        <v>175289735</v>
      </c>
      <c r="F10" s="321">
        <v>160578500</v>
      </c>
      <c r="G10" s="396">
        <v>3</v>
      </c>
      <c r="H10" s="319">
        <v>14711235</v>
      </c>
      <c r="I10" s="350" t="s">
        <v>500</v>
      </c>
      <c r="J10" s="319">
        <v>26713478</v>
      </c>
      <c r="K10" s="350" t="s">
        <v>500</v>
      </c>
      <c r="L10" s="319">
        <v>13922060</v>
      </c>
      <c r="M10" s="319">
        <v>12791418</v>
      </c>
      <c r="N10" s="350" t="s">
        <v>500</v>
      </c>
      <c r="O10" s="319">
        <v>1919817</v>
      </c>
      <c r="P10" s="317"/>
      <c r="Q10" s="317"/>
    </row>
    <row r="11" spans="1:20" s="231" customFormat="1" ht="15.6" customHeight="1" x14ac:dyDescent="0.25">
      <c r="A11" s="20" t="s">
        <v>33</v>
      </c>
      <c r="B11" s="58" t="s">
        <v>500</v>
      </c>
      <c r="C11" s="354" t="s">
        <v>500</v>
      </c>
      <c r="D11" s="58" t="s">
        <v>500</v>
      </c>
      <c r="E11" s="335">
        <f>SUBTOTAL(109,schedulebsdandccdfunded[Program
Costs])</f>
        <v>6504984868</v>
      </c>
      <c r="F11" s="335">
        <f>SUBTOTAL(109,schedulebsdandccdfunded[Less: Net Payments and Offsets])</f>
        <v>5553174492</v>
      </c>
      <c r="G11" s="349" t="s">
        <v>500</v>
      </c>
      <c r="H11" s="60">
        <f>SUBTOTAL(109,schedulebsdandccdfunded[Accounts Payable
Balance 4])</f>
        <v>951810376</v>
      </c>
      <c r="I11" s="58" t="s">
        <v>500</v>
      </c>
      <c r="J11" s="60">
        <f>SUBTOTAL(109,schedulebsdandccdfunded[Established
Accounts 
Receivable 5])</f>
        <v>221558721</v>
      </c>
      <c r="K11" s="58" t="s">
        <v>500</v>
      </c>
      <c r="L11" s="60">
        <f>SUBTOTAL(109,schedulebsdandccdfunded[Less: Recovered
Amount])</f>
        <v>157062103</v>
      </c>
      <c r="M11" s="60">
        <f>SUBTOTAL(109,schedulebsdandccdfunded[Accounts Receivable
Balance 6])</f>
        <v>64496618</v>
      </c>
      <c r="N11" s="58" t="s">
        <v>500</v>
      </c>
      <c r="O11" s="60">
        <f>SUBTOTAL(109,schedulebsdandccdfunded[Net
Balance 7 ])</f>
        <v>887313758</v>
      </c>
      <c r="P11" s="332"/>
      <c r="Q11" s="332"/>
      <c r="R11" s="333"/>
      <c r="S11" s="333"/>
      <c r="T11" s="333"/>
    </row>
    <row r="12" spans="1:20" s="231" customFormat="1" ht="15.6" customHeight="1" x14ac:dyDescent="0.25">
      <c r="A12" s="360" t="s">
        <v>508</v>
      </c>
      <c r="B12" s="20"/>
      <c r="C12" s="232"/>
      <c r="D12" s="20"/>
      <c r="E12" s="335"/>
      <c r="F12" s="335"/>
      <c r="G12" s="20"/>
      <c r="H12" s="60"/>
      <c r="I12" s="20"/>
      <c r="J12" s="60"/>
      <c r="K12" s="20"/>
      <c r="L12" s="60"/>
      <c r="M12" s="60"/>
      <c r="N12" s="20"/>
      <c r="O12" s="60"/>
      <c r="P12" s="332"/>
      <c r="Q12" s="332"/>
      <c r="R12" s="333"/>
      <c r="S12" s="333"/>
      <c r="T12" s="333"/>
    </row>
    <row r="13" spans="1:20" s="231" customFormat="1" ht="60" customHeight="1" x14ac:dyDescent="0.25">
      <c r="A13" s="204" t="s">
        <v>186</v>
      </c>
      <c r="B13" s="330" t="s">
        <v>532</v>
      </c>
      <c r="C13" s="204" t="s">
        <v>98</v>
      </c>
      <c r="D13" s="204" t="s">
        <v>187</v>
      </c>
      <c r="E13" s="331" t="s">
        <v>188</v>
      </c>
      <c r="F13" s="204" t="s">
        <v>442</v>
      </c>
      <c r="G13" s="330" t="s">
        <v>544</v>
      </c>
      <c r="H13" s="204" t="s">
        <v>548</v>
      </c>
      <c r="I13" s="330" t="s">
        <v>567</v>
      </c>
      <c r="J13" s="204" t="s">
        <v>547</v>
      </c>
      <c r="K13" s="330" t="s">
        <v>568</v>
      </c>
      <c r="L13" s="204" t="s">
        <v>189</v>
      </c>
      <c r="M13" s="204" t="s">
        <v>546</v>
      </c>
      <c r="N13" s="330" t="s">
        <v>583</v>
      </c>
      <c r="O13" s="204" t="s">
        <v>545</v>
      </c>
      <c r="P13" s="332"/>
      <c r="Q13" s="332"/>
      <c r="R13" s="333"/>
      <c r="S13" s="333"/>
      <c r="T13" s="333"/>
    </row>
    <row r="14" spans="1:20" ht="15.6" customHeight="1" x14ac:dyDescent="0.2">
      <c r="A14" s="272" t="s">
        <v>6</v>
      </c>
      <c r="B14" s="57" t="s">
        <v>500</v>
      </c>
      <c r="C14" s="57" t="s">
        <v>500</v>
      </c>
      <c r="D14" s="230" t="s">
        <v>554</v>
      </c>
      <c r="E14" s="334">
        <v>595676025</v>
      </c>
      <c r="F14" s="334">
        <v>252671853</v>
      </c>
      <c r="G14" s="57" t="s">
        <v>500</v>
      </c>
      <c r="H14" s="246">
        <v>343004172</v>
      </c>
      <c r="I14" s="57" t="s">
        <v>500</v>
      </c>
      <c r="J14" s="246">
        <v>49872281</v>
      </c>
      <c r="K14" s="57" t="s">
        <v>500</v>
      </c>
      <c r="L14" s="246">
        <v>47870176</v>
      </c>
      <c r="M14" s="246">
        <v>2002105</v>
      </c>
      <c r="N14" s="57" t="s">
        <v>500</v>
      </c>
      <c r="O14" s="246">
        <v>341002067</v>
      </c>
      <c r="P14" s="317"/>
      <c r="Q14" s="317"/>
      <c r="S14" s="313"/>
      <c r="T14" s="313"/>
    </row>
    <row r="15" spans="1:20" s="316" customFormat="1" ht="15.6" customHeight="1" x14ac:dyDescent="0.2">
      <c r="A15" s="327" t="s">
        <v>24</v>
      </c>
      <c r="B15" s="57" t="s">
        <v>500</v>
      </c>
      <c r="C15" s="57" t="s">
        <v>500</v>
      </c>
      <c r="D15" s="230" t="s">
        <v>554</v>
      </c>
      <c r="E15" s="321">
        <v>6329695133</v>
      </c>
      <c r="F15" s="319">
        <v>5392595992</v>
      </c>
      <c r="G15" s="57" t="s">
        <v>500</v>
      </c>
      <c r="H15" s="319">
        <v>937099141</v>
      </c>
      <c r="I15" s="350" t="s">
        <v>500</v>
      </c>
      <c r="J15" s="319">
        <v>194845243</v>
      </c>
      <c r="K15" s="350" t="s">
        <v>500</v>
      </c>
      <c r="L15" s="321">
        <v>143140043</v>
      </c>
      <c r="M15" s="321">
        <v>51705200</v>
      </c>
      <c r="N15" s="351" t="s">
        <v>500</v>
      </c>
      <c r="O15" s="321">
        <v>885393941</v>
      </c>
      <c r="P15" s="322"/>
      <c r="Q15" s="322"/>
      <c r="R15" s="315"/>
      <c r="S15" s="315" t="s">
        <v>194</v>
      </c>
      <c r="T15" s="315"/>
    </row>
    <row r="16" spans="1:20" s="337" customFormat="1" ht="15.6" customHeight="1" x14ac:dyDescent="0.2">
      <c r="A16" s="328" t="s">
        <v>28</v>
      </c>
      <c r="B16" s="57" t="s">
        <v>500</v>
      </c>
      <c r="C16" s="57" t="s">
        <v>500</v>
      </c>
      <c r="D16" s="230" t="s">
        <v>554</v>
      </c>
      <c r="E16" s="321">
        <v>175289735</v>
      </c>
      <c r="F16" s="319">
        <v>160578500</v>
      </c>
      <c r="G16" s="57" t="s">
        <v>500</v>
      </c>
      <c r="H16" s="319">
        <v>14711235</v>
      </c>
      <c r="I16" s="350" t="s">
        <v>500</v>
      </c>
      <c r="J16" s="319">
        <v>26713478</v>
      </c>
      <c r="K16" s="350" t="s">
        <v>500</v>
      </c>
      <c r="L16" s="321">
        <v>13922060</v>
      </c>
      <c r="M16" s="321">
        <v>12791418</v>
      </c>
      <c r="N16" s="351" t="s">
        <v>500</v>
      </c>
      <c r="O16" s="321">
        <v>1919817</v>
      </c>
      <c r="P16" s="322"/>
      <c r="Q16" s="322"/>
      <c r="R16" s="322"/>
      <c r="S16" s="322"/>
      <c r="T16" s="322"/>
    </row>
    <row r="17" spans="1:21" s="339" customFormat="1" ht="17.100000000000001" customHeight="1" x14ac:dyDescent="0.25">
      <c r="A17" s="463" t="s">
        <v>661</v>
      </c>
      <c r="B17" s="74" t="s">
        <v>562</v>
      </c>
      <c r="C17" s="74" t="s">
        <v>500</v>
      </c>
      <c r="D17" s="312" t="s">
        <v>500</v>
      </c>
      <c r="E17" s="340">
        <f>SUBTOTAL(109,fundedmandatesgrandtotal[Program
Costs])</f>
        <v>7100660893</v>
      </c>
      <c r="F17" s="78">
        <f>SUBTOTAL(109,fundedmandatesgrandtotal[Less: Net Payments and Offsets])</f>
        <v>5805846345</v>
      </c>
      <c r="G17" s="312" t="s">
        <v>500</v>
      </c>
      <c r="H17" s="78">
        <f>SUBTOTAL(109,fundedmandatesgrandtotal[Accounts Payable
Balance 4])</f>
        <v>1294814548</v>
      </c>
      <c r="I17" s="312" t="s">
        <v>500</v>
      </c>
      <c r="J17" s="78">
        <f>SUBTOTAL(109,fundedmandatesgrandtotal[Established
Accounts 
Receivable 5])</f>
        <v>271431002</v>
      </c>
      <c r="K17" s="312" t="s">
        <v>500</v>
      </c>
      <c r="L17" s="78">
        <f>SUBTOTAL(109,fundedmandatesgrandtotal[Less: Recovered
Amount])</f>
        <v>204932279</v>
      </c>
      <c r="M17" s="78">
        <f>SUBTOTAL(109,fundedmandatesgrandtotal[Accounts Receivable
Balance 6])</f>
        <v>66498723</v>
      </c>
      <c r="N17" s="312" t="s">
        <v>500</v>
      </c>
      <c r="O17" s="78">
        <f>SUBTOTAL(109,fundedmandatesgrandtotal[Net
Balance 7 ])</f>
        <v>1228315825</v>
      </c>
      <c r="P17" s="338"/>
      <c r="Q17" s="338"/>
      <c r="R17" s="338"/>
      <c r="S17" s="338"/>
      <c r="T17" s="338"/>
    </row>
    <row r="18" spans="1:21" s="337" customFormat="1" ht="15.6" customHeight="1" x14ac:dyDescent="0.25">
      <c r="A18" s="360" t="s">
        <v>508</v>
      </c>
      <c r="B18" s="326"/>
      <c r="C18" s="318"/>
      <c r="D18" s="248"/>
      <c r="E18" s="336"/>
      <c r="F18" s="323"/>
      <c r="G18" s="336"/>
      <c r="H18" s="323"/>
      <c r="I18" s="323"/>
      <c r="J18" s="323"/>
      <c r="K18" s="323"/>
      <c r="L18" s="336"/>
      <c r="M18" s="336"/>
      <c r="N18" s="336"/>
      <c r="O18" s="336"/>
      <c r="P18" s="322"/>
      <c r="Q18" s="322"/>
      <c r="R18" s="322"/>
      <c r="S18" s="322"/>
      <c r="T18" s="322"/>
    </row>
    <row r="19" spans="1:21" ht="60" customHeight="1" x14ac:dyDescent="0.25">
      <c r="A19" s="329" t="s">
        <v>186</v>
      </c>
      <c r="B19" s="330" t="s">
        <v>532</v>
      </c>
      <c r="C19" s="204" t="s">
        <v>98</v>
      </c>
      <c r="D19" s="204" t="s">
        <v>187</v>
      </c>
      <c r="E19" s="331" t="s">
        <v>188</v>
      </c>
      <c r="F19" s="204" t="s">
        <v>442</v>
      </c>
      <c r="G19" s="330" t="s">
        <v>544</v>
      </c>
      <c r="H19" s="204" t="s">
        <v>548</v>
      </c>
      <c r="I19" s="330" t="s">
        <v>567</v>
      </c>
      <c r="J19" s="204" t="s">
        <v>547</v>
      </c>
      <c r="K19" s="330" t="s">
        <v>568</v>
      </c>
      <c r="L19" s="204" t="s">
        <v>189</v>
      </c>
      <c r="M19" s="204" t="s">
        <v>546</v>
      </c>
      <c r="N19" s="330" t="s">
        <v>583</v>
      </c>
      <c r="O19" s="204" t="s">
        <v>545</v>
      </c>
      <c r="P19" s="317"/>
      <c r="Q19" s="317"/>
      <c r="S19" s="313"/>
      <c r="T19" s="313"/>
    </row>
    <row r="20" spans="1:21" ht="15.75" x14ac:dyDescent="0.25">
      <c r="A20" s="326" t="s">
        <v>190</v>
      </c>
      <c r="B20" s="347" t="s">
        <v>500</v>
      </c>
      <c r="C20" s="64" t="s">
        <v>500</v>
      </c>
      <c r="D20" s="64" t="s">
        <v>500</v>
      </c>
      <c r="E20" s="64" t="s">
        <v>500</v>
      </c>
      <c r="F20" s="64" t="s">
        <v>500</v>
      </c>
      <c r="G20" s="64" t="s">
        <v>500</v>
      </c>
      <c r="H20" s="64" t="s">
        <v>500</v>
      </c>
      <c r="I20" s="64" t="s">
        <v>500</v>
      </c>
      <c r="J20" s="64" t="s">
        <v>500</v>
      </c>
      <c r="K20" s="64" t="s">
        <v>500</v>
      </c>
      <c r="L20" s="64" t="s">
        <v>500</v>
      </c>
      <c r="M20" s="64" t="s">
        <v>500</v>
      </c>
      <c r="N20" s="64" t="s">
        <v>500</v>
      </c>
      <c r="O20" s="64" t="s">
        <v>500</v>
      </c>
      <c r="P20" s="317"/>
      <c r="Q20" s="317"/>
      <c r="S20" s="313"/>
      <c r="T20" s="313"/>
    </row>
    <row r="21" spans="1:21" x14ac:dyDescent="0.2">
      <c r="A21" s="328" t="s">
        <v>6</v>
      </c>
      <c r="B21" s="349" t="s">
        <v>500</v>
      </c>
      <c r="C21" s="318" t="s">
        <v>191</v>
      </c>
      <c r="D21" s="318" t="s">
        <v>555</v>
      </c>
      <c r="E21" s="319">
        <v>367676266</v>
      </c>
      <c r="F21" s="356">
        <v>0</v>
      </c>
      <c r="G21" s="355" t="s">
        <v>500</v>
      </c>
      <c r="H21" s="319">
        <v>367676266</v>
      </c>
      <c r="I21" s="350" t="s">
        <v>500</v>
      </c>
      <c r="J21" s="356">
        <v>0</v>
      </c>
      <c r="K21" s="350" t="s">
        <v>500</v>
      </c>
      <c r="L21" s="356">
        <v>0</v>
      </c>
      <c r="M21" s="356">
        <v>0</v>
      </c>
      <c r="N21" s="350" t="s">
        <v>500</v>
      </c>
      <c r="O21" s="319">
        <v>367676266</v>
      </c>
      <c r="P21" s="317"/>
      <c r="Q21" s="317"/>
      <c r="S21" s="313"/>
      <c r="T21" s="313"/>
    </row>
    <row r="22" spans="1:21" s="341" customFormat="1" ht="15.75" x14ac:dyDescent="0.25">
      <c r="A22" s="80" t="s">
        <v>23</v>
      </c>
      <c r="B22" s="74" t="s">
        <v>500</v>
      </c>
      <c r="C22" s="74" t="s">
        <v>500</v>
      </c>
      <c r="D22" s="74" t="s">
        <v>500</v>
      </c>
      <c r="E22" s="78">
        <f>SUBTOTAL(109,scheduleblocalunfunded[Program
Costs])</f>
        <v>367676266</v>
      </c>
      <c r="F22" s="179">
        <f>SUBTOTAL(109,scheduleblocalunfunded[Less: Net Payments and Offsets])</f>
        <v>0</v>
      </c>
      <c r="G22" s="74" t="s">
        <v>500</v>
      </c>
      <c r="H22" s="78">
        <f>SUBTOTAL(109,scheduleblocalunfunded[Accounts Payable
Balance 4])</f>
        <v>367676266</v>
      </c>
      <c r="I22" s="74" t="s">
        <v>500</v>
      </c>
      <c r="J22" s="179">
        <f>SUBTOTAL(109,scheduleblocalunfunded[Established
Accounts 
Receivable 5])</f>
        <v>0</v>
      </c>
      <c r="K22" s="74" t="s">
        <v>500</v>
      </c>
      <c r="L22" s="179">
        <f>SUBTOTAL(109,scheduleblocalunfunded[Less: Recovered
Amount])</f>
        <v>0</v>
      </c>
      <c r="M22" s="179">
        <f>SUBTOTAL(109,scheduleblocalunfunded[Accounts Receivable
Balance 6])</f>
        <v>0</v>
      </c>
      <c r="N22" s="74" t="s">
        <v>500</v>
      </c>
      <c r="O22" s="78">
        <f>SUBTOTAL(109,scheduleblocalunfunded[Net
Balance 7 ])</f>
        <v>367676266</v>
      </c>
      <c r="P22" s="332"/>
      <c r="Q22" s="332"/>
      <c r="R22" s="332"/>
      <c r="S22" s="332"/>
      <c r="T22" s="332"/>
      <c r="U22" s="332"/>
    </row>
    <row r="23" spans="1:21" s="341" customFormat="1" ht="15.75" x14ac:dyDescent="0.25">
      <c r="A23" s="360" t="s">
        <v>508</v>
      </c>
      <c r="B23" s="153"/>
      <c r="C23" s="153"/>
      <c r="D23" s="153"/>
      <c r="E23" s="220"/>
      <c r="F23" s="220"/>
      <c r="G23" s="153"/>
      <c r="H23" s="220"/>
      <c r="I23" s="153"/>
      <c r="J23" s="220"/>
      <c r="K23" s="153"/>
      <c r="L23" s="220"/>
      <c r="M23" s="342"/>
      <c r="N23" s="153"/>
      <c r="O23" s="220"/>
      <c r="P23" s="332"/>
      <c r="Q23" s="332"/>
      <c r="R23" s="332"/>
      <c r="S23" s="332"/>
      <c r="T23" s="332"/>
      <c r="U23" s="332"/>
    </row>
    <row r="24" spans="1:21" ht="60" customHeight="1" x14ac:dyDescent="0.25">
      <c r="A24" s="329" t="s">
        <v>186</v>
      </c>
      <c r="B24" s="330" t="s">
        <v>532</v>
      </c>
      <c r="C24" s="204" t="s">
        <v>98</v>
      </c>
      <c r="D24" s="204" t="s">
        <v>187</v>
      </c>
      <c r="E24" s="331" t="s">
        <v>188</v>
      </c>
      <c r="F24" s="204" t="s">
        <v>442</v>
      </c>
      <c r="G24" s="330" t="s">
        <v>544</v>
      </c>
      <c r="H24" s="204" t="s">
        <v>548</v>
      </c>
      <c r="I24" s="330" t="s">
        <v>567</v>
      </c>
      <c r="J24" s="204" t="s">
        <v>547</v>
      </c>
      <c r="K24" s="330" t="s">
        <v>568</v>
      </c>
      <c r="L24" s="204" t="s">
        <v>189</v>
      </c>
      <c r="M24" s="204" t="s">
        <v>546</v>
      </c>
      <c r="N24" s="330" t="s">
        <v>583</v>
      </c>
      <c r="O24" s="204" t="s">
        <v>545</v>
      </c>
      <c r="P24" s="317"/>
      <c r="Q24" s="317"/>
      <c r="S24" s="313"/>
      <c r="T24" s="313"/>
      <c r="U24" s="313"/>
    </row>
    <row r="25" spans="1:21" ht="15.75" x14ac:dyDescent="0.25">
      <c r="A25" s="326" t="s">
        <v>192</v>
      </c>
      <c r="B25" s="347" t="s">
        <v>500</v>
      </c>
      <c r="C25" s="348" t="s">
        <v>500</v>
      </c>
      <c r="D25" s="348" t="s">
        <v>500</v>
      </c>
      <c r="E25" s="357" t="s">
        <v>500</v>
      </c>
      <c r="F25" s="357" t="s">
        <v>500</v>
      </c>
      <c r="G25" s="357" t="s">
        <v>500</v>
      </c>
      <c r="H25" s="357" t="s">
        <v>500</v>
      </c>
      <c r="I25" s="357" t="s">
        <v>500</v>
      </c>
      <c r="J25" s="357" t="s">
        <v>500</v>
      </c>
      <c r="K25" s="357" t="s">
        <v>500</v>
      </c>
      <c r="L25" s="357" t="s">
        <v>500</v>
      </c>
      <c r="M25" s="365" t="s">
        <v>500</v>
      </c>
      <c r="N25" s="365" t="s">
        <v>500</v>
      </c>
      <c r="O25" s="365"/>
      <c r="P25" s="317"/>
      <c r="Q25" s="317"/>
      <c r="S25" s="313"/>
      <c r="T25" s="313"/>
      <c r="U25" s="313"/>
    </row>
    <row r="26" spans="1:21" ht="15.75" x14ac:dyDescent="0.25">
      <c r="A26" s="328" t="s">
        <v>24</v>
      </c>
      <c r="B26" s="349" t="s">
        <v>500</v>
      </c>
      <c r="C26" s="318" t="s">
        <v>191</v>
      </c>
      <c r="D26" s="318" t="s">
        <v>555</v>
      </c>
      <c r="E26" s="319">
        <v>1564729</v>
      </c>
      <c r="F26" s="356">
        <v>0</v>
      </c>
      <c r="G26" s="357" t="s">
        <v>500</v>
      </c>
      <c r="H26" s="319">
        <v>1564729</v>
      </c>
      <c r="I26" s="358" t="s">
        <v>500</v>
      </c>
      <c r="J26" s="356">
        <v>0</v>
      </c>
      <c r="K26" s="358" t="s">
        <v>500</v>
      </c>
      <c r="L26" s="356">
        <v>0</v>
      </c>
      <c r="M26" s="356">
        <v>0</v>
      </c>
      <c r="N26" s="358" t="s">
        <v>500</v>
      </c>
      <c r="O26" s="324">
        <v>1564729</v>
      </c>
      <c r="P26" s="317"/>
      <c r="Q26" s="317"/>
      <c r="S26" s="313"/>
      <c r="T26" s="313"/>
      <c r="U26" s="313"/>
    </row>
    <row r="27" spans="1:21" x14ac:dyDescent="0.2">
      <c r="A27" s="328" t="s">
        <v>28</v>
      </c>
      <c r="B27" s="349" t="s">
        <v>500</v>
      </c>
      <c r="C27" s="318" t="s">
        <v>87</v>
      </c>
      <c r="D27" s="318" t="s">
        <v>555</v>
      </c>
      <c r="E27" s="321">
        <v>1170</v>
      </c>
      <c r="F27" s="359">
        <v>0</v>
      </c>
      <c r="G27" s="351" t="s">
        <v>500</v>
      </c>
      <c r="H27" s="321">
        <v>1170</v>
      </c>
      <c r="I27" s="350" t="s">
        <v>500</v>
      </c>
      <c r="J27" s="356">
        <v>0</v>
      </c>
      <c r="K27" s="350" t="s">
        <v>500</v>
      </c>
      <c r="L27" s="356">
        <v>0</v>
      </c>
      <c r="M27" s="356">
        <v>0</v>
      </c>
      <c r="N27" s="350" t="s">
        <v>500</v>
      </c>
      <c r="O27" s="319">
        <v>1170</v>
      </c>
      <c r="P27" s="317"/>
      <c r="Q27" s="317"/>
      <c r="S27" s="313"/>
      <c r="T27" s="313"/>
      <c r="U27" s="313"/>
    </row>
    <row r="28" spans="1:21" s="231" customFormat="1" ht="15.75" x14ac:dyDescent="0.25">
      <c r="A28" s="80" t="s">
        <v>33</v>
      </c>
      <c r="B28" s="74" t="s">
        <v>500</v>
      </c>
      <c r="C28" s="74" t="s">
        <v>500</v>
      </c>
      <c r="D28" s="74" t="s">
        <v>500</v>
      </c>
      <c r="E28" s="78">
        <f>SUBTOTAL(109,schedulebsdandccdunfunded[Program
Costs])</f>
        <v>1565899</v>
      </c>
      <c r="F28" s="179">
        <f>SUBTOTAL(109,schedulebsdandccdunfunded[Less: Net Payments and Offsets])</f>
        <v>0</v>
      </c>
      <c r="G28" s="74" t="s">
        <v>500</v>
      </c>
      <c r="H28" s="78">
        <f>SUBTOTAL(109,schedulebsdandccdunfunded[Accounts Payable
Balance 4])</f>
        <v>1565899</v>
      </c>
      <c r="I28" s="74" t="s">
        <v>500</v>
      </c>
      <c r="J28" s="179">
        <f>SUBTOTAL(109,schedulebsdandccdunfunded[Established
Accounts 
Receivable 5])</f>
        <v>0</v>
      </c>
      <c r="K28" s="74" t="s">
        <v>500</v>
      </c>
      <c r="L28" s="179">
        <f>SUBTOTAL(109,schedulebsdandccdunfunded[Less: Recovered
Amount])</f>
        <v>0</v>
      </c>
      <c r="M28" s="179">
        <f>SUBTOTAL(109,schedulebsdandccdunfunded[Accounts Receivable
Balance 6])</f>
        <v>0</v>
      </c>
      <c r="N28" s="74" t="s">
        <v>500</v>
      </c>
      <c r="O28" s="78">
        <f>SUBTOTAL(109,schedulebsdandccdunfunded[Net
Balance 7 ])</f>
        <v>1565899</v>
      </c>
      <c r="P28" s="332"/>
      <c r="Q28" s="332"/>
      <c r="R28" s="333"/>
      <c r="S28" s="333"/>
      <c r="T28" s="333"/>
      <c r="U28" s="333"/>
    </row>
    <row r="29" spans="1:21" x14ac:dyDescent="0.2">
      <c r="A29" s="360" t="s">
        <v>508</v>
      </c>
      <c r="B29" s="328"/>
      <c r="C29" s="318"/>
      <c r="D29" s="318"/>
      <c r="E29" s="321"/>
      <c r="F29" s="321"/>
      <c r="G29" s="321"/>
      <c r="H29" s="319"/>
      <c r="I29" s="319"/>
      <c r="J29" s="319"/>
      <c r="K29" s="319"/>
      <c r="L29" s="319"/>
      <c r="M29" s="319"/>
      <c r="N29" s="319"/>
      <c r="O29" s="319"/>
      <c r="P29" s="317"/>
      <c r="Q29" s="317"/>
      <c r="S29" s="313"/>
      <c r="T29" s="313"/>
      <c r="U29" s="313"/>
    </row>
    <row r="30" spans="1:21" ht="60" customHeight="1" x14ac:dyDescent="0.25">
      <c r="A30" s="329" t="s">
        <v>186</v>
      </c>
      <c r="B30" s="330" t="s">
        <v>532</v>
      </c>
      <c r="C30" s="204" t="s">
        <v>98</v>
      </c>
      <c r="D30" s="204" t="s">
        <v>187</v>
      </c>
      <c r="E30" s="331" t="s">
        <v>188</v>
      </c>
      <c r="F30" s="204" t="s">
        <v>442</v>
      </c>
      <c r="G30" s="330" t="s">
        <v>544</v>
      </c>
      <c r="H30" s="204" t="s">
        <v>548</v>
      </c>
      <c r="I30" s="330" t="s">
        <v>567</v>
      </c>
      <c r="J30" s="204" t="s">
        <v>547</v>
      </c>
      <c r="K30" s="330" t="s">
        <v>568</v>
      </c>
      <c r="L30" s="204" t="s">
        <v>189</v>
      </c>
      <c r="M30" s="204" t="s">
        <v>546</v>
      </c>
      <c r="N30" s="330" t="s">
        <v>583</v>
      </c>
      <c r="O30" s="204" t="s">
        <v>545</v>
      </c>
      <c r="P30" s="317"/>
      <c r="Q30" s="317"/>
      <c r="S30" s="313"/>
      <c r="T30" s="313"/>
      <c r="U30" s="313"/>
    </row>
    <row r="31" spans="1:21" ht="15.6" customHeight="1" x14ac:dyDescent="0.2">
      <c r="A31" s="328" t="s">
        <v>6</v>
      </c>
      <c r="B31" s="349" t="s">
        <v>500</v>
      </c>
      <c r="C31" s="349" t="s">
        <v>500</v>
      </c>
      <c r="D31" s="363" t="s">
        <v>555</v>
      </c>
      <c r="E31" s="321">
        <v>367676266</v>
      </c>
      <c r="F31" s="359">
        <v>0</v>
      </c>
      <c r="G31" s="349" t="s">
        <v>500</v>
      </c>
      <c r="H31" s="319">
        <v>367676266</v>
      </c>
      <c r="I31" s="349" t="s">
        <v>500</v>
      </c>
      <c r="J31" s="356">
        <v>0</v>
      </c>
      <c r="K31" s="349" t="s">
        <v>500</v>
      </c>
      <c r="L31" s="356">
        <v>0</v>
      </c>
      <c r="M31" s="356">
        <v>0</v>
      </c>
      <c r="N31" s="350" t="s">
        <v>500</v>
      </c>
      <c r="O31" s="319">
        <v>367676266</v>
      </c>
      <c r="P31" s="317"/>
      <c r="Q31" s="317"/>
      <c r="S31" s="313"/>
      <c r="T31" s="313"/>
      <c r="U31" s="313"/>
    </row>
    <row r="32" spans="1:21" ht="15.6" customHeight="1" x14ac:dyDescent="0.2">
      <c r="A32" s="328" t="s">
        <v>24</v>
      </c>
      <c r="B32" s="349" t="s">
        <v>500</v>
      </c>
      <c r="C32" s="349" t="s">
        <v>500</v>
      </c>
      <c r="D32" s="363" t="s">
        <v>555</v>
      </c>
      <c r="E32" s="321">
        <v>1564729</v>
      </c>
      <c r="F32" s="359">
        <v>0</v>
      </c>
      <c r="G32" s="349" t="s">
        <v>500</v>
      </c>
      <c r="H32" s="319">
        <v>1564729</v>
      </c>
      <c r="I32" s="349" t="s">
        <v>500</v>
      </c>
      <c r="J32" s="356">
        <v>0</v>
      </c>
      <c r="K32" s="349" t="s">
        <v>500</v>
      </c>
      <c r="L32" s="356">
        <v>0</v>
      </c>
      <c r="M32" s="356">
        <v>0</v>
      </c>
      <c r="N32" s="350" t="s">
        <v>500</v>
      </c>
      <c r="O32" s="319">
        <v>1564729</v>
      </c>
      <c r="P32" s="317"/>
      <c r="Q32" s="317"/>
      <c r="S32" s="313"/>
      <c r="T32" s="313"/>
      <c r="U32" s="313"/>
    </row>
    <row r="33" spans="1:18" ht="15.6" customHeight="1" x14ac:dyDescent="0.2">
      <c r="A33" s="328" t="s">
        <v>28</v>
      </c>
      <c r="B33" s="349" t="s">
        <v>500</v>
      </c>
      <c r="C33" s="349" t="s">
        <v>500</v>
      </c>
      <c r="D33" s="363" t="s">
        <v>555</v>
      </c>
      <c r="E33" s="321">
        <v>1170</v>
      </c>
      <c r="F33" s="359">
        <v>0</v>
      </c>
      <c r="G33" s="349" t="s">
        <v>500</v>
      </c>
      <c r="H33" s="319">
        <v>1170</v>
      </c>
      <c r="I33" s="349" t="s">
        <v>500</v>
      </c>
      <c r="J33" s="356">
        <v>0</v>
      </c>
      <c r="K33" s="349" t="s">
        <v>500</v>
      </c>
      <c r="L33" s="356">
        <v>0</v>
      </c>
      <c r="M33" s="356">
        <v>0</v>
      </c>
      <c r="N33" s="350" t="s">
        <v>500</v>
      </c>
      <c r="O33" s="319">
        <v>1170</v>
      </c>
    </row>
    <row r="34" spans="1:18" s="231" customFormat="1" ht="17.100000000000001" customHeight="1" x14ac:dyDescent="0.25">
      <c r="A34" s="464" t="s">
        <v>662</v>
      </c>
      <c r="B34" s="74" t="s">
        <v>562</v>
      </c>
      <c r="C34" s="361" t="s">
        <v>500</v>
      </c>
      <c r="D34" s="361" t="s">
        <v>500</v>
      </c>
      <c r="E34" s="340">
        <f>SUBTOTAL(109,schedulebunfunded[Program
Costs])</f>
        <v>369242165</v>
      </c>
      <c r="F34" s="188">
        <f>SUBTOTAL(109,schedulebunfunded[Less: Net Payments and Offsets])</f>
        <v>0</v>
      </c>
      <c r="G34" s="361" t="s">
        <v>500</v>
      </c>
      <c r="H34" s="344">
        <f>SUBTOTAL(109,schedulebunfunded[Accounts Payable
Balance 4])</f>
        <v>369242165</v>
      </c>
      <c r="I34" s="361" t="s">
        <v>500</v>
      </c>
      <c r="J34" s="393">
        <f>SUBTOTAL(109,schedulebunfunded[Established
Accounts 
Receivable 5])</f>
        <v>0</v>
      </c>
      <c r="K34" s="361" t="s">
        <v>500</v>
      </c>
      <c r="L34" s="393">
        <f>SUBTOTAL(109,schedulebunfunded[Less: Recovered
Amount])</f>
        <v>0</v>
      </c>
      <c r="M34" s="393">
        <f>SUBTOTAL(109,schedulebunfunded[Accounts Receivable
Balance 6])</f>
        <v>0</v>
      </c>
      <c r="N34" s="361" t="s">
        <v>500</v>
      </c>
      <c r="O34" s="344">
        <f>SUBTOTAL(109,schedulebunfunded[Net
Balance 7 ])</f>
        <v>369242165</v>
      </c>
      <c r="P34" s="333"/>
      <c r="Q34" s="333"/>
      <c r="R34" s="333"/>
    </row>
    <row r="35" spans="1:18" s="231" customFormat="1" ht="17.25" customHeight="1" x14ac:dyDescent="0.25">
      <c r="A35" s="360" t="s">
        <v>508</v>
      </c>
      <c r="B35" s="328"/>
      <c r="C35" s="328"/>
      <c r="D35" s="328"/>
      <c r="E35" s="336"/>
      <c r="F35" s="336"/>
      <c r="G35" s="328"/>
      <c r="H35" s="323"/>
      <c r="I35" s="328"/>
      <c r="J35" s="323"/>
      <c r="K35" s="328"/>
      <c r="L35" s="323"/>
      <c r="M35" s="323"/>
      <c r="N35" s="328"/>
      <c r="O35" s="323"/>
      <c r="P35" s="333"/>
      <c r="Q35" s="333"/>
      <c r="R35" s="333"/>
    </row>
    <row r="36" spans="1:18" s="231" customFormat="1" ht="60" customHeight="1" x14ac:dyDescent="0.25">
      <c r="A36" s="204" t="s">
        <v>186</v>
      </c>
      <c r="B36" s="330" t="s">
        <v>532</v>
      </c>
      <c r="C36" s="204" t="s">
        <v>98</v>
      </c>
      <c r="D36" s="204" t="s">
        <v>187</v>
      </c>
      <c r="E36" s="331" t="s">
        <v>188</v>
      </c>
      <c r="F36" s="204" t="s">
        <v>442</v>
      </c>
      <c r="G36" s="330" t="s">
        <v>544</v>
      </c>
      <c r="H36" s="204" t="s">
        <v>548</v>
      </c>
      <c r="I36" s="330" t="s">
        <v>567</v>
      </c>
      <c r="J36" s="204" t="s">
        <v>547</v>
      </c>
      <c r="K36" s="330" t="s">
        <v>568</v>
      </c>
      <c r="L36" s="204" t="s">
        <v>189</v>
      </c>
      <c r="M36" s="204" t="s">
        <v>546</v>
      </c>
      <c r="N36" s="330" t="s">
        <v>583</v>
      </c>
      <c r="O36" s="204" t="s">
        <v>545</v>
      </c>
      <c r="P36" s="333"/>
      <c r="Q36" s="333"/>
      <c r="R36" s="333"/>
    </row>
    <row r="37" spans="1:18" s="231" customFormat="1" ht="17.25" customHeight="1" x14ac:dyDescent="0.25">
      <c r="A37" s="328" t="s">
        <v>6</v>
      </c>
      <c r="B37" s="350" t="s">
        <v>500</v>
      </c>
      <c r="C37" s="350" t="s">
        <v>500</v>
      </c>
      <c r="D37" s="350" t="s">
        <v>500</v>
      </c>
      <c r="E37" s="321">
        <f t="shared" ref="E37:F39" si="0">E14+E31</f>
        <v>963352291</v>
      </c>
      <c r="F37" s="321">
        <f t="shared" si="0"/>
        <v>252671853</v>
      </c>
      <c r="G37" s="350" t="s">
        <v>500</v>
      </c>
      <c r="H37" s="321">
        <f>H14+H31</f>
        <v>710680438</v>
      </c>
      <c r="I37" s="350" t="s">
        <v>500</v>
      </c>
      <c r="J37" s="336">
        <f t="shared" ref="J37:O37" si="1">J14+J31</f>
        <v>49872281</v>
      </c>
      <c r="K37" s="350" t="s">
        <v>500</v>
      </c>
      <c r="L37" s="321">
        <f t="shared" si="1"/>
        <v>47870176</v>
      </c>
      <c r="M37" s="321">
        <f t="shared" si="1"/>
        <v>2002105</v>
      </c>
      <c r="N37" s="350" t="s">
        <v>500</v>
      </c>
      <c r="O37" s="321">
        <f t="shared" si="1"/>
        <v>708678333</v>
      </c>
      <c r="P37" s="333"/>
      <c r="Q37" s="333"/>
      <c r="R37" s="333"/>
    </row>
    <row r="38" spans="1:18" s="231" customFormat="1" ht="17.25" customHeight="1" x14ac:dyDescent="0.25">
      <c r="A38" s="328" t="s">
        <v>24</v>
      </c>
      <c r="B38" s="350" t="s">
        <v>500</v>
      </c>
      <c r="C38" s="350" t="s">
        <v>500</v>
      </c>
      <c r="D38" s="350" t="s">
        <v>500</v>
      </c>
      <c r="E38" s="321">
        <f t="shared" si="0"/>
        <v>6331259862</v>
      </c>
      <c r="F38" s="321">
        <f t="shared" si="0"/>
        <v>5392595992</v>
      </c>
      <c r="G38" s="350" t="s">
        <v>500</v>
      </c>
      <c r="H38" s="321">
        <f>H15+H32</f>
        <v>938663870</v>
      </c>
      <c r="I38" s="350" t="s">
        <v>500</v>
      </c>
      <c r="J38" s="336">
        <f t="shared" ref="J38:O38" si="2">J15+J32</f>
        <v>194845243</v>
      </c>
      <c r="K38" s="350" t="s">
        <v>500</v>
      </c>
      <c r="L38" s="321">
        <f t="shared" si="2"/>
        <v>143140043</v>
      </c>
      <c r="M38" s="321">
        <f t="shared" si="2"/>
        <v>51705200</v>
      </c>
      <c r="N38" s="350" t="s">
        <v>500</v>
      </c>
      <c r="O38" s="321">
        <f t="shared" si="2"/>
        <v>886958670</v>
      </c>
      <c r="P38" s="333"/>
      <c r="Q38" s="333"/>
      <c r="R38" s="333"/>
    </row>
    <row r="39" spans="1:18" s="231" customFormat="1" ht="17.25" customHeight="1" x14ac:dyDescent="0.25">
      <c r="A39" s="328" t="s">
        <v>28</v>
      </c>
      <c r="B39" s="350" t="s">
        <v>500</v>
      </c>
      <c r="C39" s="350" t="s">
        <v>500</v>
      </c>
      <c r="D39" s="350" t="s">
        <v>500</v>
      </c>
      <c r="E39" s="321">
        <f t="shared" si="0"/>
        <v>175290905</v>
      </c>
      <c r="F39" s="321">
        <f t="shared" si="0"/>
        <v>160578500</v>
      </c>
      <c r="G39" s="350" t="s">
        <v>500</v>
      </c>
      <c r="H39" s="321">
        <f>H16+H33</f>
        <v>14712405</v>
      </c>
      <c r="I39" s="350" t="s">
        <v>500</v>
      </c>
      <c r="J39" s="336">
        <f t="shared" ref="J39:O39" si="3">J16+J33</f>
        <v>26713478</v>
      </c>
      <c r="K39" s="350" t="s">
        <v>500</v>
      </c>
      <c r="L39" s="321">
        <f t="shared" si="3"/>
        <v>13922060</v>
      </c>
      <c r="M39" s="321">
        <f t="shared" si="3"/>
        <v>12791418</v>
      </c>
      <c r="N39" s="350" t="s">
        <v>500</v>
      </c>
      <c r="O39" s="321">
        <f t="shared" si="3"/>
        <v>1920987</v>
      </c>
      <c r="P39" s="333"/>
      <c r="Q39" s="333"/>
      <c r="R39" s="333"/>
    </row>
    <row r="40" spans="1:18" s="231" customFormat="1" ht="17.25" customHeight="1" x14ac:dyDescent="0.25">
      <c r="A40" s="343" t="s">
        <v>34</v>
      </c>
      <c r="B40" s="362" t="s">
        <v>550</v>
      </c>
      <c r="C40" s="362" t="s">
        <v>550</v>
      </c>
      <c r="D40" s="362" t="s">
        <v>550</v>
      </c>
      <c r="E40" s="340">
        <f>SUBTOTAL(109,schedulebgrandtotal[Program
Costs])</f>
        <v>7469903058</v>
      </c>
      <c r="F40" s="340">
        <f>SUBTOTAL(109,schedulebgrandtotal[Less: Net Payments and Offsets])</f>
        <v>5805846345</v>
      </c>
      <c r="G40" s="362" t="s">
        <v>550</v>
      </c>
      <c r="H40" s="340">
        <f>SUBTOTAL(109,schedulebgrandtotal[Accounts Payable
Balance 4])</f>
        <v>1664056713</v>
      </c>
      <c r="I40" s="362" t="s">
        <v>550</v>
      </c>
      <c r="J40" s="340">
        <f>SUBTOTAL(109,schedulebgrandtotal[Established
Accounts 
Receivable 5])</f>
        <v>271431002</v>
      </c>
      <c r="K40" s="362" t="s">
        <v>550</v>
      </c>
      <c r="L40" s="340">
        <f>SUBTOTAL(109,schedulebgrandtotal[Less: Recovered
Amount])</f>
        <v>204932279</v>
      </c>
      <c r="M40" s="340">
        <f>SUBTOTAL(109,schedulebgrandtotal[Accounts Receivable
Balance 6])</f>
        <v>66498723</v>
      </c>
      <c r="N40" s="362" t="s">
        <v>550</v>
      </c>
      <c r="O40" s="340">
        <f>SUBTOTAL(109,schedulebgrandtotal[Net
Balance 7 ])</f>
        <v>1597557990</v>
      </c>
      <c r="P40" s="333"/>
      <c r="Q40" s="333"/>
      <c r="R40" s="333"/>
    </row>
    <row r="41" spans="1:18" ht="17.25" customHeight="1" x14ac:dyDescent="0.2">
      <c r="A41" s="327" t="s">
        <v>663</v>
      </c>
      <c r="B41" s="328"/>
      <c r="C41" s="318"/>
      <c r="D41" s="248"/>
      <c r="E41" s="321"/>
      <c r="F41" s="321"/>
      <c r="G41" s="321"/>
      <c r="H41" s="319"/>
      <c r="I41" s="319"/>
      <c r="J41" s="319"/>
      <c r="K41" s="319"/>
      <c r="L41" s="319"/>
      <c r="M41" s="319"/>
      <c r="N41" s="319"/>
      <c r="O41" s="319"/>
    </row>
    <row r="42" spans="1:18" ht="18.600000000000001" customHeight="1" x14ac:dyDescent="0.2">
      <c r="A42" s="327" t="s">
        <v>540</v>
      </c>
      <c r="B42" s="328"/>
      <c r="C42" s="318"/>
      <c r="D42" s="248"/>
      <c r="E42" s="321"/>
      <c r="F42" s="321"/>
      <c r="G42" s="321"/>
      <c r="H42" s="319"/>
      <c r="I42" s="319"/>
      <c r="J42" s="319"/>
      <c r="K42" s="319"/>
      <c r="L42" s="319"/>
      <c r="M42" s="319"/>
      <c r="N42" s="319"/>
      <c r="O42" s="319"/>
    </row>
    <row r="43" spans="1:18" ht="18.600000000000001" customHeight="1" x14ac:dyDescent="0.2">
      <c r="A43" s="327" t="s">
        <v>551</v>
      </c>
      <c r="B43" s="328"/>
      <c r="C43" s="318"/>
      <c r="D43" s="248"/>
      <c r="E43" s="321"/>
      <c r="F43" s="321"/>
      <c r="G43" s="321"/>
      <c r="H43" s="319"/>
      <c r="I43" s="319"/>
      <c r="J43" s="319"/>
      <c r="K43" s="319"/>
      <c r="L43" s="319"/>
      <c r="M43" s="319"/>
      <c r="N43" s="319"/>
      <c r="O43" s="319"/>
    </row>
    <row r="44" spans="1:18" ht="18.600000000000001" customHeight="1" x14ac:dyDescent="0.2">
      <c r="A44" s="327" t="s">
        <v>541</v>
      </c>
      <c r="B44" s="328"/>
      <c r="C44" s="318"/>
      <c r="D44" s="248"/>
      <c r="E44" s="321"/>
      <c r="F44" s="321"/>
      <c r="G44" s="321"/>
      <c r="H44" s="319"/>
      <c r="I44" s="319"/>
      <c r="J44" s="319"/>
      <c r="K44" s="319"/>
      <c r="L44" s="319"/>
      <c r="M44" s="319"/>
      <c r="N44" s="319"/>
      <c r="O44" s="319"/>
    </row>
    <row r="45" spans="1:18" ht="18.600000000000001" customHeight="1" x14ac:dyDescent="0.2">
      <c r="A45" s="327" t="s">
        <v>542</v>
      </c>
      <c r="B45" s="328"/>
      <c r="C45" s="318"/>
      <c r="D45" s="248"/>
      <c r="E45" s="321"/>
      <c r="F45" s="321"/>
      <c r="G45" s="321"/>
      <c r="H45" s="319"/>
      <c r="I45" s="319"/>
      <c r="J45" s="319"/>
      <c r="K45" s="319"/>
      <c r="L45" s="319"/>
      <c r="M45" s="319"/>
      <c r="N45" s="319"/>
      <c r="O45" s="319"/>
    </row>
    <row r="46" spans="1:18" ht="18.600000000000001" customHeight="1" x14ac:dyDescent="0.2">
      <c r="A46" s="327" t="s">
        <v>543</v>
      </c>
      <c r="B46" s="328"/>
      <c r="C46" s="318"/>
      <c r="D46" s="248"/>
      <c r="E46" s="321"/>
      <c r="F46" s="321"/>
      <c r="G46" s="321"/>
      <c r="H46" s="319"/>
      <c r="I46" s="319"/>
      <c r="J46" s="319"/>
      <c r="K46" s="319"/>
      <c r="L46" s="319"/>
      <c r="M46" s="319"/>
      <c r="N46" s="319"/>
      <c r="O46" s="319"/>
    </row>
    <row r="47" spans="1:18" ht="18.600000000000001" customHeight="1" x14ac:dyDescent="0.2">
      <c r="A47" s="327" t="s">
        <v>552</v>
      </c>
      <c r="B47" s="328"/>
      <c r="C47" s="318"/>
      <c r="D47" s="248"/>
      <c r="E47" s="321"/>
      <c r="F47" s="321"/>
      <c r="G47" s="321"/>
      <c r="H47" s="319"/>
      <c r="I47" s="319"/>
      <c r="J47" s="319"/>
      <c r="K47" s="319"/>
      <c r="L47" s="319"/>
      <c r="M47" s="319"/>
      <c r="N47" s="319"/>
      <c r="O47" s="319"/>
    </row>
    <row r="48" spans="1:18" ht="18.600000000000001" customHeight="1" x14ac:dyDescent="0.2">
      <c r="A48" s="327" t="s">
        <v>561</v>
      </c>
      <c r="B48" s="328"/>
      <c r="C48" s="318"/>
      <c r="D48" s="248"/>
      <c r="E48" s="321"/>
      <c r="F48" s="321"/>
      <c r="G48" s="321"/>
      <c r="H48" s="319"/>
      <c r="I48" s="319"/>
      <c r="J48" s="319"/>
      <c r="K48" s="319"/>
      <c r="L48" s="319"/>
      <c r="M48" s="319"/>
      <c r="N48" s="319"/>
      <c r="O48" s="319"/>
    </row>
    <row r="49" spans="1:15" ht="18.600000000000001" customHeight="1" x14ac:dyDescent="0.2">
      <c r="A49" s="327" t="s">
        <v>553</v>
      </c>
      <c r="B49" s="328"/>
      <c r="C49" s="345"/>
      <c r="D49" s="345"/>
      <c r="E49" s="321"/>
      <c r="F49" s="319"/>
      <c r="G49" s="321"/>
      <c r="H49" s="319"/>
      <c r="I49" s="319"/>
      <c r="J49" s="319"/>
      <c r="K49" s="319"/>
      <c r="L49" s="319"/>
      <c r="M49" s="319"/>
      <c r="N49" s="319"/>
      <c r="O49" s="319"/>
    </row>
    <row r="50" spans="1:15" ht="17.25" customHeight="1" x14ac:dyDescent="0.2">
      <c r="A50" s="346"/>
      <c r="B50" s="318"/>
      <c r="C50" s="318"/>
      <c r="D50" s="318"/>
      <c r="E50" s="318"/>
      <c r="F50" s="318"/>
      <c r="G50" s="318"/>
      <c r="H50" s="318"/>
      <c r="I50" s="318"/>
      <c r="J50" s="318"/>
      <c r="K50" s="318"/>
      <c r="L50" s="318"/>
      <c r="M50" s="318"/>
      <c r="N50" s="318"/>
      <c r="O50" s="318"/>
    </row>
    <row r="51" spans="1:15" x14ac:dyDescent="0.2">
      <c r="A51" s="328"/>
      <c r="B51" s="328"/>
      <c r="C51" s="328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</row>
    <row r="52" spans="1:15" x14ac:dyDescent="0.2">
      <c r="A52" s="325"/>
      <c r="B52" s="328"/>
      <c r="C52" s="248"/>
      <c r="D52" s="248"/>
      <c r="E52" s="321"/>
      <c r="F52" s="321"/>
      <c r="G52" s="321"/>
      <c r="H52" s="321"/>
      <c r="I52" s="321"/>
      <c r="J52" s="321"/>
      <c r="K52" s="321"/>
      <c r="L52" s="321"/>
      <c r="M52" s="321"/>
      <c r="N52" s="321"/>
    </row>
    <row r="53" spans="1:15" x14ac:dyDescent="0.2">
      <c r="A53" s="325"/>
      <c r="B53" s="328"/>
      <c r="C53" s="248"/>
      <c r="D53" s="248"/>
      <c r="E53" s="321"/>
      <c r="F53" s="321"/>
      <c r="G53" s="321"/>
      <c r="H53" s="321"/>
      <c r="I53" s="321"/>
      <c r="J53" s="321"/>
      <c r="K53" s="321"/>
      <c r="L53" s="321"/>
      <c r="M53" s="321"/>
      <c r="N53" s="321"/>
    </row>
    <row r="54" spans="1:15" x14ac:dyDescent="0.2">
      <c r="A54" s="325"/>
      <c r="B54" s="328"/>
      <c r="C54" s="248"/>
      <c r="D54" s="248"/>
      <c r="E54" s="321"/>
      <c r="F54" s="321"/>
      <c r="G54" s="321"/>
      <c r="H54" s="321"/>
      <c r="I54" s="321"/>
      <c r="J54" s="321"/>
      <c r="K54" s="321"/>
      <c r="L54" s="321"/>
      <c r="M54" s="321"/>
      <c r="N54" s="321"/>
    </row>
    <row r="55" spans="1:15" x14ac:dyDescent="0.2">
      <c r="A55" s="325"/>
      <c r="B55" s="328"/>
      <c r="C55" s="248"/>
      <c r="D55" s="248"/>
      <c r="E55" s="321"/>
      <c r="F55" s="321"/>
      <c r="G55" s="321"/>
      <c r="H55" s="321"/>
      <c r="I55" s="321"/>
      <c r="J55" s="321"/>
      <c r="K55" s="321"/>
      <c r="L55" s="321"/>
      <c r="M55" s="321"/>
      <c r="N55" s="321"/>
    </row>
    <row r="56" spans="1:15" x14ac:dyDescent="0.2">
      <c r="A56" s="325"/>
      <c r="B56" s="328"/>
      <c r="C56" s="248"/>
      <c r="D56" s="248"/>
      <c r="E56" s="321"/>
      <c r="F56" s="321"/>
      <c r="G56" s="321"/>
      <c r="H56" s="321"/>
      <c r="I56" s="321"/>
      <c r="J56" s="321"/>
      <c r="K56" s="321"/>
      <c r="L56" s="321"/>
      <c r="M56" s="321"/>
      <c r="N56" s="321"/>
    </row>
    <row r="57" spans="1:15" x14ac:dyDescent="0.2">
      <c r="A57" s="325"/>
      <c r="B57" s="328"/>
      <c r="C57" s="248"/>
      <c r="D57" s="248"/>
      <c r="E57" s="321"/>
      <c r="F57" s="321"/>
      <c r="G57" s="321"/>
      <c r="H57" s="321"/>
      <c r="I57" s="321"/>
      <c r="J57" s="321"/>
      <c r="K57" s="321"/>
      <c r="L57" s="321"/>
      <c r="M57" s="321"/>
      <c r="N57" s="321"/>
    </row>
    <row r="58" spans="1:15" x14ac:dyDescent="0.2">
      <c r="A58" s="325"/>
      <c r="B58" s="328"/>
      <c r="C58" s="248"/>
      <c r="D58" s="248"/>
      <c r="E58" s="321"/>
      <c r="F58" s="321"/>
      <c r="G58" s="321"/>
      <c r="H58" s="321"/>
      <c r="I58" s="321"/>
      <c r="J58" s="321"/>
      <c r="K58" s="321"/>
      <c r="L58" s="321"/>
      <c r="M58" s="321"/>
      <c r="N58" s="321"/>
    </row>
    <row r="59" spans="1:15" x14ac:dyDescent="0.2">
      <c r="A59" s="325"/>
      <c r="B59" s="328"/>
      <c r="C59" s="248"/>
      <c r="D59" s="248"/>
      <c r="E59" s="321"/>
      <c r="F59" s="321"/>
      <c r="G59" s="321"/>
      <c r="H59" s="321"/>
      <c r="I59" s="321"/>
      <c r="J59" s="321"/>
      <c r="K59" s="321"/>
      <c r="L59" s="321"/>
      <c r="M59" s="321"/>
      <c r="N59" s="321"/>
    </row>
    <row r="60" spans="1:15" x14ac:dyDescent="0.2">
      <c r="A60" s="325"/>
      <c r="B60" s="328"/>
      <c r="C60" s="248"/>
      <c r="D60" s="248"/>
      <c r="E60" s="321"/>
      <c r="F60" s="321"/>
      <c r="G60" s="321"/>
      <c r="H60" s="321"/>
      <c r="I60" s="321"/>
      <c r="J60" s="321"/>
      <c r="K60" s="321"/>
      <c r="L60" s="321"/>
      <c r="M60" s="321"/>
      <c r="N60" s="321"/>
    </row>
    <row r="61" spans="1:15" x14ac:dyDescent="0.2">
      <c r="A61" s="325"/>
      <c r="B61" s="328"/>
      <c r="C61" s="248"/>
      <c r="D61" s="248"/>
      <c r="E61" s="321"/>
      <c r="F61" s="321"/>
      <c r="G61" s="321"/>
      <c r="H61" s="321"/>
      <c r="I61" s="321"/>
      <c r="J61" s="321"/>
      <c r="K61" s="321"/>
      <c r="L61" s="321"/>
      <c r="M61" s="321"/>
      <c r="N61" s="321"/>
    </row>
    <row r="62" spans="1:15" x14ac:dyDescent="0.2">
      <c r="A62" s="325"/>
      <c r="B62" s="328"/>
      <c r="C62" s="248"/>
      <c r="D62" s="248"/>
      <c r="E62" s="321"/>
      <c r="F62" s="321"/>
      <c r="G62" s="321"/>
      <c r="H62" s="321"/>
      <c r="I62" s="321"/>
      <c r="J62" s="321"/>
      <c r="K62" s="321"/>
      <c r="L62" s="321"/>
      <c r="M62" s="321"/>
      <c r="N62" s="321"/>
    </row>
    <row r="63" spans="1:15" x14ac:dyDescent="0.2">
      <c r="A63" s="325"/>
      <c r="B63" s="328"/>
      <c r="C63" s="248"/>
      <c r="D63" s="248"/>
      <c r="E63" s="321"/>
      <c r="F63" s="321"/>
      <c r="G63" s="321"/>
      <c r="H63" s="321"/>
      <c r="I63" s="321"/>
      <c r="J63" s="321"/>
      <c r="K63" s="321"/>
      <c r="L63" s="321"/>
      <c r="M63" s="321"/>
      <c r="N63" s="321"/>
    </row>
    <row r="64" spans="1:15" x14ac:dyDescent="0.2">
      <c r="A64" s="325"/>
      <c r="B64" s="328"/>
      <c r="C64" s="248"/>
      <c r="D64" s="248"/>
      <c r="E64" s="321"/>
      <c r="F64" s="321"/>
      <c r="G64" s="321"/>
      <c r="H64" s="321"/>
      <c r="I64" s="321"/>
      <c r="J64" s="321"/>
      <c r="K64" s="321"/>
      <c r="L64" s="321"/>
      <c r="M64" s="321"/>
      <c r="N64" s="321"/>
    </row>
    <row r="65" spans="1:14" x14ac:dyDescent="0.2">
      <c r="A65" s="325"/>
      <c r="B65" s="328"/>
      <c r="C65" s="248"/>
      <c r="D65" s="248"/>
      <c r="E65" s="321"/>
      <c r="F65" s="321"/>
      <c r="G65" s="321"/>
      <c r="H65" s="321"/>
      <c r="I65" s="321"/>
      <c r="J65" s="321"/>
      <c r="K65" s="321"/>
      <c r="L65" s="321"/>
      <c r="M65" s="321"/>
      <c r="N65" s="321"/>
    </row>
    <row r="66" spans="1:14" x14ac:dyDescent="0.2">
      <c r="A66" s="325"/>
      <c r="B66" s="328"/>
      <c r="C66" s="248"/>
      <c r="D66" s="248"/>
      <c r="E66" s="321"/>
      <c r="F66" s="321"/>
      <c r="G66" s="321"/>
      <c r="H66" s="321"/>
      <c r="I66" s="321"/>
      <c r="J66" s="321"/>
      <c r="K66" s="321"/>
      <c r="L66" s="321"/>
      <c r="M66" s="321"/>
      <c r="N66" s="321"/>
    </row>
    <row r="67" spans="1:14" x14ac:dyDescent="0.2">
      <c r="A67" s="325"/>
      <c r="B67" s="328"/>
      <c r="C67" s="248"/>
      <c r="D67" s="248"/>
      <c r="E67" s="321"/>
      <c r="F67" s="321"/>
      <c r="G67" s="321"/>
      <c r="H67" s="321"/>
      <c r="I67" s="321"/>
      <c r="J67" s="321"/>
      <c r="K67" s="321"/>
      <c r="L67" s="321"/>
      <c r="M67" s="321"/>
      <c r="N67" s="321"/>
    </row>
    <row r="68" spans="1:14" x14ac:dyDescent="0.2">
      <c r="A68" s="325"/>
      <c r="B68" s="328"/>
      <c r="C68" s="248"/>
      <c r="D68" s="248"/>
      <c r="E68" s="321"/>
      <c r="F68" s="321"/>
      <c r="G68" s="321"/>
      <c r="H68" s="321"/>
      <c r="I68" s="321"/>
      <c r="J68" s="321"/>
      <c r="K68" s="321"/>
      <c r="L68" s="321"/>
      <c r="M68" s="321"/>
      <c r="N68" s="321"/>
    </row>
    <row r="69" spans="1:14" x14ac:dyDescent="0.2">
      <c r="A69" s="325"/>
      <c r="B69" s="328"/>
      <c r="C69" s="248"/>
      <c r="D69" s="248"/>
      <c r="E69" s="321"/>
      <c r="F69" s="321"/>
      <c r="G69" s="321"/>
      <c r="H69" s="321"/>
      <c r="I69" s="321"/>
      <c r="J69" s="321"/>
      <c r="K69" s="321"/>
      <c r="L69" s="321"/>
      <c r="M69" s="321"/>
      <c r="N69" s="321"/>
    </row>
    <row r="70" spans="1:14" x14ac:dyDescent="0.2">
      <c r="A70" s="325"/>
      <c r="B70" s="328"/>
      <c r="C70" s="248"/>
      <c r="D70" s="248"/>
      <c r="E70" s="321"/>
      <c r="F70" s="321"/>
      <c r="G70" s="321"/>
      <c r="H70" s="321"/>
      <c r="I70" s="321"/>
      <c r="J70" s="321"/>
      <c r="K70" s="321"/>
      <c r="L70" s="321"/>
      <c r="M70" s="321"/>
      <c r="N70" s="321"/>
    </row>
    <row r="71" spans="1:14" x14ac:dyDescent="0.2">
      <c r="A71" s="325"/>
      <c r="B71" s="328"/>
      <c r="C71" s="248"/>
      <c r="D71" s="248"/>
      <c r="E71" s="321"/>
      <c r="F71" s="321"/>
      <c r="G71" s="321"/>
      <c r="H71" s="321"/>
      <c r="I71" s="321"/>
      <c r="J71" s="321"/>
      <c r="K71" s="321"/>
      <c r="L71" s="321"/>
      <c r="M71" s="321"/>
      <c r="N71" s="321"/>
    </row>
    <row r="72" spans="1:14" x14ac:dyDescent="0.2">
      <c r="A72" s="325"/>
      <c r="B72" s="328"/>
      <c r="C72" s="248"/>
      <c r="D72" s="248"/>
      <c r="E72" s="321"/>
      <c r="F72" s="321"/>
      <c r="G72" s="321"/>
      <c r="H72" s="321"/>
      <c r="I72" s="321"/>
      <c r="J72" s="321"/>
      <c r="K72" s="321"/>
      <c r="L72" s="321"/>
      <c r="M72" s="321"/>
      <c r="N72" s="321"/>
    </row>
    <row r="73" spans="1:14" x14ac:dyDescent="0.2">
      <c r="A73" s="325"/>
      <c r="B73" s="328"/>
      <c r="C73" s="248"/>
      <c r="D73" s="248"/>
      <c r="E73" s="321"/>
      <c r="F73" s="321"/>
      <c r="G73" s="321"/>
      <c r="H73" s="321"/>
      <c r="I73" s="321"/>
      <c r="J73" s="321"/>
      <c r="K73" s="321"/>
      <c r="L73" s="321"/>
      <c r="M73" s="321"/>
      <c r="N73" s="321"/>
    </row>
    <row r="74" spans="1:14" x14ac:dyDescent="0.2">
      <c r="A74" s="325"/>
      <c r="B74" s="328"/>
      <c r="C74" s="248"/>
      <c r="D74" s="248"/>
      <c r="E74" s="321"/>
      <c r="F74" s="321"/>
      <c r="G74" s="321"/>
      <c r="H74" s="321"/>
      <c r="I74" s="321"/>
      <c r="J74" s="321"/>
      <c r="K74" s="321"/>
      <c r="L74" s="321"/>
      <c r="M74" s="321"/>
      <c r="N74" s="321"/>
    </row>
    <row r="75" spans="1:14" x14ac:dyDescent="0.2">
      <c r="A75" s="325"/>
      <c r="B75" s="328"/>
      <c r="C75" s="248"/>
      <c r="D75" s="248"/>
      <c r="E75" s="321"/>
      <c r="F75" s="321"/>
      <c r="G75" s="321"/>
      <c r="H75" s="321"/>
      <c r="I75" s="321"/>
      <c r="J75" s="321"/>
      <c r="K75" s="321"/>
      <c r="L75" s="321"/>
      <c r="M75" s="321"/>
      <c r="N75" s="321"/>
    </row>
    <row r="76" spans="1:14" x14ac:dyDescent="0.2">
      <c r="A76" s="325"/>
      <c r="B76" s="328"/>
      <c r="C76" s="248"/>
      <c r="D76" s="248"/>
      <c r="E76" s="321"/>
      <c r="F76" s="321"/>
      <c r="G76" s="321"/>
      <c r="H76" s="321"/>
      <c r="I76" s="321"/>
      <c r="J76" s="321"/>
      <c r="K76" s="321"/>
      <c r="L76" s="321"/>
      <c r="M76" s="321"/>
      <c r="N76" s="321"/>
    </row>
    <row r="77" spans="1:14" x14ac:dyDescent="0.2">
      <c r="A77" s="325"/>
      <c r="B77" s="328"/>
      <c r="C77" s="248"/>
      <c r="D77" s="248"/>
      <c r="E77" s="321"/>
      <c r="F77" s="321"/>
      <c r="G77" s="321"/>
      <c r="H77" s="321"/>
      <c r="I77" s="321"/>
      <c r="J77" s="321"/>
      <c r="K77" s="321"/>
      <c r="L77" s="321"/>
      <c r="M77" s="321"/>
      <c r="N77" s="321"/>
    </row>
    <row r="78" spans="1:14" x14ac:dyDescent="0.2">
      <c r="A78" s="325"/>
      <c r="B78" s="328"/>
      <c r="C78" s="248"/>
      <c r="D78" s="248"/>
      <c r="E78" s="321"/>
      <c r="F78" s="321"/>
      <c r="G78" s="321"/>
      <c r="H78" s="321"/>
      <c r="I78" s="321"/>
      <c r="J78" s="321"/>
      <c r="K78" s="321"/>
      <c r="L78" s="321"/>
      <c r="M78" s="321"/>
      <c r="N78" s="321"/>
    </row>
    <row r="79" spans="1:14" x14ac:dyDescent="0.2">
      <c r="A79" s="325"/>
      <c r="B79" s="328"/>
      <c r="C79" s="248"/>
      <c r="D79" s="248"/>
      <c r="E79" s="321"/>
      <c r="F79" s="321"/>
      <c r="G79" s="321"/>
      <c r="H79" s="321"/>
      <c r="I79" s="321"/>
      <c r="J79" s="321"/>
      <c r="K79" s="321"/>
      <c r="L79" s="321"/>
      <c r="M79" s="321"/>
      <c r="N79" s="321"/>
    </row>
    <row r="80" spans="1:14" x14ac:dyDescent="0.2">
      <c r="A80" s="325"/>
      <c r="B80" s="328"/>
      <c r="C80" s="248"/>
      <c r="D80" s="248"/>
      <c r="E80" s="321"/>
      <c r="F80" s="321"/>
      <c r="G80" s="321"/>
      <c r="H80" s="321"/>
      <c r="I80" s="321"/>
      <c r="J80" s="321"/>
      <c r="K80" s="321"/>
      <c r="L80" s="321"/>
      <c r="M80" s="321"/>
      <c r="N80" s="321"/>
    </row>
    <row r="81" spans="1:14" x14ac:dyDescent="0.2">
      <c r="A81" s="325"/>
      <c r="B81" s="328"/>
      <c r="C81" s="248"/>
      <c r="D81" s="248"/>
      <c r="E81" s="321"/>
      <c r="F81" s="321"/>
      <c r="G81" s="321"/>
      <c r="H81" s="321"/>
      <c r="I81" s="321"/>
      <c r="J81" s="321"/>
      <c r="K81" s="321"/>
      <c r="L81" s="321"/>
      <c r="M81" s="321"/>
      <c r="N81" s="321"/>
    </row>
    <row r="82" spans="1:14" x14ac:dyDescent="0.2">
      <c r="A82" s="325"/>
      <c r="B82" s="328"/>
      <c r="C82" s="248"/>
      <c r="D82" s="248"/>
      <c r="E82" s="321"/>
      <c r="F82" s="321"/>
      <c r="G82" s="321"/>
      <c r="H82" s="321"/>
      <c r="I82" s="321"/>
      <c r="J82" s="321"/>
      <c r="K82" s="321"/>
      <c r="L82" s="321"/>
      <c r="M82" s="321"/>
      <c r="N82" s="321"/>
    </row>
    <row r="83" spans="1:14" x14ac:dyDescent="0.2">
      <c r="A83" s="325"/>
      <c r="B83" s="328"/>
      <c r="C83" s="248"/>
      <c r="D83" s="248"/>
      <c r="E83" s="321"/>
      <c r="F83" s="321"/>
      <c r="G83" s="321"/>
      <c r="H83" s="321"/>
      <c r="I83" s="321"/>
      <c r="J83" s="321"/>
      <c r="K83" s="321"/>
      <c r="L83" s="321"/>
      <c r="M83" s="321"/>
      <c r="N83" s="321"/>
    </row>
    <row r="84" spans="1:14" x14ac:dyDescent="0.2">
      <c r="A84" s="325"/>
      <c r="B84" s="328"/>
      <c r="C84" s="248"/>
      <c r="D84" s="248"/>
      <c r="E84" s="321"/>
      <c r="F84" s="321"/>
      <c r="G84" s="321"/>
      <c r="H84" s="321"/>
      <c r="I84" s="321"/>
      <c r="J84" s="321"/>
      <c r="K84" s="321"/>
      <c r="L84" s="321"/>
      <c r="M84" s="321"/>
      <c r="N84" s="321"/>
    </row>
    <row r="85" spans="1:14" x14ac:dyDescent="0.2">
      <c r="A85" s="325"/>
      <c r="B85" s="328"/>
      <c r="C85" s="248"/>
      <c r="D85" s="248"/>
      <c r="E85" s="321"/>
      <c r="F85" s="321"/>
      <c r="G85" s="321"/>
      <c r="H85" s="321"/>
      <c r="I85" s="321"/>
      <c r="J85" s="321"/>
      <c r="K85" s="321"/>
      <c r="L85" s="321"/>
      <c r="M85" s="321"/>
      <c r="N85" s="321"/>
    </row>
    <row r="86" spans="1:14" x14ac:dyDescent="0.2">
      <c r="A86" s="325"/>
      <c r="B86" s="328"/>
      <c r="C86" s="248"/>
      <c r="D86" s="248"/>
      <c r="E86" s="321"/>
      <c r="F86" s="321"/>
      <c r="G86" s="321"/>
      <c r="H86" s="321"/>
      <c r="I86" s="321"/>
      <c r="J86" s="321"/>
      <c r="K86" s="321"/>
      <c r="L86" s="321"/>
      <c r="M86" s="321"/>
      <c r="N86" s="321"/>
    </row>
    <row r="87" spans="1:14" x14ac:dyDescent="0.2">
      <c r="A87" s="325"/>
      <c r="B87" s="328"/>
      <c r="C87" s="248"/>
      <c r="D87" s="248"/>
      <c r="E87" s="321"/>
      <c r="F87" s="321"/>
      <c r="G87" s="321"/>
      <c r="H87" s="321"/>
      <c r="I87" s="321"/>
      <c r="J87" s="321"/>
      <c r="K87" s="321"/>
      <c r="L87" s="321"/>
      <c r="M87" s="321"/>
      <c r="N87" s="321"/>
    </row>
    <row r="88" spans="1:14" x14ac:dyDescent="0.2">
      <c r="A88" s="325"/>
      <c r="B88" s="328"/>
      <c r="C88" s="248"/>
      <c r="D88" s="248"/>
      <c r="E88" s="321"/>
      <c r="F88" s="321"/>
      <c r="G88" s="321"/>
      <c r="H88" s="321"/>
      <c r="I88" s="321"/>
      <c r="J88" s="321"/>
      <c r="K88" s="321"/>
      <c r="L88" s="321"/>
      <c r="M88" s="321"/>
      <c r="N88" s="321"/>
    </row>
    <row r="89" spans="1:14" x14ac:dyDescent="0.2">
      <c r="A89" s="325"/>
      <c r="B89" s="328"/>
      <c r="C89" s="248"/>
      <c r="D89" s="248"/>
      <c r="E89" s="321"/>
      <c r="F89" s="321"/>
      <c r="G89" s="321"/>
      <c r="H89" s="321"/>
      <c r="I89" s="321"/>
      <c r="J89" s="321"/>
      <c r="K89" s="321"/>
      <c r="L89" s="321"/>
      <c r="M89" s="321"/>
      <c r="N89" s="321"/>
    </row>
    <row r="90" spans="1:14" x14ac:dyDescent="0.2">
      <c r="A90" s="325"/>
      <c r="B90" s="328"/>
      <c r="C90" s="248"/>
      <c r="D90" s="248"/>
      <c r="E90" s="321"/>
      <c r="F90" s="321"/>
      <c r="G90" s="321"/>
      <c r="H90" s="321"/>
      <c r="I90" s="321"/>
      <c r="J90" s="321"/>
      <c r="K90" s="321"/>
      <c r="L90" s="321"/>
      <c r="M90" s="321"/>
      <c r="N90" s="321"/>
    </row>
    <row r="91" spans="1:14" x14ac:dyDescent="0.2">
      <c r="A91" s="325"/>
      <c r="B91" s="328"/>
      <c r="C91" s="248"/>
      <c r="D91" s="248"/>
      <c r="E91" s="321"/>
      <c r="F91" s="321"/>
      <c r="G91" s="321"/>
      <c r="H91" s="321"/>
      <c r="I91" s="321"/>
      <c r="J91" s="321"/>
      <c r="K91" s="321"/>
      <c r="L91" s="321"/>
      <c r="M91" s="321"/>
      <c r="N91" s="321"/>
    </row>
    <row r="92" spans="1:14" x14ac:dyDescent="0.2">
      <c r="A92" s="325"/>
      <c r="B92" s="328"/>
      <c r="C92" s="248"/>
      <c r="D92" s="248"/>
      <c r="E92" s="321"/>
      <c r="F92" s="321"/>
      <c r="G92" s="321"/>
      <c r="H92" s="321"/>
      <c r="I92" s="321"/>
      <c r="J92" s="321"/>
      <c r="K92" s="321"/>
      <c r="L92" s="321"/>
      <c r="M92" s="321"/>
      <c r="N92" s="321"/>
    </row>
    <row r="93" spans="1:14" x14ac:dyDescent="0.2">
      <c r="A93" s="325"/>
      <c r="B93" s="328"/>
      <c r="C93" s="248"/>
      <c r="D93" s="248"/>
      <c r="E93" s="321"/>
      <c r="F93" s="321"/>
      <c r="G93" s="321"/>
      <c r="H93" s="321"/>
      <c r="I93" s="321"/>
      <c r="J93" s="321"/>
      <c r="K93" s="321"/>
      <c r="L93" s="321"/>
      <c r="M93" s="321"/>
      <c r="N93" s="321"/>
    </row>
    <row r="94" spans="1:14" x14ac:dyDescent="0.2">
      <c r="A94" s="325"/>
      <c r="B94" s="328"/>
      <c r="C94" s="248"/>
      <c r="D94" s="248"/>
      <c r="E94" s="321"/>
      <c r="F94" s="321"/>
      <c r="G94" s="321"/>
      <c r="H94" s="321"/>
      <c r="I94" s="321"/>
      <c r="J94" s="321"/>
      <c r="K94" s="321"/>
      <c r="L94" s="321"/>
      <c r="M94" s="321"/>
      <c r="N94" s="321"/>
    </row>
    <row r="95" spans="1:14" x14ac:dyDescent="0.2">
      <c r="A95" s="325"/>
      <c r="B95" s="328"/>
      <c r="C95" s="248"/>
      <c r="D95" s="248"/>
      <c r="E95" s="321"/>
      <c r="F95" s="321"/>
      <c r="G95" s="321"/>
      <c r="H95" s="321"/>
      <c r="I95" s="321"/>
      <c r="J95" s="321"/>
      <c r="K95" s="321"/>
      <c r="L95" s="321"/>
      <c r="M95" s="321"/>
      <c r="N95" s="321"/>
    </row>
    <row r="96" spans="1:14" x14ac:dyDescent="0.2">
      <c r="A96" s="325"/>
      <c r="B96" s="328"/>
      <c r="C96" s="248"/>
      <c r="D96" s="248"/>
      <c r="E96" s="321"/>
      <c r="F96" s="321"/>
      <c r="G96" s="321"/>
      <c r="H96" s="321"/>
      <c r="I96" s="321"/>
      <c r="J96" s="321"/>
      <c r="K96" s="321"/>
      <c r="L96" s="321"/>
      <c r="M96" s="321"/>
      <c r="N96" s="321"/>
    </row>
    <row r="97" spans="1:14" x14ac:dyDescent="0.2">
      <c r="A97" s="325"/>
      <c r="B97" s="328"/>
      <c r="C97" s="248"/>
      <c r="D97" s="248"/>
      <c r="E97" s="321"/>
      <c r="F97" s="321"/>
      <c r="G97" s="321"/>
      <c r="H97" s="321"/>
      <c r="I97" s="321"/>
      <c r="J97" s="321"/>
      <c r="K97" s="321"/>
      <c r="L97" s="321"/>
      <c r="M97" s="321"/>
      <c r="N97" s="321"/>
    </row>
    <row r="98" spans="1:14" x14ac:dyDescent="0.2">
      <c r="A98" s="325"/>
      <c r="B98" s="328"/>
      <c r="C98" s="248"/>
      <c r="D98" s="248"/>
      <c r="E98" s="321"/>
      <c r="F98" s="321"/>
      <c r="G98" s="321"/>
      <c r="H98" s="321"/>
      <c r="I98" s="321"/>
      <c r="J98" s="321"/>
      <c r="K98" s="321"/>
      <c r="L98" s="321"/>
      <c r="M98" s="321"/>
      <c r="N98" s="321"/>
    </row>
    <row r="99" spans="1:14" x14ac:dyDescent="0.2">
      <c r="A99" s="325"/>
      <c r="B99" s="328"/>
      <c r="C99" s="248"/>
      <c r="D99" s="248"/>
      <c r="E99" s="321"/>
      <c r="F99" s="321"/>
      <c r="G99" s="321"/>
      <c r="H99" s="321"/>
      <c r="I99" s="321"/>
      <c r="J99" s="321"/>
      <c r="K99" s="321"/>
      <c r="L99" s="321"/>
      <c r="M99" s="321"/>
      <c r="N99" s="321"/>
    </row>
    <row r="100" spans="1:14" x14ac:dyDescent="0.2">
      <c r="A100" s="325"/>
      <c r="B100" s="328"/>
      <c r="C100" s="248"/>
      <c r="D100" s="248"/>
      <c r="E100" s="321"/>
      <c r="F100" s="321"/>
      <c r="G100" s="321"/>
      <c r="H100" s="321"/>
      <c r="I100" s="321"/>
      <c r="J100" s="321"/>
      <c r="K100" s="321"/>
      <c r="L100" s="321"/>
      <c r="M100" s="321"/>
      <c r="N100" s="321"/>
    </row>
    <row r="101" spans="1:14" x14ac:dyDescent="0.2">
      <c r="A101" s="325"/>
      <c r="B101" s="328"/>
      <c r="C101" s="248"/>
      <c r="D101" s="248"/>
      <c r="E101" s="321"/>
      <c r="F101" s="321"/>
      <c r="G101" s="321"/>
      <c r="H101" s="321"/>
      <c r="I101" s="321"/>
      <c r="J101" s="321"/>
      <c r="K101" s="321"/>
      <c r="L101" s="321"/>
      <c r="M101" s="321"/>
      <c r="N101" s="321"/>
    </row>
    <row r="102" spans="1:14" x14ac:dyDescent="0.2">
      <c r="A102" s="325"/>
      <c r="B102" s="328"/>
      <c r="C102" s="248"/>
      <c r="D102" s="248"/>
      <c r="E102" s="321"/>
      <c r="F102" s="321"/>
      <c r="G102" s="321"/>
      <c r="H102" s="321"/>
      <c r="I102" s="321"/>
      <c r="J102" s="321"/>
      <c r="K102" s="321"/>
      <c r="L102" s="321"/>
      <c r="M102" s="321"/>
      <c r="N102" s="321"/>
    </row>
    <row r="103" spans="1:14" x14ac:dyDescent="0.2">
      <c r="A103" s="325"/>
      <c r="B103" s="328"/>
      <c r="C103" s="248"/>
      <c r="D103" s="248"/>
      <c r="E103" s="321"/>
      <c r="F103" s="321"/>
      <c r="G103" s="321"/>
      <c r="H103" s="321"/>
      <c r="I103" s="321"/>
      <c r="J103" s="321"/>
      <c r="K103" s="321"/>
      <c r="L103" s="321"/>
      <c r="M103" s="321"/>
      <c r="N103" s="321"/>
    </row>
    <row r="104" spans="1:14" x14ac:dyDescent="0.2">
      <c r="A104" s="325"/>
      <c r="B104" s="328"/>
      <c r="C104" s="248"/>
      <c r="D104" s="248"/>
      <c r="E104" s="321"/>
      <c r="F104" s="321"/>
      <c r="G104" s="321"/>
      <c r="H104" s="321"/>
      <c r="I104" s="321"/>
      <c r="J104" s="321"/>
      <c r="K104" s="321"/>
      <c r="L104" s="321"/>
      <c r="M104" s="321"/>
      <c r="N104" s="321"/>
    </row>
    <row r="105" spans="1:14" x14ac:dyDescent="0.2">
      <c r="A105" s="325"/>
      <c r="B105" s="328"/>
      <c r="C105" s="248"/>
      <c r="D105" s="248"/>
      <c r="E105" s="321"/>
      <c r="F105" s="321"/>
      <c r="G105" s="321"/>
      <c r="H105" s="321"/>
      <c r="I105" s="321"/>
      <c r="J105" s="321"/>
      <c r="K105" s="321"/>
      <c r="L105" s="321"/>
      <c r="M105" s="321"/>
      <c r="N105" s="321"/>
    </row>
    <row r="106" spans="1:14" x14ac:dyDescent="0.2">
      <c r="A106" s="325"/>
      <c r="B106" s="328"/>
      <c r="C106" s="248"/>
      <c r="D106" s="248"/>
      <c r="E106" s="321"/>
      <c r="F106" s="321"/>
      <c r="G106" s="321"/>
      <c r="H106" s="321"/>
      <c r="I106" s="321"/>
      <c r="J106" s="321"/>
      <c r="K106" s="321"/>
      <c r="L106" s="321"/>
      <c r="M106" s="321"/>
      <c r="N106" s="321"/>
    </row>
    <row r="107" spans="1:14" x14ac:dyDescent="0.2">
      <c r="A107" s="325"/>
      <c r="B107" s="328"/>
      <c r="C107" s="248"/>
      <c r="D107" s="248"/>
      <c r="E107" s="321"/>
      <c r="F107" s="321"/>
      <c r="G107" s="321"/>
      <c r="H107" s="321"/>
      <c r="I107" s="321"/>
      <c r="J107" s="321"/>
      <c r="K107" s="321"/>
      <c r="L107" s="321"/>
      <c r="M107" s="321"/>
      <c r="N107" s="321"/>
    </row>
    <row r="108" spans="1:14" x14ac:dyDescent="0.2">
      <c r="A108" s="325"/>
      <c r="B108" s="328"/>
      <c r="C108" s="248"/>
      <c r="D108" s="248"/>
      <c r="E108" s="321"/>
      <c r="F108" s="321"/>
      <c r="G108" s="321"/>
      <c r="H108" s="321"/>
      <c r="I108" s="321"/>
      <c r="J108" s="321"/>
      <c r="K108" s="321"/>
      <c r="L108" s="321"/>
      <c r="M108" s="321"/>
      <c r="N108" s="321"/>
    </row>
    <row r="109" spans="1:14" x14ac:dyDescent="0.2">
      <c r="A109" s="325"/>
      <c r="B109" s="328"/>
      <c r="C109" s="248"/>
      <c r="D109" s="248"/>
      <c r="E109" s="321"/>
      <c r="F109" s="321"/>
      <c r="G109" s="321"/>
      <c r="H109" s="321"/>
      <c r="I109" s="321"/>
      <c r="J109" s="321"/>
      <c r="K109" s="321"/>
      <c r="L109" s="321"/>
      <c r="M109" s="321"/>
      <c r="N109" s="321"/>
    </row>
    <row r="110" spans="1:14" x14ac:dyDescent="0.2">
      <c r="A110" s="325"/>
      <c r="B110" s="328"/>
      <c r="C110" s="248"/>
      <c r="D110" s="248"/>
      <c r="E110" s="321"/>
      <c r="F110" s="321"/>
      <c r="G110" s="321"/>
      <c r="H110" s="321"/>
      <c r="I110" s="321"/>
      <c r="J110" s="321"/>
      <c r="K110" s="321"/>
      <c r="L110" s="321"/>
      <c r="M110" s="321"/>
      <c r="N110" s="321"/>
    </row>
    <row r="111" spans="1:14" x14ac:dyDescent="0.2">
      <c r="A111" s="325"/>
      <c r="B111" s="328"/>
      <c r="C111" s="248"/>
      <c r="D111" s="248"/>
      <c r="E111" s="321"/>
      <c r="F111" s="321"/>
      <c r="G111" s="321"/>
      <c r="H111" s="321"/>
      <c r="I111" s="321"/>
      <c r="J111" s="321"/>
      <c r="K111" s="321"/>
      <c r="L111" s="321"/>
      <c r="M111" s="321"/>
      <c r="N111" s="321"/>
    </row>
    <row r="112" spans="1:14" x14ac:dyDescent="0.2">
      <c r="A112" s="325"/>
      <c r="B112" s="328"/>
      <c r="C112" s="248"/>
      <c r="D112" s="248"/>
      <c r="E112" s="321"/>
      <c r="F112" s="321"/>
      <c r="G112" s="321"/>
      <c r="H112" s="321"/>
      <c r="I112" s="321"/>
      <c r="J112" s="321"/>
      <c r="K112" s="321"/>
      <c r="L112" s="321"/>
      <c r="M112" s="321"/>
      <c r="N112" s="321"/>
    </row>
    <row r="113" spans="1:14" x14ac:dyDescent="0.2">
      <c r="A113" s="325"/>
      <c r="B113" s="328"/>
      <c r="C113" s="248"/>
      <c r="D113" s="248"/>
      <c r="E113" s="321"/>
      <c r="F113" s="321"/>
      <c r="G113" s="321"/>
      <c r="H113" s="321"/>
      <c r="I113" s="321"/>
      <c r="J113" s="321"/>
      <c r="K113" s="321"/>
      <c r="L113" s="321"/>
      <c r="M113" s="321"/>
      <c r="N113" s="321"/>
    </row>
    <row r="114" spans="1:14" x14ac:dyDescent="0.2">
      <c r="A114" s="325"/>
      <c r="B114" s="328"/>
      <c r="C114" s="248"/>
      <c r="D114" s="248"/>
      <c r="E114" s="321"/>
      <c r="F114" s="321"/>
      <c r="G114" s="321"/>
      <c r="H114" s="321"/>
      <c r="I114" s="321"/>
      <c r="J114" s="321"/>
      <c r="K114" s="321"/>
      <c r="L114" s="321"/>
      <c r="M114" s="321"/>
      <c r="N114" s="321"/>
    </row>
    <row r="115" spans="1:14" x14ac:dyDescent="0.2">
      <c r="A115" s="325"/>
      <c r="B115" s="328"/>
      <c r="C115" s="248"/>
      <c r="D115" s="248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</row>
    <row r="116" spans="1:14" x14ac:dyDescent="0.2">
      <c r="A116" s="325"/>
      <c r="B116" s="328"/>
      <c r="C116" s="248"/>
      <c r="D116" s="248"/>
      <c r="E116" s="321"/>
      <c r="F116" s="321"/>
      <c r="G116" s="321"/>
      <c r="H116" s="321"/>
      <c r="I116" s="321"/>
      <c r="J116" s="321"/>
      <c r="K116" s="321"/>
      <c r="L116" s="321"/>
      <c r="M116" s="321"/>
      <c r="N116" s="321"/>
    </row>
    <row r="117" spans="1:14" x14ac:dyDescent="0.2">
      <c r="A117" s="325"/>
      <c r="B117" s="328"/>
      <c r="C117" s="248"/>
      <c r="D117" s="248"/>
      <c r="E117" s="321"/>
      <c r="F117" s="321"/>
      <c r="G117" s="321"/>
      <c r="H117" s="321"/>
      <c r="I117" s="321"/>
      <c r="J117" s="321"/>
      <c r="K117" s="321"/>
      <c r="L117" s="321"/>
      <c r="M117" s="321"/>
      <c r="N117" s="321"/>
    </row>
    <row r="118" spans="1:14" x14ac:dyDescent="0.2">
      <c r="A118" s="325"/>
      <c r="B118" s="328"/>
      <c r="C118" s="248"/>
      <c r="D118" s="248"/>
      <c r="E118" s="321"/>
      <c r="F118" s="321"/>
      <c r="G118" s="321"/>
      <c r="H118" s="321"/>
      <c r="I118" s="321"/>
      <c r="J118" s="321"/>
      <c r="K118" s="321"/>
      <c r="L118" s="321"/>
      <c r="M118" s="321"/>
      <c r="N118" s="321"/>
    </row>
    <row r="119" spans="1:14" x14ac:dyDescent="0.2">
      <c r="A119" s="325"/>
      <c r="B119" s="328"/>
      <c r="C119" s="248"/>
      <c r="D119" s="248"/>
      <c r="E119" s="321"/>
      <c r="F119" s="321"/>
      <c r="G119" s="321"/>
      <c r="H119" s="321"/>
      <c r="I119" s="321"/>
      <c r="J119" s="321"/>
      <c r="K119" s="321"/>
      <c r="L119" s="321"/>
      <c r="M119" s="321"/>
      <c r="N119" s="321"/>
    </row>
    <row r="120" spans="1:14" x14ac:dyDescent="0.2">
      <c r="A120" s="325"/>
      <c r="B120" s="328"/>
      <c r="C120" s="248"/>
      <c r="D120" s="248"/>
      <c r="E120" s="321"/>
      <c r="F120" s="321"/>
      <c r="G120" s="321"/>
      <c r="H120" s="321"/>
      <c r="I120" s="321"/>
      <c r="J120" s="321"/>
      <c r="K120" s="321"/>
      <c r="L120" s="321"/>
      <c r="M120" s="321"/>
      <c r="N120" s="321"/>
    </row>
    <row r="121" spans="1:14" x14ac:dyDescent="0.2">
      <c r="A121" s="325"/>
      <c r="B121" s="328"/>
      <c r="C121" s="248"/>
      <c r="D121" s="248"/>
      <c r="E121" s="321"/>
      <c r="F121" s="321"/>
      <c r="G121" s="321"/>
      <c r="H121" s="321"/>
      <c r="I121" s="321"/>
      <c r="J121" s="321"/>
      <c r="K121" s="321"/>
      <c r="L121" s="321"/>
      <c r="M121" s="321"/>
      <c r="N121" s="321"/>
    </row>
    <row r="122" spans="1:14" x14ac:dyDescent="0.2">
      <c r="A122" s="325"/>
      <c r="B122" s="328"/>
      <c r="C122" s="248"/>
      <c r="D122" s="248"/>
      <c r="E122" s="321"/>
      <c r="F122" s="321"/>
      <c r="G122" s="321"/>
      <c r="H122" s="321"/>
      <c r="I122" s="321"/>
      <c r="J122" s="321"/>
      <c r="K122" s="321"/>
      <c r="L122" s="321"/>
      <c r="M122" s="321"/>
      <c r="N122" s="321"/>
    </row>
    <row r="123" spans="1:14" x14ac:dyDescent="0.2">
      <c r="A123" s="325"/>
      <c r="B123" s="328"/>
      <c r="C123" s="248"/>
      <c r="D123" s="248"/>
      <c r="E123" s="321"/>
      <c r="F123" s="321"/>
      <c r="G123" s="321"/>
      <c r="H123" s="321"/>
      <c r="I123" s="321"/>
      <c r="J123" s="321"/>
      <c r="K123" s="321"/>
      <c r="L123" s="321"/>
      <c r="M123" s="321"/>
      <c r="N123" s="321"/>
    </row>
    <row r="124" spans="1:14" x14ac:dyDescent="0.2">
      <c r="A124" s="325"/>
      <c r="B124" s="328"/>
      <c r="C124" s="248"/>
      <c r="D124" s="248"/>
      <c r="E124" s="321"/>
      <c r="F124" s="321"/>
      <c r="G124" s="321"/>
      <c r="H124" s="321"/>
      <c r="I124" s="321"/>
      <c r="J124" s="321"/>
      <c r="K124" s="321"/>
      <c r="L124" s="321"/>
      <c r="M124" s="321"/>
      <c r="N124" s="321"/>
    </row>
    <row r="125" spans="1:14" x14ac:dyDescent="0.2">
      <c r="A125" s="325"/>
      <c r="B125" s="328"/>
      <c r="C125" s="248"/>
      <c r="D125" s="248"/>
      <c r="E125" s="321"/>
      <c r="F125" s="321"/>
      <c r="G125" s="321"/>
      <c r="H125" s="321"/>
      <c r="I125" s="321"/>
      <c r="J125" s="321"/>
      <c r="K125" s="321"/>
      <c r="L125" s="321"/>
      <c r="M125" s="321"/>
      <c r="N125" s="321"/>
    </row>
    <row r="126" spans="1:14" x14ac:dyDescent="0.2">
      <c r="A126" s="325"/>
      <c r="B126" s="328"/>
      <c r="C126" s="248"/>
      <c r="D126" s="248"/>
      <c r="E126" s="321"/>
      <c r="F126" s="321"/>
      <c r="G126" s="321"/>
      <c r="H126" s="321"/>
      <c r="I126" s="321"/>
      <c r="J126" s="321"/>
      <c r="K126" s="321"/>
      <c r="L126" s="321"/>
      <c r="M126" s="321"/>
      <c r="N126" s="321"/>
    </row>
    <row r="127" spans="1:14" x14ac:dyDescent="0.2">
      <c r="A127" s="325"/>
      <c r="B127" s="328"/>
      <c r="C127" s="248"/>
      <c r="D127" s="248"/>
      <c r="E127" s="321"/>
      <c r="F127" s="321"/>
      <c r="G127" s="321"/>
      <c r="H127" s="321"/>
      <c r="I127" s="321"/>
      <c r="J127" s="321"/>
      <c r="K127" s="321"/>
      <c r="L127" s="321"/>
      <c r="M127" s="321"/>
      <c r="N127" s="321"/>
    </row>
    <row r="128" spans="1:14" x14ac:dyDescent="0.2">
      <c r="A128" s="325"/>
      <c r="B128" s="328"/>
      <c r="C128" s="248"/>
      <c r="D128" s="248"/>
      <c r="E128" s="321"/>
      <c r="F128" s="321"/>
      <c r="G128" s="321"/>
      <c r="H128" s="321"/>
      <c r="I128" s="321"/>
      <c r="J128" s="321"/>
      <c r="K128" s="321"/>
      <c r="L128" s="321"/>
      <c r="M128" s="321"/>
      <c r="N128" s="321"/>
    </row>
    <row r="129" spans="1:14" x14ac:dyDescent="0.2">
      <c r="A129" s="325"/>
      <c r="B129" s="328"/>
      <c r="C129" s="248"/>
      <c r="D129" s="248"/>
      <c r="E129" s="321"/>
      <c r="F129" s="321"/>
      <c r="G129" s="321"/>
      <c r="H129" s="321"/>
      <c r="I129" s="321"/>
      <c r="J129" s="321"/>
      <c r="K129" s="321"/>
      <c r="L129" s="321"/>
      <c r="M129" s="321"/>
      <c r="N129" s="321"/>
    </row>
    <row r="130" spans="1:14" x14ac:dyDescent="0.2">
      <c r="A130" s="325"/>
      <c r="B130" s="328"/>
      <c r="C130" s="248"/>
      <c r="D130" s="248"/>
      <c r="E130" s="321"/>
      <c r="F130" s="321"/>
      <c r="G130" s="321"/>
      <c r="H130" s="321"/>
      <c r="I130" s="321"/>
      <c r="J130" s="321"/>
      <c r="K130" s="321"/>
      <c r="L130" s="321"/>
      <c r="M130" s="321"/>
      <c r="N130" s="321"/>
    </row>
    <row r="131" spans="1:14" x14ac:dyDescent="0.2">
      <c r="B131" s="328"/>
    </row>
  </sheetData>
  <hyperlinks>
    <hyperlink ref="G4" location="'Schedule B-Summary'!A42" tooltip="This hyperlink will take you to the referenced footnote-footnote 1" display="'Schedule B-Summary'!A42"/>
    <hyperlink ref="G9" location="'B Summary'!A43" tooltip="This hyperlink will take you to the referenced footnote-footnote 2" display="'B Summary'!A43"/>
    <hyperlink ref="G10" location="'B Summary'!A44" tooltip="This hyperlink will take you to the referenced footnote-footnote 3" display="'B Summary'!A44"/>
    <hyperlink ref="H2" location="'Schedule B-Summary'!A45" tooltip="This hyperlink will take you to the referenced footnote-footnote 4" display="'Schedule B-Summary'!A45"/>
    <hyperlink ref="J2" location="'Schedule B-Summary'!A46" tooltip="This hyperlink will take you to the referenced footnote-footnote 5" display="'Schedule B-Summary'!A46"/>
    <hyperlink ref="M2" location="'Schedule B-Summary'!A47" tooltip="This hyperlink will take you to the referenced footnote-footnote 6" display="'Schedule B-Summary'!A47"/>
    <hyperlink ref="O2" location="'Schedule B-Summary'!A48" tooltip="This hyperlink will take you to the referenced footnote-footnote 7" display="'Schedule B-Summary'!A48"/>
    <hyperlink ref="A17" location="'Schedule B-Summary'!A49" tooltip="This hyperlink will take you to the referenced footnote-footnote 8" display="Total Schedule B1: Funded Mandates 8"/>
    <hyperlink ref="A34" location="'Schedule B-Summary'!A49" tooltip="This hyperlink will take you to the referenced footnote-footnote 8" display="Total Schedule B2: Unfunded Mandates 8"/>
  </hyperlinks>
  <printOptions horizontalCentered="1" gridLines="1"/>
  <pageMargins left="0.3" right="0.3" top="1.1000000000000001" bottom="0.75" header="0.3" footer="0.3"/>
  <pageSetup scale="49" fitToHeight="0" orientation="landscape" r:id="rId1"/>
  <headerFooter>
    <oddHeader>&amp;C&amp;"-,Bold"&amp;12State Controller's Office
Schedule B: Summary of Funded and Unfunded State-Mandated Programs
As of August 31, 2020</oddHeader>
    <oddFooter>&amp;LSchedule B: Summary of Funded and Unfunded State-Mandated Programs&amp;RPage &amp;P of &amp;N</oddFooter>
  </headerFooter>
  <rowBreaks count="1" manualBreakCount="1">
    <brk id="35" max="14" man="1"/>
  </rowBreaks>
  <legacyDrawing r:id="rId2"/>
  <tableParts count="7">
    <tablePart r:id="rId3"/>
    <tablePart r:id="rId4"/>
    <tablePart r:id="rId5"/>
    <tablePart r:id="rId6"/>
    <tablePart r:id="rId7"/>
    <tablePart r:id="rId8"/>
    <tablePart r:id="rId9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70"/>
  <sheetViews>
    <sheetView zoomScaleNormal="100" zoomScalePageLayoutView="80" workbookViewId="0"/>
  </sheetViews>
  <sheetFormatPr defaultColWidth="9.140625" defaultRowHeight="15.75" outlineLevelRow="2" x14ac:dyDescent="0.25"/>
  <cols>
    <col min="1" max="1" width="23.28515625" style="193" customWidth="1"/>
    <col min="2" max="2" width="40.5703125" style="206" customWidth="1"/>
    <col min="3" max="3" width="13.7109375" style="207" customWidth="1"/>
    <col min="4" max="4" width="14.5703125" style="193" customWidth="1"/>
    <col min="5" max="5" width="16.7109375" style="208" customWidth="1"/>
    <col min="6" max="6" width="16.7109375" style="209" customWidth="1"/>
    <col min="7" max="7" width="2.5703125" style="209" customWidth="1"/>
    <col min="8" max="8" width="16.7109375" style="208" customWidth="1"/>
    <col min="9" max="10" width="16.7109375" style="209" customWidth="1"/>
    <col min="11" max="12" width="16.7109375" style="208" customWidth="1"/>
    <col min="13" max="16384" width="9.140625" style="20"/>
  </cols>
  <sheetData>
    <row r="1" spans="1:12" s="201" customFormat="1" ht="54" customHeight="1" outlineLevel="1" x14ac:dyDescent="0.25">
      <c r="A1" s="198" t="s">
        <v>531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</row>
    <row r="2" spans="1:12" customFormat="1" ht="50.1" customHeight="1" outlineLevel="1" x14ac:dyDescent="0.25">
      <c r="A2" s="176" t="s">
        <v>98</v>
      </c>
      <c r="B2" s="176" t="s">
        <v>99</v>
      </c>
      <c r="C2" s="176" t="s">
        <v>1</v>
      </c>
      <c r="D2" s="176" t="s">
        <v>195</v>
      </c>
      <c r="E2" s="210" t="s">
        <v>188</v>
      </c>
      <c r="F2" s="211" t="s">
        <v>576</v>
      </c>
      <c r="G2" s="394" t="s">
        <v>577</v>
      </c>
      <c r="H2" s="210" t="s">
        <v>528</v>
      </c>
      <c r="I2" s="210" t="s">
        <v>529</v>
      </c>
      <c r="J2" s="210" t="s">
        <v>197</v>
      </c>
      <c r="K2" s="210" t="s">
        <v>530</v>
      </c>
      <c r="L2" s="210" t="s">
        <v>196</v>
      </c>
    </row>
    <row r="3" spans="1:12" ht="14.45" customHeight="1" outlineLevel="2" x14ac:dyDescent="0.25">
      <c r="A3" s="40" t="s">
        <v>165</v>
      </c>
      <c r="B3" s="196" t="s">
        <v>39</v>
      </c>
      <c r="C3" s="3" t="s">
        <v>40</v>
      </c>
      <c r="D3" s="40">
        <v>152</v>
      </c>
      <c r="E3" s="146">
        <v>709149</v>
      </c>
      <c r="F3" s="146">
        <v>584999</v>
      </c>
      <c r="G3" s="213" t="s">
        <v>500</v>
      </c>
      <c r="H3" s="146">
        <v>124150</v>
      </c>
      <c r="I3" s="215">
        <v>0</v>
      </c>
      <c r="J3" s="215">
        <v>0</v>
      </c>
      <c r="K3" s="215">
        <v>0</v>
      </c>
      <c r="L3" s="146">
        <v>124150</v>
      </c>
    </row>
    <row r="4" spans="1:12" ht="30.75" outlineLevel="2" x14ac:dyDescent="0.25">
      <c r="A4" s="40" t="s">
        <v>165</v>
      </c>
      <c r="B4" s="196" t="s">
        <v>47</v>
      </c>
      <c r="C4" s="3" t="s">
        <v>48</v>
      </c>
      <c r="D4" s="40">
        <v>274</v>
      </c>
      <c r="E4" s="146">
        <v>2376939</v>
      </c>
      <c r="F4" s="146">
        <v>2220997</v>
      </c>
      <c r="G4" s="213" t="s">
        <v>500</v>
      </c>
      <c r="H4" s="146">
        <v>155942</v>
      </c>
      <c r="I4" s="215">
        <v>0</v>
      </c>
      <c r="J4" s="215">
        <v>0</v>
      </c>
      <c r="K4" s="215">
        <v>0</v>
      </c>
      <c r="L4" s="146">
        <v>155942</v>
      </c>
    </row>
    <row r="5" spans="1:12" ht="30.75" outlineLevel="2" x14ac:dyDescent="0.25">
      <c r="A5" s="40" t="s">
        <v>165</v>
      </c>
      <c r="B5" s="196" t="s">
        <v>51</v>
      </c>
      <c r="C5" s="3" t="s">
        <v>52</v>
      </c>
      <c r="D5" s="40">
        <v>197</v>
      </c>
      <c r="E5" s="146">
        <v>2610954</v>
      </c>
      <c r="F5" s="146">
        <v>2610954</v>
      </c>
      <c r="G5" s="213" t="s">
        <v>500</v>
      </c>
      <c r="H5" s="215">
        <v>0</v>
      </c>
      <c r="I5" s="146">
        <v>5269</v>
      </c>
      <c r="J5" s="215">
        <v>0</v>
      </c>
      <c r="K5" s="146">
        <v>5269</v>
      </c>
      <c r="L5" s="146">
        <v>-5269</v>
      </c>
    </row>
    <row r="6" spans="1:12" ht="14.45" customHeight="1" outlineLevel="2" x14ac:dyDescent="0.25">
      <c r="A6" s="40" t="s">
        <v>165</v>
      </c>
      <c r="B6" s="196" t="s">
        <v>198</v>
      </c>
      <c r="C6" s="3" t="s">
        <v>199</v>
      </c>
      <c r="D6" s="40">
        <v>187</v>
      </c>
      <c r="E6" s="146">
        <v>6606478</v>
      </c>
      <c r="F6" s="215">
        <v>0</v>
      </c>
      <c r="G6" s="213" t="s">
        <v>500</v>
      </c>
      <c r="H6" s="146">
        <v>6606478</v>
      </c>
      <c r="I6" s="215">
        <v>0</v>
      </c>
      <c r="J6" s="215">
        <v>0</v>
      </c>
      <c r="K6" s="215">
        <v>0</v>
      </c>
      <c r="L6" s="146">
        <v>6606478</v>
      </c>
    </row>
    <row r="7" spans="1:12" ht="14.45" customHeight="1" outlineLevel="2" x14ac:dyDescent="0.25">
      <c r="A7" s="40" t="s">
        <v>165</v>
      </c>
      <c r="B7" s="196" t="s">
        <v>96</v>
      </c>
      <c r="C7" s="3" t="s">
        <v>97</v>
      </c>
      <c r="D7" s="40">
        <v>121</v>
      </c>
      <c r="E7" s="146">
        <v>64723</v>
      </c>
      <c r="F7" s="146">
        <v>46000</v>
      </c>
      <c r="G7" s="213" t="s">
        <v>500</v>
      </c>
      <c r="H7" s="146">
        <v>18723</v>
      </c>
      <c r="I7" s="215">
        <v>0</v>
      </c>
      <c r="J7" s="215">
        <v>0</v>
      </c>
      <c r="K7" s="215">
        <v>0</v>
      </c>
      <c r="L7" s="146">
        <v>18723</v>
      </c>
    </row>
    <row r="8" spans="1:12" ht="14.45" customHeight="1" outlineLevel="2" x14ac:dyDescent="0.25">
      <c r="A8" s="40" t="s">
        <v>165</v>
      </c>
      <c r="B8" s="196" t="s">
        <v>65</v>
      </c>
      <c r="C8" s="3" t="s">
        <v>66</v>
      </c>
      <c r="D8" s="40">
        <v>175</v>
      </c>
      <c r="E8" s="146">
        <v>12461515</v>
      </c>
      <c r="F8" s="146">
        <v>3688999</v>
      </c>
      <c r="G8" s="213" t="s">
        <v>500</v>
      </c>
      <c r="H8" s="146">
        <v>8772516</v>
      </c>
      <c r="I8" s="215">
        <v>0</v>
      </c>
      <c r="J8" s="215">
        <v>0</v>
      </c>
      <c r="K8" s="215">
        <v>0</v>
      </c>
      <c r="L8" s="146">
        <v>8772516</v>
      </c>
    </row>
    <row r="9" spans="1:12" ht="14.45" customHeight="1" outlineLevel="2" x14ac:dyDescent="0.25">
      <c r="A9" s="40" t="s">
        <v>165</v>
      </c>
      <c r="B9" s="196" t="s">
        <v>200</v>
      </c>
      <c r="C9" s="3" t="s">
        <v>201</v>
      </c>
      <c r="D9" s="40">
        <v>163</v>
      </c>
      <c r="E9" s="146">
        <v>12770</v>
      </c>
      <c r="F9" s="215">
        <v>0</v>
      </c>
      <c r="G9" s="213" t="s">
        <v>500</v>
      </c>
      <c r="H9" s="146">
        <v>12770</v>
      </c>
      <c r="I9" s="215">
        <v>0</v>
      </c>
      <c r="J9" s="215">
        <v>0</v>
      </c>
      <c r="K9" s="215">
        <v>0</v>
      </c>
      <c r="L9" s="146">
        <v>12770</v>
      </c>
    </row>
    <row r="10" spans="1:12" ht="30.75" outlineLevel="2" x14ac:dyDescent="0.25">
      <c r="A10" s="40" t="s">
        <v>165</v>
      </c>
      <c r="B10" s="196" t="s">
        <v>168</v>
      </c>
      <c r="C10" s="3" t="s">
        <v>169</v>
      </c>
      <c r="D10" s="40">
        <v>372</v>
      </c>
      <c r="E10" s="146">
        <v>1302915</v>
      </c>
      <c r="F10" s="146">
        <v>813201</v>
      </c>
      <c r="G10" s="213" t="s">
        <v>500</v>
      </c>
      <c r="H10" s="146">
        <v>489714</v>
      </c>
      <c r="I10" s="215">
        <v>0</v>
      </c>
      <c r="J10" s="215">
        <v>0</v>
      </c>
      <c r="K10" s="215">
        <v>0</v>
      </c>
      <c r="L10" s="146">
        <v>489714</v>
      </c>
    </row>
    <row r="11" spans="1:12" s="153" customFormat="1" outlineLevel="2" x14ac:dyDescent="0.25">
      <c r="A11" s="241" t="s">
        <v>202</v>
      </c>
      <c r="B11" s="184" t="s">
        <v>500</v>
      </c>
      <c r="C11" s="74" t="s">
        <v>500</v>
      </c>
      <c r="D11" s="180" t="s">
        <v>500</v>
      </c>
      <c r="E11" s="78">
        <f>SUBTOTAL(109,local201819[Program
Costs])</f>
        <v>26145443</v>
      </c>
      <c r="F11" s="78">
        <f>SUBTOTAL(109,local201819[Less: Net Payments and Offsets 9])</f>
        <v>9965150</v>
      </c>
      <c r="G11" s="74" t="s">
        <v>500</v>
      </c>
      <c r="H11" s="78">
        <f>SUBTOTAL(109,local201819[Accounts Payable
Balance])</f>
        <v>16180293</v>
      </c>
      <c r="I11" s="78">
        <f>SUBTOTAL(109,local201819[Established
Accounts Receivable])</f>
        <v>5269</v>
      </c>
      <c r="J11" s="179">
        <f>SUBTOTAL(109,local201819[Less: Recovered Amount])</f>
        <v>0</v>
      </c>
      <c r="K11" s="78">
        <f>SUBTOTAL(109,local201819[Accounts Receivable
Balance])</f>
        <v>5269</v>
      </c>
      <c r="L11" s="78">
        <f>SUBTOTAL(109,local201819[Net
Balance])</f>
        <v>16175024</v>
      </c>
    </row>
    <row r="12" spans="1:12" customFormat="1" outlineLevel="1" x14ac:dyDescent="0.25">
      <c r="A12" s="214" t="s">
        <v>508</v>
      </c>
      <c r="B12" s="196"/>
      <c r="C12" s="3"/>
      <c r="D12" s="40"/>
      <c r="E12" s="146"/>
      <c r="F12" s="146"/>
      <c r="G12" s="146"/>
      <c r="H12" s="146"/>
      <c r="I12" s="146"/>
      <c r="J12" s="146"/>
      <c r="K12" s="146"/>
      <c r="L12" s="146"/>
    </row>
    <row r="13" spans="1:12" ht="50.1" customHeight="1" outlineLevel="2" x14ac:dyDescent="0.25">
      <c r="A13" s="176" t="s">
        <v>98</v>
      </c>
      <c r="B13" s="176" t="s">
        <v>99</v>
      </c>
      <c r="C13" s="176" t="s">
        <v>1</v>
      </c>
      <c r="D13" s="176" t="s">
        <v>195</v>
      </c>
      <c r="E13" s="210" t="s">
        <v>188</v>
      </c>
      <c r="F13" s="211" t="s">
        <v>576</v>
      </c>
      <c r="G13" s="212" t="s">
        <v>532</v>
      </c>
      <c r="H13" s="210" t="s">
        <v>528</v>
      </c>
      <c r="I13" s="210" t="s">
        <v>529</v>
      </c>
      <c r="J13" s="210" t="s">
        <v>197</v>
      </c>
      <c r="K13" s="210" t="s">
        <v>530</v>
      </c>
      <c r="L13" s="210" t="s">
        <v>196</v>
      </c>
    </row>
    <row r="14" spans="1:12" ht="30.75" outlineLevel="2" x14ac:dyDescent="0.25">
      <c r="A14" s="40" t="s">
        <v>16</v>
      </c>
      <c r="B14" s="196" t="s">
        <v>45</v>
      </c>
      <c r="C14" s="3" t="s">
        <v>46</v>
      </c>
      <c r="D14" s="40">
        <v>167</v>
      </c>
      <c r="E14" s="146">
        <v>9483538</v>
      </c>
      <c r="F14" s="146">
        <v>9483538</v>
      </c>
      <c r="G14" s="213" t="s">
        <v>500</v>
      </c>
      <c r="H14" s="215">
        <v>0</v>
      </c>
      <c r="I14" s="146">
        <v>32867</v>
      </c>
      <c r="J14" s="146">
        <v>32185</v>
      </c>
      <c r="K14" s="146">
        <v>682</v>
      </c>
      <c r="L14" s="146">
        <v>-682</v>
      </c>
    </row>
    <row r="15" spans="1:12" ht="30.75" outlineLevel="2" x14ac:dyDescent="0.25">
      <c r="A15" s="40" t="s">
        <v>16</v>
      </c>
      <c r="B15" s="196" t="s">
        <v>51</v>
      </c>
      <c r="C15" s="3" t="s">
        <v>52</v>
      </c>
      <c r="D15" s="40">
        <v>197</v>
      </c>
      <c r="E15" s="146">
        <v>2631086</v>
      </c>
      <c r="F15" s="146">
        <v>2631086</v>
      </c>
      <c r="G15" s="213" t="s">
        <v>500</v>
      </c>
      <c r="H15" s="215">
        <v>0</v>
      </c>
      <c r="I15" s="146">
        <v>2026</v>
      </c>
      <c r="J15" s="215">
        <v>0</v>
      </c>
      <c r="K15" s="146">
        <v>2026</v>
      </c>
      <c r="L15" s="146">
        <v>-2026</v>
      </c>
    </row>
    <row r="16" spans="1:12" ht="30.75" customHeight="1" outlineLevel="2" x14ac:dyDescent="0.25">
      <c r="A16" s="40" t="s">
        <v>16</v>
      </c>
      <c r="B16" s="196" t="s">
        <v>166</v>
      </c>
      <c r="C16" s="3" t="s">
        <v>167</v>
      </c>
      <c r="D16" s="40">
        <v>371</v>
      </c>
      <c r="E16" s="146">
        <v>484645</v>
      </c>
      <c r="F16" s="146">
        <v>326114</v>
      </c>
      <c r="G16" s="213" t="s">
        <v>500</v>
      </c>
      <c r="H16" s="146">
        <v>158531</v>
      </c>
      <c r="I16" s="215">
        <v>0</v>
      </c>
      <c r="J16" s="215">
        <v>0</v>
      </c>
      <c r="K16" s="215">
        <v>0</v>
      </c>
      <c r="L16" s="146">
        <v>158531</v>
      </c>
    </row>
    <row r="17" spans="1:12" ht="14.45" customHeight="1" outlineLevel="2" x14ac:dyDescent="0.25">
      <c r="A17" s="40" t="s">
        <v>16</v>
      </c>
      <c r="B17" s="196" t="s">
        <v>198</v>
      </c>
      <c r="C17" s="3" t="s">
        <v>199</v>
      </c>
      <c r="D17" s="40">
        <v>187</v>
      </c>
      <c r="E17" s="146">
        <v>7056213</v>
      </c>
      <c r="F17" s="215">
        <v>0</v>
      </c>
      <c r="G17" s="213" t="s">
        <v>500</v>
      </c>
      <c r="H17" s="146">
        <v>7056213</v>
      </c>
      <c r="I17" s="215">
        <v>0</v>
      </c>
      <c r="J17" s="215">
        <v>0</v>
      </c>
      <c r="K17" s="215">
        <v>0</v>
      </c>
      <c r="L17" s="146">
        <v>7056213</v>
      </c>
    </row>
    <row r="18" spans="1:12" outlineLevel="2" x14ac:dyDescent="0.25">
      <c r="A18" s="40" t="s">
        <v>16</v>
      </c>
      <c r="B18" s="196" t="s">
        <v>200</v>
      </c>
      <c r="C18" s="3" t="s">
        <v>201</v>
      </c>
      <c r="D18" s="40">
        <v>163</v>
      </c>
      <c r="E18" s="146">
        <v>55019</v>
      </c>
      <c r="F18" s="215">
        <v>0</v>
      </c>
      <c r="G18" s="213" t="s">
        <v>500</v>
      </c>
      <c r="H18" s="146">
        <v>55019</v>
      </c>
      <c r="I18" s="215">
        <v>0</v>
      </c>
      <c r="J18" s="215">
        <v>0</v>
      </c>
      <c r="K18" s="215">
        <v>0</v>
      </c>
      <c r="L18" s="146">
        <v>55019</v>
      </c>
    </row>
    <row r="19" spans="1:12" ht="30.75" outlineLevel="1" x14ac:dyDescent="0.25">
      <c r="A19" s="40" t="s">
        <v>16</v>
      </c>
      <c r="B19" s="196" t="s">
        <v>168</v>
      </c>
      <c r="C19" s="3" t="s">
        <v>169</v>
      </c>
      <c r="D19" s="40">
        <v>372</v>
      </c>
      <c r="E19" s="146">
        <v>1348464</v>
      </c>
      <c r="F19" s="146">
        <v>1284690</v>
      </c>
      <c r="G19" s="213" t="s">
        <v>500</v>
      </c>
      <c r="H19" s="146">
        <v>63774</v>
      </c>
      <c r="I19" s="215">
        <v>0</v>
      </c>
      <c r="J19" s="215">
        <v>0</v>
      </c>
      <c r="K19" s="215">
        <v>0</v>
      </c>
      <c r="L19" s="146">
        <v>63774</v>
      </c>
    </row>
    <row r="20" spans="1:12" outlineLevel="1" x14ac:dyDescent="0.25">
      <c r="A20" s="197" t="s">
        <v>203</v>
      </c>
      <c r="B20" s="184" t="s">
        <v>500</v>
      </c>
      <c r="C20" s="74" t="s">
        <v>500</v>
      </c>
      <c r="D20" s="180" t="s">
        <v>500</v>
      </c>
      <c r="E20" s="78">
        <f>SUBTOTAL(109,local201718[Program
Costs])</f>
        <v>21058965</v>
      </c>
      <c r="F20" s="78">
        <f>SUBTOTAL(109,local201718[Less: Net Payments and Offsets 9])</f>
        <v>13725428</v>
      </c>
      <c r="G20" s="74" t="s">
        <v>500</v>
      </c>
      <c r="H20" s="78">
        <f>SUBTOTAL(109,local201718[Accounts Payable
Balance])</f>
        <v>7333537</v>
      </c>
      <c r="I20" s="78">
        <f>SUBTOTAL(109,local201718[Established
Accounts Receivable])</f>
        <v>34893</v>
      </c>
      <c r="J20" s="78">
        <f>SUBTOTAL(109,local201718[Less: Recovered Amount])</f>
        <v>32185</v>
      </c>
      <c r="K20" s="78">
        <f>SUBTOTAL(109,local201718[Accounts Receivable
Balance])</f>
        <v>2708</v>
      </c>
      <c r="L20" s="78">
        <f>SUBTOTAL(109,local201718[Net
Balance])</f>
        <v>7330829</v>
      </c>
    </row>
    <row r="21" spans="1:12" s="3" customFormat="1" ht="15" outlineLevel="2" x14ac:dyDescent="0.2">
      <c r="A21" s="214" t="s">
        <v>508</v>
      </c>
      <c r="B21" s="196"/>
      <c r="D21" s="40"/>
      <c r="E21" s="146"/>
      <c r="F21" s="146"/>
      <c r="G21" s="146"/>
      <c r="H21" s="146"/>
      <c r="I21" s="146"/>
      <c r="J21" s="146"/>
      <c r="K21" s="146"/>
      <c r="L21" s="146"/>
    </row>
    <row r="22" spans="1:12" ht="50.1" customHeight="1" outlineLevel="2" x14ac:dyDescent="0.25">
      <c r="A22" s="176" t="s">
        <v>98</v>
      </c>
      <c r="B22" s="176" t="s">
        <v>99</v>
      </c>
      <c r="C22" s="176" t="s">
        <v>1</v>
      </c>
      <c r="D22" s="176" t="s">
        <v>195</v>
      </c>
      <c r="E22" s="210" t="s">
        <v>188</v>
      </c>
      <c r="F22" s="211" t="s">
        <v>576</v>
      </c>
      <c r="G22" s="212" t="s">
        <v>532</v>
      </c>
      <c r="H22" s="210" t="s">
        <v>528</v>
      </c>
      <c r="I22" s="210" t="s">
        <v>529</v>
      </c>
      <c r="J22" s="210" t="s">
        <v>197</v>
      </c>
      <c r="K22" s="210" t="s">
        <v>530</v>
      </c>
      <c r="L22" s="210" t="s">
        <v>196</v>
      </c>
    </row>
    <row r="23" spans="1:12" ht="30.75" outlineLevel="2" x14ac:dyDescent="0.25">
      <c r="A23" s="40" t="s">
        <v>18</v>
      </c>
      <c r="B23" s="196" t="s">
        <v>47</v>
      </c>
      <c r="C23" s="3" t="s">
        <v>48</v>
      </c>
      <c r="D23" s="40">
        <v>274</v>
      </c>
      <c r="E23" s="146">
        <v>2188022</v>
      </c>
      <c r="F23" s="146">
        <v>2188022</v>
      </c>
      <c r="G23" s="213" t="s">
        <v>500</v>
      </c>
      <c r="H23" s="215">
        <v>0</v>
      </c>
      <c r="I23" s="146">
        <v>1211</v>
      </c>
      <c r="J23" s="146">
        <v>711</v>
      </c>
      <c r="K23" s="146">
        <v>500</v>
      </c>
      <c r="L23" s="146">
        <v>-500</v>
      </c>
    </row>
    <row r="24" spans="1:12" ht="14.45" customHeight="1" outlineLevel="1" x14ac:dyDescent="0.25">
      <c r="A24" s="40" t="s">
        <v>18</v>
      </c>
      <c r="B24" s="196" t="s">
        <v>198</v>
      </c>
      <c r="C24" s="3" t="s">
        <v>199</v>
      </c>
      <c r="D24" s="40">
        <v>187</v>
      </c>
      <c r="E24" s="146">
        <v>6167307</v>
      </c>
      <c r="F24" s="215">
        <v>0</v>
      </c>
      <c r="G24" s="213" t="s">
        <v>500</v>
      </c>
      <c r="H24" s="146">
        <v>6167307</v>
      </c>
      <c r="I24" s="215">
        <v>0</v>
      </c>
      <c r="J24" s="215">
        <v>0</v>
      </c>
      <c r="K24" s="215">
        <v>0</v>
      </c>
      <c r="L24" s="146">
        <v>6167307</v>
      </c>
    </row>
    <row r="25" spans="1:12" ht="30.75" customHeight="1" outlineLevel="2" x14ac:dyDescent="0.25">
      <c r="A25" s="40" t="s">
        <v>18</v>
      </c>
      <c r="B25" s="196" t="s">
        <v>168</v>
      </c>
      <c r="C25" s="3" t="s">
        <v>169</v>
      </c>
      <c r="D25" s="40">
        <v>372</v>
      </c>
      <c r="E25" s="146">
        <v>1246862</v>
      </c>
      <c r="F25" s="146">
        <v>1202109</v>
      </c>
      <c r="G25" s="213" t="s">
        <v>500</v>
      </c>
      <c r="H25" s="146">
        <v>44753</v>
      </c>
      <c r="I25" s="215">
        <v>0</v>
      </c>
      <c r="J25" s="215">
        <v>0</v>
      </c>
      <c r="K25" s="215">
        <v>0</v>
      </c>
      <c r="L25" s="146">
        <v>44753</v>
      </c>
    </row>
    <row r="26" spans="1:12" outlineLevel="1" x14ac:dyDescent="0.25">
      <c r="A26" s="197" t="s">
        <v>204</v>
      </c>
      <c r="B26" s="184" t="s">
        <v>500</v>
      </c>
      <c r="C26" s="74" t="s">
        <v>500</v>
      </c>
      <c r="D26" s="180" t="s">
        <v>500</v>
      </c>
      <c r="E26" s="78">
        <f>SUBTOTAL(109,local201617[Program
Costs])</f>
        <v>9602191</v>
      </c>
      <c r="F26" s="78">
        <f>SUBTOTAL(109,local201617[Less: Net Payments and Offsets 9])</f>
        <v>3390131</v>
      </c>
      <c r="G26" s="74" t="s">
        <v>500</v>
      </c>
      <c r="H26" s="78">
        <f>SUBTOTAL(109,local201617[Accounts Payable
Balance])</f>
        <v>6212060</v>
      </c>
      <c r="I26" s="78">
        <f>SUBTOTAL(109,local201617[Established
Accounts Receivable])</f>
        <v>1211</v>
      </c>
      <c r="J26" s="78">
        <f>SUBTOTAL(109,local201617[Less: Recovered Amount])</f>
        <v>711</v>
      </c>
      <c r="K26" s="78">
        <f>SUBTOTAL(109,local201617[Accounts Receivable
Balance])</f>
        <v>500</v>
      </c>
      <c r="L26" s="78">
        <f>SUBTOTAL(109,local201617[Net
Balance])</f>
        <v>6211560</v>
      </c>
    </row>
    <row r="27" spans="1:12" outlineLevel="1" x14ac:dyDescent="0.25">
      <c r="A27" s="214" t="s">
        <v>508</v>
      </c>
      <c r="B27" s="217"/>
      <c r="C27" s="218"/>
      <c r="D27" s="219"/>
      <c r="E27" s="220"/>
      <c r="F27" s="220"/>
      <c r="G27" s="218"/>
      <c r="H27" s="220"/>
      <c r="I27" s="220"/>
      <c r="J27" s="220"/>
      <c r="K27" s="220"/>
      <c r="L27" s="220"/>
    </row>
    <row r="28" spans="1:12" ht="50.1" customHeight="1" outlineLevel="2" x14ac:dyDescent="0.25">
      <c r="A28" s="176" t="s">
        <v>98</v>
      </c>
      <c r="B28" s="176" t="s">
        <v>99</v>
      </c>
      <c r="C28" s="176" t="s">
        <v>1</v>
      </c>
      <c r="D28" s="176" t="s">
        <v>195</v>
      </c>
      <c r="E28" s="210" t="s">
        <v>188</v>
      </c>
      <c r="F28" s="211" t="s">
        <v>576</v>
      </c>
      <c r="G28" s="212" t="s">
        <v>532</v>
      </c>
      <c r="H28" s="210" t="s">
        <v>528</v>
      </c>
      <c r="I28" s="210" t="s">
        <v>529</v>
      </c>
      <c r="J28" s="210" t="s">
        <v>197</v>
      </c>
      <c r="K28" s="210" t="s">
        <v>530</v>
      </c>
      <c r="L28" s="210" t="s">
        <v>196</v>
      </c>
    </row>
    <row r="29" spans="1:12" ht="14.45" customHeight="1" outlineLevel="1" x14ac:dyDescent="0.25">
      <c r="A29" s="40" t="s">
        <v>14</v>
      </c>
      <c r="B29" s="196" t="s">
        <v>198</v>
      </c>
      <c r="C29" s="3" t="s">
        <v>199</v>
      </c>
      <c r="D29" s="40">
        <v>187</v>
      </c>
      <c r="E29" s="146">
        <v>6781918</v>
      </c>
      <c r="F29" s="215">
        <v>0</v>
      </c>
      <c r="G29" s="213" t="s">
        <v>500</v>
      </c>
      <c r="H29" s="146">
        <v>6781918</v>
      </c>
      <c r="I29" s="215">
        <v>0</v>
      </c>
      <c r="J29" s="215">
        <v>0</v>
      </c>
      <c r="K29" s="215">
        <v>0</v>
      </c>
      <c r="L29" s="146">
        <v>6781918</v>
      </c>
    </row>
    <row r="30" spans="1:12" outlineLevel="1" x14ac:dyDescent="0.25">
      <c r="A30" s="197" t="s">
        <v>205</v>
      </c>
      <c r="B30" s="184" t="s">
        <v>500</v>
      </c>
      <c r="C30" s="74" t="s">
        <v>500</v>
      </c>
      <c r="D30" s="180" t="s">
        <v>500</v>
      </c>
      <c r="E30" s="78">
        <f>SUBTOTAL(109,local201516[Program
Costs])</f>
        <v>6781918</v>
      </c>
      <c r="F30" s="179">
        <f>SUBTOTAL(109,local201516[Less: Net Payments and Offsets 9])</f>
        <v>0</v>
      </c>
      <c r="G30" s="74" t="s">
        <v>500</v>
      </c>
      <c r="H30" s="78">
        <f>SUBTOTAL(109,local201516[Accounts Payable
Balance])</f>
        <v>6781918</v>
      </c>
      <c r="I30" s="179">
        <f>SUBTOTAL(109,local201516[Established
Accounts Receivable])</f>
        <v>0</v>
      </c>
      <c r="J30" s="179">
        <f>SUBTOTAL(109,local201516[Less: Recovered Amount])</f>
        <v>0</v>
      </c>
      <c r="K30" s="179">
        <f>SUBTOTAL(109,local201516[Accounts Receivable
Balance])</f>
        <v>0</v>
      </c>
      <c r="L30" s="78">
        <f>SUBTOTAL(109,local201516[Net
Balance])</f>
        <v>6781918</v>
      </c>
    </row>
    <row r="31" spans="1:12" s="3" customFormat="1" ht="15" outlineLevel="2" x14ac:dyDescent="0.2">
      <c r="A31" s="214" t="s">
        <v>508</v>
      </c>
      <c r="B31" s="196"/>
      <c r="D31" s="40"/>
      <c r="E31" s="146"/>
      <c r="F31" s="146"/>
      <c r="G31" s="146"/>
      <c r="H31" s="146"/>
      <c r="I31" s="146"/>
      <c r="J31" s="146"/>
      <c r="K31" s="146"/>
      <c r="L31" s="146"/>
    </row>
    <row r="32" spans="1:12" ht="50.1" customHeight="1" outlineLevel="2" x14ac:dyDescent="0.25">
      <c r="A32" s="176" t="s">
        <v>98</v>
      </c>
      <c r="B32" s="176" t="s">
        <v>99</v>
      </c>
      <c r="C32" s="176" t="s">
        <v>1</v>
      </c>
      <c r="D32" s="176" t="s">
        <v>195</v>
      </c>
      <c r="E32" s="210" t="s">
        <v>188</v>
      </c>
      <c r="F32" s="211" t="s">
        <v>576</v>
      </c>
      <c r="G32" s="212" t="s">
        <v>532</v>
      </c>
      <c r="H32" s="210" t="s">
        <v>528</v>
      </c>
      <c r="I32" s="210" t="s">
        <v>529</v>
      </c>
      <c r="J32" s="210" t="s">
        <v>197</v>
      </c>
      <c r="K32" s="210" t="s">
        <v>530</v>
      </c>
      <c r="L32" s="210" t="s">
        <v>196</v>
      </c>
    </row>
    <row r="33" spans="1:12" ht="14.45" customHeight="1" outlineLevel="1" x14ac:dyDescent="0.25">
      <c r="A33" s="40" t="s">
        <v>206</v>
      </c>
      <c r="B33" s="196" t="s">
        <v>198</v>
      </c>
      <c r="C33" s="3" t="s">
        <v>199</v>
      </c>
      <c r="D33" s="40">
        <v>187</v>
      </c>
      <c r="E33" s="146">
        <v>6118565</v>
      </c>
      <c r="F33" s="215">
        <v>0</v>
      </c>
      <c r="G33" s="213" t="s">
        <v>500</v>
      </c>
      <c r="H33" s="146">
        <v>6118565</v>
      </c>
      <c r="I33" s="215">
        <v>0</v>
      </c>
      <c r="J33" s="215">
        <v>0</v>
      </c>
      <c r="K33" s="215">
        <v>0</v>
      </c>
      <c r="L33" s="146">
        <v>6118565</v>
      </c>
    </row>
    <row r="34" spans="1:12" outlineLevel="1" x14ac:dyDescent="0.25">
      <c r="A34" s="197" t="s">
        <v>207</v>
      </c>
      <c r="B34" s="184" t="s">
        <v>500</v>
      </c>
      <c r="C34" s="74" t="s">
        <v>500</v>
      </c>
      <c r="D34" s="180" t="s">
        <v>500</v>
      </c>
      <c r="E34" s="78">
        <f>SUBTOTAL(109,local201415[Program
Costs])</f>
        <v>6118565</v>
      </c>
      <c r="F34" s="179">
        <f>SUBTOTAL(109,local201415[Less: Net Payments and Offsets 9])</f>
        <v>0</v>
      </c>
      <c r="G34" s="74" t="s">
        <v>500</v>
      </c>
      <c r="H34" s="78">
        <f>SUBTOTAL(109,local201415[Accounts Payable
Balance])</f>
        <v>6118565</v>
      </c>
      <c r="I34" s="179">
        <f>SUBTOTAL(109,local201415[Established
Accounts Receivable])</f>
        <v>0</v>
      </c>
      <c r="J34" s="179">
        <f>SUBTOTAL(109,local201415[Less: Recovered Amount])</f>
        <v>0</v>
      </c>
      <c r="K34" s="179">
        <f>SUBTOTAL(109,local201415[Accounts Receivable
Balance])</f>
        <v>0</v>
      </c>
      <c r="L34" s="78">
        <f>SUBTOTAL(109,local201415[Net
Balance])</f>
        <v>6118565</v>
      </c>
    </row>
    <row r="35" spans="1:12" customFormat="1" ht="14.45" customHeight="1" outlineLevel="2" x14ac:dyDescent="0.25">
      <c r="A35" s="214" t="s">
        <v>508</v>
      </c>
      <c r="B35" s="196"/>
      <c r="C35" s="3"/>
      <c r="D35" s="40"/>
      <c r="E35" s="146"/>
      <c r="F35" s="146"/>
      <c r="G35" s="146"/>
      <c r="H35" s="146"/>
      <c r="I35" s="146"/>
      <c r="J35" s="146"/>
      <c r="K35" s="146"/>
      <c r="L35" s="146"/>
    </row>
    <row r="36" spans="1:12" ht="50.1" customHeight="1" outlineLevel="1" x14ac:dyDescent="0.25">
      <c r="A36" s="176" t="s">
        <v>98</v>
      </c>
      <c r="B36" s="176" t="s">
        <v>99</v>
      </c>
      <c r="C36" s="176" t="s">
        <v>1</v>
      </c>
      <c r="D36" s="176" t="s">
        <v>195</v>
      </c>
      <c r="E36" s="210" t="s">
        <v>188</v>
      </c>
      <c r="F36" s="211" t="s">
        <v>576</v>
      </c>
      <c r="G36" s="212" t="s">
        <v>532</v>
      </c>
      <c r="H36" s="210" t="s">
        <v>528</v>
      </c>
      <c r="I36" s="210" t="s">
        <v>529</v>
      </c>
      <c r="J36" s="210" t="s">
        <v>197</v>
      </c>
      <c r="K36" s="210" t="s">
        <v>530</v>
      </c>
      <c r="L36" s="210" t="s">
        <v>196</v>
      </c>
    </row>
    <row r="37" spans="1:12" ht="30" customHeight="1" outlineLevel="2" x14ac:dyDescent="0.25">
      <c r="A37" s="40" t="s">
        <v>183</v>
      </c>
      <c r="B37" s="196" t="s">
        <v>45</v>
      </c>
      <c r="C37" s="3" t="s">
        <v>46</v>
      </c>
      <c r="D37" s="40">
        <v>167</v>
      </c>
      <c r="E37" s="146">
        <v>7825991</v>
      </c>
      <c r="F37" s="146">
        <v>7825991</v>
      </c>
      <c r="G37" s="213" t="s">
        <v>500</v>
      </c>
      <c r="H37" s="215">
        <v>0</v>
      </c>
      <c r="I37" s="146">
        <v>132637</v>
      </c>
      <c r="J37" s="146">
        <v>98973</v>
      </c>
      <c r="K37" s="146">
        <v>33664</v>
      </c>
      <c r="L37" s="146">
        <v>-33664</v>
      </c>
    </row>
    <row r="38" spans="1:12" ht="14.45" customHeight="1" outlineLevel="2" x14ac:dyDescent="0.25">
      <c r="A38" s="40" t="s">
        <v>183</v>
      </c>
      <c r="B38" s="196" t="s">
        <v>198</v>
      </c>
      <c r="C38" s="3" t="s">
        <v>199</v>
      </c>
      <c r="D38" s="40">
        <v>187</v>
      </c>
      <c r="E38" s="146">
        <v>6014556</v>
      </c>
      <c r="F38" s="215">
        <v>0</v>
      </c>
      <c r="G38" s="213" t="s">
        <v>500</v>
      </c>
      <c r="H38" s="146">
        <v>6014556</v>
      </c>
      <c r="I38" s="215">
        <v>0</v>
      </c>
      <c r="J38" s="215">
        <v>0</v>
      </c>
      <c r="K38" s="215">
        <v>0</v>
      </c>
      <c r="L38" s="146">
        <v>6014556</v>
      </c>
    </row>
    <row r="39" spans="1:12" ht="14.45" customHeight="1" outlineLevel="2" x14ac:dyDescent="0.25">
      <c r="A39" s="197" t="s">
        <v>208</v>
      </c>
      <c r="B39" s="184" t="s">
        <v>500</v>
      </c>
      <c r="C39" s="74" t="s">
        <v>500</v>
      </c>
      <c r="D39" s="180" t="s">
        <v>500</v>
      </c>
      <c r="E39" s="78">
        <f>SUBTOTAL(109,local201314[Program
Costs])</f>
        <v>13840547</v>
      </c>
      <c r="F39" s="78">
        <f>SUBTOTAL(109,local201314[Less: Net Payments and Offsets 9])</f>
        <v>7825991</v>
      </c>
      <c r="G39" s="74" t="s">
        <v>500</v>
      </c>
      <c r="H39" s="78">
        <f>SUBTOTAL(109,local201314[Accounts Payable
Balance])</f>
        <v>6014556</v>
      </c>
      <c r="I39" s="78">
        <f>SUBTOTAL(109,local201314[Established
Accounts Receivable])</f>
        <v>132637</v>
      </c>
      <c r="J39" s="78">
        <f>SUBTOTAL(109,local201314[Less: Recovered Amount])</f>
        <v>98973</v>
      </c>
      <c r="K39" s="221">
        <f>SUBTOTAL(109,local201314[Accounts Receivable
Balance])</f>
        <v>33664</v>
      </c>
      <c r="L39" s="78">
        <f>SUBTOTAL(109,local201314[Net
Balance])</f>
        <v>5980892</v>
      </c>
    </row>
    <row r="40" spans="1:12" s="3" customFormat="1" ht="15" outlineLevel="1" x14ac:dyDescent="0.2">
      <c r="A40" s="214" t="s">
        <v>508</v>
      </c>
      <c r="B40" s="196"/>
      <c r="D40" s="40"/>
      <c r="E40" s="146"/>
      <c r="F40" s="146"/>
      <c r="G40" s="146"/>
      <c r="H40" s="146"/>
      <c r="I40" s="146"/>
      <c r="J40" s="146"/>
      <c r="K40" s="146"/>
      <c r="L40" s="146"/>
    </row>
    <row r="41" spans="1:12" ht="50.1" customHeight="1" outlineLevel="2" x14ac:dyDescent="0.25">
      <c r="A41" s="176" t="s">
        <v>98</v>
      </c>
      <c r="B41" s="176" t="s">
        <v>99</v>
      </c>
      <c r="C41" s="176" t="s">
        <v>1</v>
      </c>
      <c r="D41" s="176" t="s">
        <v>195</v>
      </c>
      <c r="E41" s="210" t="s">
        <v>188</v>
      </c>
      <c r="F41" s="211" t="s">
        <v>576</v>
      </c>
      <c r="G41" s="212" t="s">
        <v>532</v>
      </c>
      <c r="H41" s="210" t="s">
        <v>528</v>
      </c>
      <c r="I41" s="210" t="s">
        <v>529</v>
      </c>
      <c r="J41" s="210" t="s">
        <v>197</v>
      </c>
      <c r="K41" s="210" t="s">
        <v>530</v>
      </c>
      <c r="L41" s="210" t="s">
        <v>196</v>
      </c>
    </row>
    <row r="42" spans="1:12" ht="14.45" customHeight="1" outlineLevel="2" x14ac:dyDescent="0.25">
      <c r="A42" s="40" t="s">
        <v>184</v>
      </c>
      <c r="B42" s="196" t="s">
        <v>198</v>
      </c>
      <c r="C42" s="3" t="s">
        <v>199</v>
      </c>
      <c r="D42" s="40">
        <v>187</v>
      </c>
      <c r="E42" s="146">
        <v>5461966</v>
      </c>
      <c r="F42" s="215">
        <v>0</v>
      </c>
      <c r="G42" s="213" t="s">
        <v>500</v>
      </c>
      <c r="H42" s="146">
        <v>5461966</v>
      </c>
      <c r="I42" s="215">
        <v>0</v>
      </c>
      <c r="J42" s="215">
        <v>0</v>
      </c>
      <c r="K42" s="215">
        <v>0</v>
      </c>
      <c r="L42" s="146">
        <v>5461966</v>
      </c>
    </row>
    <row r="43" spans="1:12" ht="14.45" customHeight="1" outlineLevel="2" x14ac:dyDescent="0.25">
      <c r="A43" s="197" t="s">
        <v>209</v>
      </c>
      <c r="B43" s="184" t="s">
        <v>500</v>
      </c>
      <c r="C43" s="74" t="s">
        <v>500</v>
      </c>
      <c r="D43" s="180" t="s">
        <v>500</v>
      </c>
      <c r="E43" s="78">
        <f>SUBTOTAL(109,local201213[Program
Costs])</f>
        <v>5461966</v>
      </c>
      <c r="F43" s="179">
        <f>SUBTOTAL(109,local201213[Less: Net Payments and Offsets 9])</f>
        <v>0</v>
      </c>
      <c r="G43" s="74" t="s">
        <v>500</v>
      </c>
      <c r="H43" s="78">
        <f>SUBTOTAL(109,local201213[Accounts Payable
Balance])</f>
        <v>5461966</v>
      </c>
      <c r="I43" s="179">
        <f>SUBTOTAL(109,local201213[Established
Accounts Receivable])</f>
        <v>0</v>
      </c>
      <c r="J43" s="179">
        <f>SUBTOTAL(109,local201213[Less: Recovered Amount])</f>
        <v>0</v>
      </c>
      <c r="K43" s="179">
        <f>SUBTOTAL(109,local201213[Accounts Receivable
Balance])</f>
        <v>0</v>
      </c>
      <c r="L43" s="78">
        <f>SUBTOTAL(109,local201213[Net
Balance])</f>
        <v>5461966</v>
      </c>
    </row>
    <row r="44" spans="1:12" s="3" customFormat="1" ht="14.45" customHeight="1" outlineLevel="2" x14ac:dyDescent="0.2">
      <c r="A44" s="214" t="s">
        <v>508</v>
      </c>
      <c r="B44" s="196"/>
      <c r="D44" s="40"/>
      <c r="E44" s="146"/>
      <c r="F44" s="146"/>
      <c r="G44" s="146"/>
      <c r="H44" s="146"/>
      <c r="I44" s="146"/>
      <c r="J44" s="146"/>
      <c r="K44" s="146"/>
      <c r="L44" s="146"/>
    </row>
    <row r="45" spans="1:12" ht="50.1" customHeight="1" outlineLevel="2" x14ac:dyDescent="0.25">
      <c r="A45" s="176" t="s">
        <v>98</v>
      </c>
      <c r="B45" s="176" t="s">
        <v>99</v>
      </c>
      <c r="C45" s="176" t="s">
        <v>1</v>
      </c>
      <c r="D45" s="176" t="s">
        <v>195</v>
      </c>
      <c r="E45" s="210" t="s">
        <v>188</v>
      </c>
      <c r="F45" s="211" t="s">
        <v>576</v>
      </c>
      <c r="G45" s="212" t="s">
        <v>532</v>
      </c>
      <c r="H45" s="210" t="s">
        <v>528</v>
      </c>
      <c r="I45" s="210" t="s">
        <v>529</v>
      </c>
      <c r="J45" s="210" t="s">
        <v>197</v>
      </c>
      <c r="K45" s="210" t="s">
        <v>530</v>
      </c>
      <c r="L45" s="210" t="s">
        <v>196</v>
      </c>
    </row>
    <row r="46" spans="1:12" ht="14.45" customHeight="1" outlineLevel="2" x14ac:dyDescent="0.25">
      <c r="A46" s="40" t="s">
        <v>185</v>
      </c>
      <c r="B46" s="196" t="s">
        <v>210</v>
      </c>
      <c r="C46" s="3" t="s">
        <v>211</v>
      </c>
      <c r="D46" s="40">
        <v>219</v>
      </c>
      <c r="E46" s="146">
        <v>14116774</v>
      </c>
      <c r="F46" s="215">
        <v>0</v>
      </c>
      <c r="G46" s="213" t="s">
        <v>500</v>
      </c>
      <c r="H46" s="146">
        <v>14116774</v>
      </c>
      <c r="I46" s="215">
        <v>0</v>
      </c>
      <c r="J46" s="215">
        <v>0</v>
      </c>
      <c r="K46" s="215">
        <v>0</v>
      </c>
      <c r="L46" s="146">
        <v>14116774</v>
      </c>
    </row>
    <row r="47" spans="1:12" ht="14.45" customHeight="1" outlineLevel="2" x14ac:dyDescent="0.25">
      <c r="A47" s="40" t="s">
        <v>185</v>
      </c>
      <c r="B47" s="196" t="s">
        <v>198</v>
      </c>
      <c r="C47" s="3" t="s">
        <v>199</v>
      </c>
      <c r="D47" s="40">
        <v>187</v>
      </c>
      <c r="E47" s="146">
        <v>5760946</v>
      </c>
      <c r="F47" s="215">
        <v>0</v>
      </c>
      <c r="G47" s="213" t="s">
        <v>500</v>
      </c>
      <c r="H47" s="146">
        <v>5760946</v>
      </c>
      <c r="I47" s="215">
        <v>0</v>
      </c>
      <c r="J47" s="215">
        <v>0</v>
      </c>
      <c r="K47" s="215">
        <v>0</v>
      </c>
      <c r="L47" s="146">
        <v>5760946</v>
      </c>
    </row>
    <row r="48" spans="1:12" ht="14.45" customHeight="1" outlineLevel="2" x14ac:dyDescent="0.25">
      <c r="A48" s="197" t="s">
        <v>212</v>
      </c>
      <c r="B48" s="184" t="s">
        <v>500</v>
      </c>
      <c r="C48" s="74" t="s">
        <v>500</v>
      </c>
      <c r="D48" s="180" t="s">
        <v>500</v>
      </c>
      <c r="E48" s="78">
        <f>SUBTOTAL(109,local201112[Program
Costs])</f>
        <v>19877720</v>
      </c>
      <c r="F48" s="179">
        <f>SUBTOTAL(109,local201112[Less: Net Payments and Offsets 9])</f>
        <v>0</v>
      </c>
      <c r="G48" s="74" t="s">
        <v>500</v>
      </c>
      <c r="H48" s="78">
        <f>SUBTOTAL(109,local201112[Accounts Payable
Balance])</f>
        <v>19877720</v>
      </c>
      <c r="I48" s="179">
        <f>SUBTOTAL(109,local201112[Established
Accounts Receivable])</f>
        <v>0</v>
      </c>
      <c r="J48" s="179">
        <f>SUBTOTAL(109,local201112[Less: Recovered Amount])</f>
        <v>0</v>
      </c>
      <c r="K48" s="179">
        <f>SUBTOTAL(109,local201112[Accounts Receivable
Balance])</f>
        <v>0</v>
      </c>
      <c r="L48" s="78">
        <f>SUBTOTAL(109,local201112[Net
Balance])</f>
        <v>19877720</v>
      </c>
    </row>
    <row r="49" spans="1:12" s="3" customFormat="1" ht="14.45" customHeight="1" outlineLevel="2" x14ac:dyDescent="0.2">
      <c r="A49" s="214" t="s">
        <v>508</v>
      </c>
      <c r="B49" s="196"/>
      <c r="D49" s="40"/>
      <c r="E49" s="146"/>
      <c r="F49" s="146"/>
      <c r="G49" s="146"/>
      <c r="H49" s="146"/>
      <c r="I49" s="146"/>
      <c r="J49" s="146"/>
      <c r="K49" s="146"/>
      <c r="L49" s="146"/>
    </row>
    <row r="50" spans="1:12" ht="50.1" customHeight="1" outlineLevel="2" x14ac:dyDescent="0.25">
      <c r="A50" s="176" t="s">
        <v>98</v>
      </c>
      <c r="B50" s="176" t="s">
        <v>99</v>
      </c>
      <c r="C50" s="176" t="s">
        <v>1</v>
      </c>
      <c r="D50" s="176" t="s">
        <v>195</v>
      </c>
      <c r="E50" s="210" t="s">
        <v>188</v>
      </c>
      <c r="F50" s="211" t="s">
        <v>576</v>
      </c>
      <c r="G50" s="212" t="s">
        <v>532</v>
      </c>
      <c r="H50" s="210" t="s">
        <v>528</v>
      </c>
      <c r="I50" s="210" t="s">
        <v>529</v>
      </c>
      <c r="J50" s="210" t="s">
        <v>197</v>
      </c>
      <c r="K50" s="210" t="s">
        <v>530</v>
      </c>
      <c r="L50" s="210" t="s">
        <v>196</v>
      </c>
    </row>
    <row r="51" spans="1:12" outlineLevel="1" x14ac:dyDescent="0.25">
      <c r="A51" s="40" t="s">
        <v>84</v>
      </c>
      <c r="B51" s="196" t="s">
        <v>213</v>
      </c>
      <c r="C51" s="3" t="s">
        <v>214</v>
      </c>
      <c r="D51" s="40">
        <v>2</v>
      </c>
      <c r="E51" s="146">
        <v>24780791</v>
      </c>
      <c r="F51" s="215">
        <v>0</v>
      </c>
      <c r="G51" s="213" t="s">
        <v>500</v>
      </c>
      <c r="H51" s="146">
        <v>24780791</v>
      </c>
      <c r="I51" s="215">
        <v>0</v>
      </c>
      <c r="J51" s="215">
        <v>0</v>
      </c>
      <c r="K51" s="215">
        <v>0</v>
      </c>
      <c r="L51" s="146">
        <v>24780791</v>
      </c>
    </row>
    <row r="52" spans="1:12" ht="30" customHeight="1" outlineLevel="2" x14ac:dyDescent="0.25">
      <c r="A52" s="40" t="s">
        <v>84</v>
      </c>
      <c r="B52" s="196" t="s">
        <v>215</v>
      </c>
      <c r="C52" s="3" t="s">
        <v>216</v>
      </c>
      <c r="D52" s="40">
        <v>248</v>
      </c>
      <c r="E52" s="146">
        <v>35138</v>
      </c>
      <c r="F52" s="215">
        <v>0</v>
      </c>
      <c r="G52" s="213" t="s">
        <v>500</v>
      </c>
      <c r="H52" s="146">
        <v>35138</v>
      </c>
      <c r="I52" s="215">
        <v>0</v>
      </c>
      <c r="J52" s="215">
        <v>0</v>
      </c>
      <c r="K52" s="215">
        <v>0</v>
      </c>
      <c r="L52" s="146">
        <v>35138</v>
      </c>
    </row>
    <row r="53" spans="1:12" ht="14.45" customHeight="1" outlineLevel="2" x14ac:dyDescent="0.25">
      <c r="A53" s="40" t="s">
        <v>84</v>
      </c>
      <c r="B53" s="196" t="s">
        <v>173</v>
      </c>
      <c r="C53" s="3" t="s">
        <v>174</v>
      </c>
      <c r="D53" s="40">
        <v>353</v>
      </c>
      <c r="E53" s="146">
        <v>2060812</v>
      </c>
      <c r="F53" s="146">
        <v>2060812</v>
      </c>
      <c r="G53" s="213" t="s">
        <v>500</v>
      </c>
      <c r="H53" s="215">
        <v>0</v>
      </c>
      <c r="I53" s="146">
        <v>11046</v>
      </c>
      <c r="J53" s="215">
        <v>0</v>
      </c>
      <c r="K53" s="146">
        <v>11046</v>
      </c>
      <c r="L53" s="146">
        <v>-11046</v>
      </c>
    </row>
    <row r="54" spans="1:12" ht="14.45" customHeight="1" outlineLevel="2" x14ac:dyDescent="0.25">
      <c r="A54" s="40" t="s">
        <v>84</v>
      </c>
      <c r="B54" s="196" t="s">
        <v>217</v>
      </c>
      <c r="C54" s="3" t="s">
        <v>218</v>
      </c>
      <c r="D54" s="40">
        <v>289</v>
      </c>
      <c r="E54" s="146">
        <v>15567</v>
      </c>
      <c r="F54" s="215">
        <v>0</v>
      </c>
      <c r="G54" s="213" t="s">
        <v>500</v>
      </c>
      <c r="H54" s="146">
        <v>15567</v>
      </c>
      <c r="I54" s="215">
        <v>0</v>
      </c>
      <c r="J54" s="215">
        <v>0</v>
      </c>
      <c r="K54" s="215">
        <v>0</v>
      </c>
      <c r="L54" s="146">
        <v>15567</v>
      </c>
    </row>
    <row r="55" spans="1:12" ht="14.45" customHeight="1" outlineLevel="2" x14ac:dyDescent="0.25">
      <c r="A55" s="40" t="s">
        <v>84</v>
      </c>
      <c r="B55" s="196" t="s">
        <v>219</v>
      </c>
      <c r="C55" s="3" t="s">
        <v>220</v>
      </c>
      <c r="D55" s="40">
        <v>41</v>
      </c>
      <c r="E55" s="146">
        <v>1410809</v>
      </c>
      <c r="F55" s="215">
        <v>0</v>
      </c>
      <c r="G55" s="213" t="s">
        <v>500</v>
      </c>
      <c r="H55" s="146">
        <v>1410809</v>
      </c>
      <c r="I55" s="215">
        <v>0</v>
      </c>
      <c r="J55" s="215">
        <v>0</v>
      </c>
      <c r="K55" s="215">
        <v>0</v>
      </c>
      <c r="L55" s="146">
        <v>1410809</v>
      </c>
    </row>
    <row r="56" spans="1:12" outlineLevel="2" x14ac:dyDescent="0.25">
      <c r="A56" s="40" t="s">
        <v>84</v>
      </c>
      <c r="B56" s="196" t="s">
        <v>210</v>
      </c>
      <c r="C56" s="3" t="s">
        <v>211</v>
      </c>
      <c r="D56" s="40">
        <v>219</v>
      </c>
      <c r="E56" s="146">
        <v>14736282</v>
      </c>
      <c r="F56" s="215">
        <v>0</v>
      </c>
      <c r="G56" s="213" t="s">
        <v>500</v>
      </c>
      <c r="H56" s="146">
        <v>14736282</v>
      </c>
      <c r="I56" s="215">
        <v>0</v>
      </c>
      <c r="J56" s="215">
        <v>0</v>
      </c>
      <c r="K56" s="215">
        <v>0</v>
      </c>
      <c r="L56" s="146">
        <v>14736282</v>
      </c>
    </row>
    <row r="57" spans="1:12" ht="14.45" customHeight="1" outlineLevel="2" x14ac:dyDescent="0.25">
      <c r="A57" s="40" t="s">
        <v>84</v>
      </c>
      <c r="B57" s="196" t="s">
        <v>198</v>
      </c>
      <c r="C57" s="3" t="s">
        <v>199</v>
      </c>
      <c r="D57" s="40">
        <v>187</v>
      </c>
      <c r="E57" s="146">
        <v>6025129</v>
      </c>
      <c r="F57" s="215">
        <v>0</v>
      </c>
      <c r="G57" s="213" t="s">
        <v>500</v>
      </c>
      <c r="H57" s="146">
        <v>6025129</v>
      </c>
      <c r="I57" s="215">
        <v>0</v>
      </c>
      <c r="J57" s="215">
        <v>0</v>
      </c>
      <c r="K57" s="215">
        <v>0</v>
      </c>
      <c r="L57" s="146">
        <v>6025129</v>
      </c>
    </row>
    <row r="58" spans="1:12" ht="14.45" customHeight="1" outlineLevel="2" x14ac:dyDescent="0.25">
      <c r="A58" s="40" t="s">
        <v>84</v>
      </c>
      <c r="B58" s="196" t="s">
        <v>221</v>
      </c>
      <c r="C58" s="3" t="s">
        <v>222</v>
      </c>
      <c r="D58" s="40">
        <v>56</v>
      </c>
      <c r="E58" s="146">
        <v>1275498</v>
      </c>
      <c r="F58" s="215">
        <v>0</v>
      </c>
      <c r="G58" s="213" t="s">
        <v>500</v>
      </c>
      <c r="H58" s="146">
        <v>1275498</v>
      </c>
      <c r="I58" s="215">
        <v>0</v>
      </c>
      <c r="J58" s="215">
        <v>0</v>
      </c>
      <c r="K58" s="215">
        <v>0</v>
      </c>
      <c r="L58" s="146">
        <v>1275498</v>
      </c>
    </row>
    <row r="59" spans="1:12" ht="14.45" customHeight="1" outlineLevel="2" x14ac:dyDescent="0.25">
      <c r="A59" s="197" t="s">
        <v>223</v>
      </c>
      <c r="B59" s="184" t="s">
        <v>500</v>
      </c>
      <c r="C59" s="74" t="s">
        <v>500</v>
      </c>
      <c r="D59" s="180" t="s">
        <v>500</v>
      </c>
      <c r="E59" s="78">
        <f>SUBTOTAL(109,local201011[Program
Costs])</f>
        <v>50340026</v>
      </c>
      <c r="F59" s="78">
        <f>SUBTOTAL(109,local201011[Less: Net Payments and Offsets 9])</f>
        <v>2060812</v>
      </c>
      <c r="G59" s="74" t="s">
        <v>500</v>
      </c>
      <c r="H59" s="78">
        <f>SUBTOTAL(109,local201011[Accounts Payable
Balance])</f>
        <v>48279214</v>
      </c>
      <c r="I59" s="78">
        <f>SUBTOTAL(109,local201011[Established
Accounts Receivable])</f>
        <v>11046</v>
      </c>
      <c r="J59" s="179">
        <f>SUBTOTAL(109,local201011[Less: Recovered Amount])</f>
        <v>0</v>
      </c>
      <c r="K59" s="78">
        <f>SUBTOTAL(109,local201011[Accounts Receivable
Balance])</f>
        <v>11046</v>
      </c>
      <c r="L59" s="78">
        <f>SUBTOTAL(109,local201011[Net
Balance])</f>
        <v>48268168</v>
      </c>
    </row>
    <row r="60" spans="1:12" s="3" customFormat="1" ht="15" outlineLevel="2" x14ac:dyDescent="0.2">
      <c r="A60" s="214" t="s">
        <v>508</v>
      </c>
      <c r="B60" s="196"/>
      <c r="D60" s="40"/>
      <c r="E60" s="146"/>
      <c r="F60" s="146"/>
      <c r="G60" s="146"/>
      <c r="H60" s="146"/>
      <c r="I60" s="146"/>
      <c r="J60" s="146"/>
      <c r="K60" s="146"/>
      <c r="L60" s="146"/>
    </row>
    <row r="61" spans="1:12" ht="50.1" customHeight="1" outlineLevel="2" x14ac:dyDescent="0.25">
      <c r="A61" s="176" t="s">
        <v>98</v>
      </c>
      <c r="B61" s="176" t="s">
        <v>99</v>
      </c>
      <c r="C61" s="176" t="s">
        <v>1</v>
      </c>
      <c r="D61" s="176" t="s">
        <v>195</v>
      </c>
      <c r="E61" s="210" t="s">
        <v>188</v>
      </c>
      <c r="F61" s="211" t="s">
        <v>576</v>
      </c>
      <c r="G61" s="212" t="s">
        <v>532</v>
      </c>
      <c r="H61" s="210" t="s">
        <v>528</v>
      </c>
      <c r="I61" s="210" t="s">
        <v>529</v>
      </c>
      <c r="J61" s="210" t="s">
        <v>197</v>
      </c>
      <c r="K61" s="210" t="s">
        <v>530</v>
      </c>
      <c r="L61" s="210" t="s">
        <v>196</v>
      </c>
    </row>
    <row r="62" spans="1:12" outlineLevel="2" x14ac:dyDescent="0.25">
      <c r="A62" s="40" t="s">
        <v>87</v>
      </c>
      <c r="B62" s="196" t="s">
        <v>213</v>
      </c>
      <c r="C62" s="3" t="s">
        <v>214</v>
      </c>
      <c r="D62" s="40">
        <v>2</v>
      </c>
      <c r="E62" s="146">
        <v>24710823</v>
      </c>
      <c r="F62" s="215">
        <v>0</v>
      </c>
      <c r="G62" s="213" t="s">
        <v>500</v>
      </c>
      <c r="H62" s="146">
        <v>24710823</v>
      </c>
      <c r="I62" s="215">
        <v>0</v>
      </c>
      <c r="J62" s="215">
        <v>0</v>
      </c>
      <c r="K62" s="215">
        <v>0</v>
      </c>
      <c r="L62" s="146">
        <v>24710823</v>
      </c>
    </row>
    <row r="63" spans="1:12" ht="30.75" customHeight="1" outlineLevel="2" x14ac:dyDescent="0.25">
      <c r="A63" s="40" t="s">
        <v>87</v>
      </c>
      <c r="B63" s="196" t="s">
        <v>215</v>
      </c>
      <c r="C63" s="3" t="s">
        <v>216</v>
      </c>
      <c r="D63" s="40">
        <v>248</v>
      </c>
      <c r="E63" s="146">
        <v>32562</v>
      </c>
      <c r="F63" s="215">
        <v>0</v>
      </c>
      <c r="G63" s="213" t="s">
        <v>500</v>
      </c>
      <c r="H63" s="146">
        <v>32562</v>
      </c>
      <c r="I63" s="215">
        <v>0</v>
      </c>
      <c r="J63" s="215">
        <v>0</v>
      </c>
      <c r="K63" s="215">
        <v>0</v>
      </c>
      <c r="L63" s="146">
        <v>32562</v>
      </c>
    </row>
    <row r="64" spans="1:12" outlineLevel="2" x14ac:dyDescent="0.25">
      <c r="A64" s="40" t="s">
        <v>87</v>
      </c>
      <c r="B64" s="196" t="s">
        <v>224</v>
      </c>
      <c r="C64" s="3" t="s">
        <v>225</v>
      </c>
      <c r="D64" s="40">
        <v>213</v>
      </c>
      <c r="E64" s="146">
        <v>1542144</v>
      </c>
      <c r="F64" s="215">
        <v>0</v>
      </c>
      <c r="G64" s="213" t="s">
        <v>500</v>
      </c>
      <c r="H64" s="146">
        <v>1542144</v>
      </c>
      <c r="I64" s="215">
        <v>0</v>
      </c>
      <c r="J64" s="215">
        <v>0</v>
      </c>
      <c r="K64" s="215">
        <v>0</v>
      </c>
      <c r="L64" s="146">
        <v>1542144</v>
      </c>
    </row>
    <row r="65" spans="1:12" outlineLevel="2" x14ac:dyDescent="0.25">
      <c r="A65" s="40" t="s">
        <v>87</v>
      </c>
      <c r="B65" s="196" t="s">
        <v>173</v>
      </c>
      <c r="C65" s="3" t="s">
        <v>174</v>
      </c>
      <c r="D65" s="40">
        <v>353</v>
      </c>
      <c r="E65" s="146">
        <v>1640194</v>
      </c>
      <c r="F65" s="146">
        <v>1640194</v>
      </c>
      <c r="G65" s="213" t="s">
        <v>500</v>
      </c>
      <c r="H65" s="215">
        <v>0</v>
      </c>
      <c r="I65" s="146">
        <v>9444</v>
      </c>
      <c r="J65" s="215">
        <v>0</v>
      </c>
      <c r="K65" s="146">
        <v>9444</v>
      </c>
      <c r="L65" s="146">
        <v>-9444</v>
      </c>
    </row>
    <row r="66" spans="1:12" ht="30.75" customHeight="1" outlineLevel="2" x14ac:dyDescent="0.25">
      <c r="A66" s="40" t="s">
        <v>87</v>
      </c>
      <c r="B66" s="196" t="s">
        <v>226</v>
      </c>
      <c r="C66" s="3" t="s">
        <v>227</v>
      </c>
      <c r="D66" s="40">
        <v>67</v>
      </c>
      <c r="E66" s="146">
        <v>12927</v>
      </c>
      <c r="F66" s="215">
        <v>0</v>
      </c>
      <c r="G66" s="213" t="s">
        <v>500</v>
      </c>
      <c r="H66" s="146">
        <v>12927</v>
      </c>
      <c r="I66" s="215">
        <v>0</v>
      </c>
      <c r="J66" s="215">
        <v>0</v>
      </c>
      <c r="K66" s="215">
        <v>0</v>
      </c>
      <c r="L66" s="146">
        <v>12927</v>
      </c>
    </row>
    <row r="67" spans="1:12" ht="14.45" customHeight="1" outlineLevel="2" x14ac:dyDescent="0.25">
      <c r="A67" s="40" t="s">
        <v>87</v>
      </c>
      <c r="B67" s="196" t="s">
        <v>228</v>
      </c>
      <c r="C67" s="3" t="s">
        <v>229</v>
      </c>
      <c r="D67" s="40">
        <v>88</v>
      </c>
      <c r="E67" s="146">
        <v>8996</v>
      </c>
      <c r="F67" s="215">
        <v>0</v>
      </c>
      <c r="G67" s="213" t="s">
        <v>500</v>
      </c>
      <c r="H67" s="146">
        <v>8996</v>
      </c>
      <c r="I67" s="215">
        <v>0</v>
      </c>
      <c r="J67" s="215">
        <v>0</v>
      </c>
      <c r="K67" s="215">
        <v>0</v>
      </c>
      <c r="L67" s="146">
        <v>8996</v>
      </c>
    </row>
    <row r="68" spans="1:12" ht="14.45" customHeight="1" outlineLevel="2" x14ac:dyDescent="0.25">
      <c r="A68" s="40" t="s">
        <v>87</v>
      </c>
      <c r="B68" s="196" t="s">
        <v>230</v>
      </c>
      <c r="C68" s="3" t="s">
        <v>231</v>
      </c>
      <c r="D68" s="40">
        <v>158</v>
      </c>
      <c r="E68" s="146">
        <v>25577</v>
      </c>
      <c r="F68" s="215">
        <v>0</v>
      </c>
      <c r="G68" s="213" t="s">
        <v>500</v>
      </c>
      <c r="H68" s="146">
        <v>25577</v>
      </c>
      <c r="I68" s="215">
        <v>0</v>
      </c>
      <c r="J68" s="215">
        <v>0</v>
      </c>
      <c r="K68" s="215">
        <v>0</v>
      </c>
      <c r="L68" s="146">
        <v>25577</v>
      </c>
    </row>
    <row r="69" spans="1:12" ht="30.75" outlineLevel="2" x14ac:dyDescent="0.25">
      <c r="A69" s="40" t="s">
        <v>87</v>
      </c>
      <c r="B69" s="196" t="s">
        <v>232</v>
      </c>
      <c r="C69" s="3" t="s">
        <v>233</v>
      </c>
      <c r="D69" s="40">
        <v>87</v>
      </c>
      <c r="E69" s="146">
        <v>40390</v>
      </c>
      <c r="F69" s="215">
        <v>0</v>
      </c>
      <c r="G69" s="213" t="s">
        <v>500</v>
      </c>
      <c r="H69" s="146">
        <v>40390</v>
      </c>
      <c r="I69" s="215">
        <v>0</v>
      </c>
      <c r="J69" s="215">
        <v>0</v>
      </c>
      <c r="K69" s="215">
        <v>0</v>
      </c>
      <c r="L69" s="146">
        <v>40390</v>
      </c>
    </row>
    <row r="70" spans="1:12" ht="14.45" customHeight="1" outlineLevel="2" x14ac:dyDescent="0.25">
      <c r="A70" s="40" t="s">
        <v>87</v>
      </c>
      <c r="B70" s="196" t="s">
        <v>217</v>
      </c>
      <c r="C70" s="3" t="s">
        <v>218</v>
      </c>
      <c r="D70" s="40">
        <v>289</v>
      </c>
      <c r="E70" s="146">
        <v>20569</v>
      </c>
      <c r="F70" s="215">
        <v>0</v>
      </c>
      <c r="G70" s="213" t="s">
        <v>500</v>
      </c>
      <c r="H70" s="146">
        <v>20569</v>
      </c>
      <c r="I70" s="215">
        <v>0</v>
      </c>
      <c r="J70" s="215">
        <v>0</v>
      </c>
      <c r="K70" s="215">
        <v>0</v>
      </c>
      <c r="L70" s="146">
        <v>20569</v>
      </c>
    </row>
    <row r="71" spans="1:12" ht="30.75" customHeight="1" outlineLevel="2" x14ac:dyDescent="0.25">
      <c r="A71" s="40" t="s">
        <v>87</v>
      </c>
      <c r="B71" s="196" t="s">
        <v>234</v>
      </c>
      <c r="C71" s="3" t="s">
        <v>235</v>
      </c>
      <c r="D71" s="40">
        <v>300</v>
      </c>
      <c r="E71" s="146">
        <v>7017</v>
      </c>
      <c r="F71" s="215">
        <v>0</v>
      </c>
      <c r="G71" s="213" t="s">
        <v>500</v>
      </c>
      <c r="H71" s="146">
        <v>7017</v>
      </c>
      <c r="I71" s="215">
        <v>0</v>
      </c>
      <c r="J71" s="215">
        <v>0</v>
      </c>
      <c r="K71" s="215">
        <v>0</v>
      </c>
      <c r="L71" s="146">
        <v>7017</v>
      </c>
    </row>
    <row r="72" spans="1:12" ht="14.45" customHeight="1" outlineLevel="2" x14ac:dyDescent="0.25">
      <c r="A72" s="40" t="s">
        <v>87</v>
      </c>
      <c r="B72" s="196" t="s">
        <v>219</v>
      </c>
      <c r="C72" s="3" t="s">
        <v>220</v>
      </c>
      <c r="D72" s="40">
        <v>41</v>
      </c>
      <c r="E72" s="146">
        <v>5475418</v>
      </c>
      <c r="F72" s="215">
        <v>0</v>
      </c>
      <c r="G72" s="213" t="s">
        <v>500</v>
      </c>
      <c r="H72" s="146">
        <v>5475418</v>
      </c>
      <c r="I72" s="215">
        <v>0</v>
      </c>
      <c r="J72" s="215">
        <v>0</v>
      </c>
      <c r="K72" s="215">
        <v>0</v>
      </c>
      <c r="L72" s="146">
        <v>5475418</v>
      </c>
    </row>
    <row r="73" spans="1:12" ht="30.75" customHeight="1" outlineLevel="2" x14ac:dyDescent="0.25">
      <c r="A73" s="40" t="s">
        <v>87</v>
      </c>
      <c r="B73" s="196" t="s">
        <v>236</v>
      </c>
      <c r="C73" s="3" t="s">
        <v>237</v>
      </c>
      <c r="D73" s="40">
        <v>203</v>
      </c>
      <c r="E73" s="146">
        <v>219819</v>
      </c>
      <c r="F73" s="215">
        <v>0</v>
      </c>
      <c r="G73" s="213" t="s">
        <v>500</v>
      </c>
      <c r="H73" s="146">
        <v>219819</v>
      </c>
      <c r="I73" s="215">
        <v>0</v>
      </c>
      <c r="J73" s="215">
        <v>0</v>
      </c>
      <c r="K73" s="215">
        <v>0</v>
      </c>
      <c r="L73" s="146">
        <v>219819</v>
      </c>
    </row>
    <row r="74" spans="1:12" ht="30.75" customHeight="1" outlineLevel="2" x14ac:dyDescent="0.25">
      <c r="A74" s="40" t="s">
        <v>87</v>
      </c>
      <c r="B74" s="196" t="s">
        <v>238</v>
      </c>
      <c r="C74" s="3" t="s">
        <v>239</v>
      </c>
      <c r="D74" s="40">
        <v>39</v>
      </c>
      <c r="E74" s="146">
        <v>3011</v>
      </c>
      <c r="F74" s="215">
        <v>0</v>
      </c>
      <c r="G74" s="213" t="s">
        <v>500</v>
      </c>
      <c r="H74" s="146">
        <v>3011</v>
      </c>
      <c r="I74" s="215">
        <v>0</v>
      </c>
      <c r="J74" s="215">
        <v>0</v>
      </c>
      <c r="K74" s="215">
        <v>0</v>
      </c>
      <c r="L74" s="146">
        <v>3011</v>
      </c>
    </row>
    <row r="75" spans="1:12" ht="30.75" customHeight="1" outlineLevel="2" x14ac:dyDescent="0.25">
      <c r="A75" s="40" t="s">
        <v>87</v>
      </c>
      <c r="B75" s="196" t="s">
        <v>240</v>
      </c>
      <c r="C75" s="3" t="s">
        <v>241</v>
      </c>
      <c r="D75" s="40">
        <v>66</v>
      </c>
      <c r="E75" s="146">
        <v>1345</v>
      </c>
      <c r="F75" s="215">
        <v>0</v>
      </c>
      <c r="G75" s="213" t="s">
        <v>500</v>
      </c>
      <c r="H75" s="146">
        <v>1345</v>
      </c>
      <c r="I75" s="215">
        <v>0</v>
      </c>
      <c r="J75" s="215">
        <v>0</v>
      </c>
      <c r="K75" s="215">
        <v>0</v>
      </c>
      <c r="L75" s="146">
        <v>1345</v>
      </c>
    </row>
    <row r="76" spans="1:12" ht="14.45" customHeight="1" outlineLevel="2" x14ac:dyDescent="0.25">
      <c r="A76" s="40" t="s">
        <v>87</v>
      </c>
      <c r="B76" s="196" t="s">
        <v>242</v>
      </c>
      <c r="C76" s="3" t="s">
        <v>243</v>
      </c>
      <c r="D76" s="40">
        <v>200</v>
      </c>
      <c r="E76" s="146">
        <v>120902</v>
      </c>
      <c r="F76" s="215">
        <v>0</v>
      </c>
      <c r="G76" s="213" t="s">
        <v>500</v>
      </c>
      <c r="H76" s="146">
        <v>120902</v>
      </c>
      <c r="I76" s="215">
        <v>0</v>
      </c>
      <c r="J76" s="215">
        <v>0</v>
      </c>
      <c r="K76" s="215">
        <v>0</v>
      </c>
      <c r="L76" s="146">
        <v>120902</v>
      </c>
    </row>
    <row r="77" spans="1:12" ht="14.45" customHeight="1" outlineLevel="2" x14ac:dyDescent="0.25">
      <c r="A77" s="40" t="s">
        <v>87</v>
      </c>
      <c r="B77" s="196" t="s">
        <v>210</v>
      </c>
      <c r="C77" s="3" t="s">
        <v>211</v>
      </c>
      <c r="D77" s="40">
        <v>219</v>
      </c>
      <c r="E77" s="146">
        <v>15437268</v>
      </c>
      <c r="F77" s="215">
        <v>0</v>
      </c>
      <c r="G77" s="213" t="s">
        <v>500</v>
      </c>
      <c r="H77" s="146">
        <v>15437268</v>
      </c>
      <c r="I77" s="215">
        <v>0</v>
      </c>
      <c r="J77" s="215">
        <v>0</v>
      </c>
      <c r="K77" s="215">
        <v>0</v>
      </c>
      <c r="L77" s="146">
        <v>15437268</v>
      </c>
    </row>
    <row r="78" spans="1:12" ht="30.75" outlineLevel="1" x14ac:dyDescent="0.25">
      <c r="A78" s="40" t="s">
        <v>87</v>
      </c>
      <c r="B78" s="196" t="s">
        <v>244</v>
      </c>
      <c r="C78" s="3" t="s">
        <v>245</v>
      </c>
      <c r="D78" s="40">
        <v>122</v>
      </c>
      <c r="E78" s="146">
        <v>1466</v>
      </c>
      <c r="F78" s="215">
        <v>0</v>
      </c>
      <c r="G78" s="213" t="s">
        <v>500</v>
      </c>
      <c r="H78" s="146">
        <v>1466</v>
      </c>
      <c r="I78" s="215">
        <v>0</v>
      </c>
      <c r="J78" s="215">
        <v>0</v>
      </c>
      <c r="K78" s="215">
        <v>0</v>
      </c>
      <c r="L78" s="146">
        <v>1466</v>
      </c>
    </row>
    <row r="79" spans="1:12" ht="14.45" customHeight="1" outlineLevel="2" x14ac:dyDescent="0.25">
      <c r="A79" s="40" t="s">
        <v>87</v>
      </c>
      <c r="B79" s="196" t="s">
        <v>198</v>
      </c>
      <c r="C79" s="3" t="s">
        <v>199</v>
      </c>
      <c r="D79" s="40">
        <v>187</v>
      </c>
      <c r="E79" s="146">
        <v>6503704</v>
      </c>
      <c r="F79" s="215">
        <v>0</v>
      </c>
      <c r="G79" s="213" t="s">
        <v>500</v>
      </c>
      <c r="H79" s="146">
        <v>6503704</v>
      </c>
      <c r="I79" s="215">
        <v>0</v>
      </c>
      <c r="J79" s="215">
        <v>0</v>
      </c>
      <c r="K79" s="215">
        <v>0</v>
      </c>
      <c r="L79" s="146">
        <v>6503704</v>
      </c>
    </row>
    <row r="80" spans="1:12" ht="14.45" customHeight="1" outlineLevel="2" x14ac:dyDescent="0.25">
      <c r="A80" s="40" t="s">
        <v>87</v>
      </c>
      <c r="B80" s="196" t="s">
        <v>246</v>
      </c>
      <c r="C80" s="3" t="s">
        <v>247</v>
      </c>
      <c r="D80" s="40">
        <v>124</v>
      </c>
      <c r="E80" s="146">
        <v>47464</v>
      </c>
      <c r="F80" s="215">
        <v>0</v>
      </c>
      <c r="G80" s="213" t="s">
        <v>500</v>
      </c>
      <c r="H80" s="146">
        <v>47464</v>
      </c>
      <c r="I80" s="215">
        <v>0</v>
      </c>
      <c r="J80" s="215">
        <v>0</v>
      </c>
      <c r="K80" s="215">
        <v>0</v>
      </c>
      <c r="L80" s="146">
        <v>47464</v>
      </c>
    </row>
    <row r="81" spans="1:12" outlineLevel="2" x14ac:dyDescent="0.25">
      <c r="A81" s="40" t="s">
        <v>87</v>
      </c>
      <c r="B81" s="196" t="s">
        <v>248</v>
      </c>
      <c r="C81" s="3" t="s">
        <v>249</v>
      </c>
      <c r="D81" s="40">
        <v>83</v>
      </c>
      <c r="E81" s="146">
        <v>1310491</v>
      </c>
      <c r="F81" s="215">
        <v>0</v>
      </c>
      <c r="G81" s="213" t="s">
        <v>500</v>
      </c>
      <c r="H81" s="146">
        <v>1310491</v>
      </c>
      <c r="I81" s="215">
        <v>0</v>
      </c>
      <c r="J81" s="215">
        <v>0</v>
      </c>
      <c r="K81" s="215">
        <v>0</v>
      </c>
      <c r="L81" s="146">
        <v>1310491</v>
      </c>
    </row>
    <row r="82" spans="1:12" ht="14.45" customHeight="1" outlineLevel="2" x14ac:dyDescent="0.25">
      <c r="A82" s="40" t="s">
        <v>87</v>
      </c>
      <c r="B82" s="196" t="s">
        <v>250</v>
      </c>
      <c r="C82" s="3" t="s">
        <v>251</v>
      </c>
      <c r="D82" s="40">
        <v>215</v>
      </c>
      <c r="E82" s="146">
        <v>2177</v>
      </c>
      <c r="F82" s="215">
        <v>0</v>
      </c>
      <c r="G82" s="213" t="s">
        <v>500</v>
      </c>
      <c r="H82" s="146">
        <v>2177</v>
      </c>
      <c r="I82" s="215">
        <v>0</v>
      </c>
      <c r="J82" s="215">
        <v>0</v>
      </c>
      <c r="K82" s="215">
        <v>0</v>
      </c>
      <c r="L82" s="146">
        <v>2177</v>
      </c>
    </row>
    <row r="83" spans="1:12" ht="14.45" customHeight="1" outlineLevel="2" x14ac:dyDescent="0.25">
      <c r="A83" s="40" t="s">
        <v>87</v>
      </c>
      <c r="B83" s="196" t="s">
        <v>252</v>
      </c>
      <c r="C83" s="3" t="s">
        <v>253</v>
      </c>
      <c r="D83" s="40">
        <v>279</v>
      </c>
      <c r="E83" s="146">
        <v>7804</v>
      </c>
      <c r="F83" s="215">
        <v>0</v>
      </c>
      <c r="G83" s="213" t="s">
        <v>500</v>
      </c>
      <c r="H83" s="146">
        <v>7804</v>
      </c>
      <c r="I83" s="215">
        <v>0</v>
      </c>
      <c r="J83" s="215">
        <v>0</v>
      </c>
      <c r="K83" s="215">
        <v>0</v>
      </c>
      <c r="L83" s="146">
        <v>7804</v>
      </c>
    </row>
    <row r="84" spans="1:12" outlineLevel="2" x14ac:dyDescent="0.25">
      <c r="A84" s="40" t="s">
        <v>87</v>
      </c>
      <c r="B84" s="196" t="s">
        <v>254</v>
      </c>
      <c r="C84" s="3" t="s">
        <v>255</v>
      </c>
      <c r="D84" s="40">
        <v>73</v>
      </c>
      <c r="E84" s="146">
        <v>48090</v>
      </c>
      <c r="F84" s="215">
        <v>0</v>
      </c>
      <c r="G84" s="213" t="s">
        <v>500</v>
      </c>
      <c r="H84" s="146">
        <v>48090</v>
      </c>
      <c r="I84" s="215">
        <v>0</v>
      </c>
      <c r="J84" s="215">
        <v>0</v>
      </c>
      <c r="K84" s="215">
        <v>0</v>
      </c>
      <c r="L84" s="146">
        <v>48090</v>
      </c>
    </row>
    <row r="85" spans="1:12" ht="14.45" customHeight="1" outlineLevel="2" x14ac:dyDescent="0.25">
      <c r="A85" s="40" t="s">
        <v>87</v>
      </c>
      <c r="B85" s="196" t="s">
        <v>256</v>
      </c>
      <c r="C85" s="3" t="s">
        <v>257</v>
      </c>
      <c r="D85" s="40">
        <v>120</v>
      </c>
      <c r="E85" s="146">
        <v>13379</v>
      </c>
      <c r="F85" s="215">
        <v>0</v>
      </c>
      <c r="G85" s="213" t="s">
        <v>500</v>
      </c>
      <c r="H85" s="146">
        <v>13379</v>
      </c>
      <c r="I85" s="215">
        <v>0</v>
      </c>
      <c r="J85" s="215">
        <v>0</v>
      </c>
      <c r="K85" s="215">
        <v>0</v>
      </c>
      <c r="L85" s="146">
        <v>13379</v>
      </c>
    </row>
    <row r="86" spans="1:12" ht="14.45" customHeight="1" outlineLevel="2" x14ac:dyDescent="0.25">
      <c r="A86" s="40" t="s">
        <v>87</v>
      </c>
      <c r="B86" s="196" t="s">
        <v>221</v>
      </c>
      <c r="C86" s="3" t="s">
        <v>222</v>
      </c>
      <c r="D86" s="40">
        <v>56</v>
      </c>
      <c r="E86" s="146">
        <v>1205598</v>
      </c>
      <c r="F86" s="215">
        <v>0</v>
      </c>
      <c r="G86" s="213" t="s">
        <v>500</v>
      </c>
      <c r="H86" s="146">
        <v>1205598</v>
      </c>
      <c r="I86" s="215">
        <v>0</v>
      </c>
      <c r="J86" s="215">
        <v>0</v>
      </c>
      <c r="K86" s="215">
        <v>0</v>
      </c>
      <c r="L86" s="146">
        <v>1205598</v>
      </c>
    </row>
    <row r="87" spans="1:12" ht="14.45" customHeight="1" outlineLevel="2" x14ac:dyDescent="0.25">
      <c r="A87" s="241" t="s">
        <v>258</v>
      </c>
      <c r="B87" s="184" t="s">
        <v>500</v>
      </c>
      <c r="C87" s="74" t="s">
        <v>500</v>
      </c>
      <c r="D87" s="180" t="s">
        <v>500</v>
      </c>
      <c r="E87" s="78">
        <f>SUBTOTAL(109,local200910[Program
Costs])</f>
        <v>58439135</v>
      </c>
      <c r="F87" s="78">
        <f>SUBTOTAL(109,local200910[Less: Net Payments and Offsets 9])</f>
        <v>1640194</v>
      </c>
      <c r="G87" s="74" t="s">
        <v>500</v>
      </c>
      <c r="H87" s="78">
        <f>SUBTOTAL(109,local200910[Accounts Payable
Balance])</f>
        <v>56798941</v>
      </c>
      <c r="I87" s="78">
        <f>SUBTOTAL(109,local200910[Established
Accounts Receivable])</f>
        <v>9444</v>
      </c>
      <c r="J87" s="179">
        <f>SUBTOTAL(109,local200910[Less: Recovered Amount])</f>
        <v>0</v>
      </c>
      <c r="K87" s="78">
        <f>SUBTOTAL(109,local200910[Accounts Receivable
Balance])</f>
        <v>9444</v>
      </c>
      <c r="L87" s="78">
        <f>SUBTOTAL(109,local200910[Net
Balance])</f>
        <v>56789497</v>
      </c>
    </row>
    <row r="88" spans="1:12" s="222" customFormat="1" outlineLevel="2" x14ac:dyDescent="0.25">
      <c r="A88" s="214" t="s">
        <v>508</v>
      </c>
      <c r="B88" s="196"/>
      <c r="C88" s="3"/>
      <c r="D88" s="40"/>
      <c r="E88" s="146"/>
      <c r="F88" s="146"/>
      <c r="G88" s="146"/>
      <c r="H88" s="146"/>
      <c r="I88" s="146"/>
      <c r="J88" s="146"/>
      <c r="K88" s="146"/>
      <c r="L88" s="146"/>
    </row>
    <row r="89" spans="1:12" ht="50.1" customHeight="1" outlineLevel="2" x14ac:dyDescent="0.25">
      <c r="A89" s="176" t="s">
        <v>98</v>
      </c>
      <c r="B89" s="176" t="s">
        <v>99</v>
      </c>
      <c r="C89" s="176" t="s">
        <v>1</v>
      </c>
      <c r="D89" s="176" t="s">
        <v>195</v>
      </c>
      <c r="E89" s="210" t="s">
        <v>188</v>
      </c>
      <c r="F89" s="211" t="s">
        <v>576</v>
      </c>
      <c r="G89" s="212" t="s">
        <v>532</v>
      </c>
      <c r="H89" s="210" t="s">
        <v>528</v>
      </c>
      <c r="I89" s="210" t="s">
        <v>529</v>
      </c>
      <c r="J89" s="210" t="s">
        <v>197</v>
      </c>
      <c r="K89" s="210" t="s">
        <v>530</v>
      </c>
      <c r="L89" s="210" t="s">
        <v>196</v>
      </c>
    </row>
    <row r="90" spans="1:12" outlineLevel="2" x14ac:dyDescent="0.25">
      <c r="A90" s="40" t="s">
        <v>76</v>
      </c>
      <c r="B90" s="196" t="s">
        <v>224</v>
      </c>
      <c r="C90" s="3" t="s">
        <v>225</v>
      </c>
      <c r="D90" s="40">
        <v>213</v>
      </c>
      <c r="E90" s="146">
        <v>19846542</v>
      </c>
      <c r="F90" s="215">
        <v>0</v>
      </c>
      <c r="G90" s="213" t="s">
        <v>500</v>
      </c>
      <c r="H90" s="146">
        <v>19846542</v>
      </c>
      <c r="I90" s="215">
        <v>0</v>
      </c>
      <c r="J90" s="215">
        <v>0</v>
      </c>
      <c r="K90" s="215">
        <v>0</v>
      </c>
      <c r="L90" s="146">
        <v>19846542</v>
      </c>
    </row>
    <row r="91" spans="1:12" ht="14.45" customHeight="1" outlineLevel="2" x14ac:dyDescent="0.25">
      <c r="A91" s="40" t="s">
        <v>76</v>
      </c>
      <c r="B91" s="196" t="s">
        <v>173</v>
      </c>
      <c r="C91" s="3" t="s">
        <v>174</v>
      </c>
      <c r="D91" s="40">
        <v>353</v>
      </c>
      <c r="E91" s="146">
        <v>1558731</v>
      </c>
      <c r="F91" s="146">
        <v>1558731</v>
      </c>
      <c r="G91" s="213" t="s">
        <v>500</v>
      </c>
      <c r="H91" s="215">
        <v>0</v>
      </c>
      <c r="I91" s="146">
        <v>7837</v>
      </c>
      <c r="J91" s="215">
        <v>0</v>
      </c>
      <c r="K91" s="146">
        <v>7837</v>
      </c>
      <c r="L91" s="146">
        <v>-7837</v>
      </c>
    </row>
    <row r="92" spans="1:12" ht="30.75" customHeight="1" outlineLevel="2" x14ac:dyDescent="0.25">
      <c r="A92" s="40" t="s">
        <v>76</v>
      </c>
      <c r="B92" s="196" t="s">
        <v>226</v>
      </c>
      <c r="C92" s="3" t="s">
        <v>227</v>
      </c>
      <c r="D92" s="40">
        <v>67</v>
      </c>
      <c r="E92" s="146">
        <v>171702</v>
      </c>
      <c r="F92" s="215">
        <v>0</v>
      </c>
      <c r="G92" s="213" t="s">
        <v>500</v>
      </c>
      <c r="H92" s="146">
        <v>171702</v>
      </c>
      <c r="I92" s="215">
        <v>0</v>
      </c>
      <c r="J92" s="215">
        <v>0</v>
      </c>
      <c r="K92" s="215">
        <v>0</v>
      </c>
      <c r="L92" s="146">
        <v>171702</v>
      </c>
    </row>
    <row r="93" spans="1:12" ht="14.45" customHeight="1" outlineLevel="2" x14ac:dyDescent="0.25">
      <c r="A93" s="40" t="s">
        <v>76</v>
      </c>
      <c r="B93" s="196" t="s">
        <v>228</v>
      </c>
      <c r="C93" s="3" t="s">
        <v>229</v>
      </c>
      <c r="D93" s="40">
        <v>88</v>
      </c>
      <c r="E93" s="146">
        <v>113089</v>
      </c>
      <c r="F93" s="215">
        <v>0</v>
      </c>
      <c r="G93" s="213" t="s">
        <v>500</v>
      </c>
      <c r="H93" s="146">
        <v>113089</v>
      </c>
      <c r="I93" s="215">
        <v>0</v>
      </c>
      <c r="J93" s="215">
        <v>0</v>
      </c>
      <c r="K93" s="215">
        <v>0</v>
      </c>
      <c r="L93" s="146">
        <v>113089</v>
      </c>
    </row>
    <row r="94" spans="1:12" outlineLevel="2" x14ac:dyDescent="0.25">
      <c r="A94" s="40" t="s">
        <v>76</v>
      </c>
      <c r="B94" s="196" t="s">
        <v>230</v>
      </c>
      <c r="C94" s="3" t="s">
        <v>231</v>
      </c>
      <c r="D94" s="40">
        <v>158</v>
      </c>
      <c r="E94" s="146">
        <v>363356</v>
      </c>
      <c r="F94" s="215">
        <v>0</v>
      </c>
      <c r="G94" s="213" t="s">
        <v>500</v>
      </c>
      <c r="H94" s="146">
        <v>363356</v>
      </c>
      <c r="I94" s="215">
        <v>0</v>
      </c>
      <c r="J94" s="215">
        <v>0</v>
      </c>
      <c r="K94" s="215">
        <v>0</v>
      </c>
      <c r="L94" s="146">
        <v>363356</v>
      </c>
    </row>
    <row r="95" spans="1:12" ht="14.45" customHeight="1" outlineLevel="2" x14ac:dyDescent="0.25">
      <c r="A95" s="40" t="s">
        <v>76</v>
      </c>
      <c r="B95" s="196" t="s">
        <v>232</v>
      </c>
      <c r="C95" s="3" t="s">
        <v>233</v>
      </c>
      <c r="D95" s="40">
        <v>87</v>
      </c>
      <c r="E95" s="146">
        <v>567312</v>
      </c>
      <c r="F95" s="215">
        <v>0</v>
      </c>
      <c r="G95" s="213" t="s">
        <v>500</v>
      </c>
      <c r="H95" s="146">
        <v>567312</v>
      </c>
      <c r="I95" s="215">
        <v>0</v>
      </c>
      <c r="J95" s="215">
        <v>0</v>
      </c>
      <c r="K95" s="215">
        <v>0</v>
      </c>
      <c r="L95" s="146">
        <v>567312</v>
      </c>
    </row>
    <row r="96" spans="1:12" ht="14.45" customHeight="1" outlineLevel="2" x14ac:dyDescent="0.25">
      <c r="A96" s="40" t="s">
        <v>76</v>
      </c>
      <c r="B96" s="196" t="s">
        <v>259</v>
      </c>
      <c r="C96" s="3" t="s">
        <v>260</v>
      </c>
      <c r="D96" s="40">
        <v>266</v>
      </c>
      <c r="E96" s="146">
        <v>146180</v>
      </c>
      <c r="F96" s="215">
        <v>0</v>
      </c>
      <c r="G96" s="213" t="s">
        <v>500</v>
      </c>
      <c r="H96" s="146">
        <v>146180</v>
      </c>
      <c r="I96" s="215">
        <v>0</v>
      </c>
      <c r="J96" s="215">
        <v>0</v>
      </c>
      <c r="K96" s="215">
        <v>0</v>
      </c>
      <c r="L96" s="146">
        <v>146180</v>
      </c>
    </row>
    <row r="97" spans="1:12" ht="14.45" customHeight="1" outlineLevel="2" x14ac:dyDescent="0.25">
      <c r="A97" s="40" t="s">
        <v>76</v>
      </c>
      <c r="B97" s="196" t="s">
        <v>261</v>
      </c>
      <c r="C97" s="3" t="s">
        <v>262</v>
      </c>
      <c r="D97" s="40">
        <v>257</v>
      </c>
      <c r="E97" s="146">
        <v>4297</v>
      </c>
      <c r="F97" s="215">
        <v>0</v>
      </c>
      <c r="G97" s="213" t="s">
        <v>500</v>
      </c>
      <c r="H97" s="146">
        <v>4297</v>
      </c>
      <c r="I97" s="215">
        <v>0</v>
      </c>
      <c r="J97" s="215">
        <v>0</v>
      </c>
      <c r="K97" s="215">
        <v>0</v>
      </c>
      <c r="L97" s="146">
        <v>4297</v>
      </c>
    </row>
    <row r="98" spans="1:12" ht="30.75" customHeight="1" outlineLevel="2" x14ac:dyDescent="0.25">
      <c r="A98" s="40" t="s">
        <v>76</v>
      </c>
      <c r="B98" s="196" t="s">
        <v>263</v>
      </c>
      <c r="C98" s="3" t="s">
        <v>264</v>
      </c>
      <c r="D98" s="40">
        <v>35</v>
      </c>
      <c r="E98" s="146">
        <v>139227</v>
      </c>
      <c r="F98" s="215">
        <v>0</v>
      </c>
      <c r="G98" s="213" t="s">
        <v>500</v>
      </c>
      <c r="H98" s="146">
        <v>139227</v>
      </c>
      <c r="I98" s="215">
        <v>0</v>
      </c>
      <c r="J98" s="215">
        <v>0</v>
      </c>
      <c r="K98" s="215">
        <v>0</v>
      </c>
      <c r="L98" s="146">
        <v>139227</v>
      </c>
    </row>
    <row r="99" spans="1:12" ht="30.75" outlineLevel="2" x14ac:dyDescent="0.25">
      <c r="A99" s="40" t="s">
        <v>76</v>
      </c>
      <c r="B99" s="196" t="s">
        <v>236</v>
      </c>
      <c r="C99" s="3" t="s">
        <v>237</v>
      </c>
      <c r="D99" s="40">
        <v>203</v>
      </c>
      <c r="E99" s="146">
        <v>3802424</v>
      </c>
      <c r="F99" s="215">
        <v>0</v>
      </c>
      <c r="G99" s="213" t="s">
        <v>500</v>
      </c>
      <c r="H99" s="146">
        <v>3802424</v>
      </c>
      <c r="I99" s="215">
        <v>0</v>
      </c>
      <c r="J99" s="215">
        <v>0</v>
      </c>
      <c r="K99" s="215">
        <v>0</v>
      </c>
      <c r="L99" s="146">
        <v>3802424</v>
      </c>
    </row>
    <row r="100" spans="1:12" ht="30.75" customHeight="1" outlineLevel="2" x14ac:dyDescent="0.25">
      <c r="A100" s="40" t="s">
        <v>76</v>
      </c>
      <c r="B100" s="196" t="s">
        <v>238</v>
      </c>
      <c r="C100" s="3" t="s">
        <v>239</v>
      </c>
      <c r="D100" s="40">
        <v>39</v>
      </c>
      <c r="E100" s="146">
        <v>40980</v>
      </c>
      <c r="F100" s="215">
        <v>0</v>
      </c>
      <c r="G100" s="213" t="s">
        <v>500</v>
      </c>
      <c r="H100" s="146">
        <v>40980</v>
      </c>
      <c r="I100" s="215">
        <v>0</v>
      </c>
      <c r="J100" s="215">
        <v>0</v>
      </c>
      <c r="K100" s="215">
        <v>0</v>
      </c>
      <c r="L100" s="146">
        <v>40980</v>
      </c>
    </row>
    <row r="101" spans="1:12" ht="30.75" customHeight="1" outlineLevel="2" x14ac:dyDescent="0.25">
      <c r="A101" s="40" t="s">
        <v>76</v>
      </c>
      <c r="B101" s="196" t="s">
        <v>240</v>
      </c>
      <c r="C101" s="3" t="s">
        <v>241</v>
      </c>
      <c r="D101" s="40">
        <v>66</v>
      </c>
      <c r="E101" s="146">
        <v>17862</v>
      </c>
      <c r="F101" s="215">
        <v>0</v>
      </c>
      <c r="G101" s="213" t="s">
        <v>500</v>
      </c>
      <c r="H101" s="146">
        <v>17862</v>
      </c>
      <c r="I101" s="215">
        <v>0</v>
      </c>
      <c r="J101" s="215">
        <v>0</v>
      </c>
      <c r="K101" s="215">
        <v>0</v>
      </c>
      <c r="L101" s="146">
        <v>17862</v>
      </c>
    </row>
    <row r="102" spans="1:12" ht="14.45" customHeight="1" outlineLevel="2" x14ac:dyDescent="0.25">
      <c r="A102" s="40" t="s">
        <v>76</v>
      </c>
      <c r="B102" s="196" t="s">
        <v>242</v>
      </c>
      <c r="C102" s="3" t="s">
        <v>243</v>
      </c>
      <c r="D102" s="40">
        <v>200</v>
      </c>
      <c r="E102" s="146">
        <v>2749480</v>
      </c>
      <c r="F102" s="215">
        <v>0</v>
      </c>
      <c r="G102" s="213" t="s">
        <v>500</v>
      </c>
      <c r="H102" s="146">
        <v>2749480</v>
      </c>
      <c r="I102" s="215">
        <v>0</v>
      </c>
      <c r="J102" s="215">
        <v>0</v>
      </c>
      <c r="K102" s="215">
        <v>0</v>
      </c>
      <c r="L102" s="146">
        <v>2749480</v>
      </c>
    </row>
    <row r="103" spans="1:12" outlineLevel="1" x14ac:dyDescent="0.25">
      <c r="A103" s="40" t="s">
        <v>76</v>
      </c>
      <c r="B103" s="196" t="s">
        <v>210</v>
      </c>
      <c r="C103" s="3" t="s">
        <v>211</v>
      </c>
      <c r="D103" s="40">
        <v>219</v>
      </c>
      <c r="E103" s="146">
        <v>15673543</v>
      </c>
      <c r="F103" s="215">
        <v>0</v>
      </c>
      <c r="G103" s="213" t="s">
        <v>500</v>
      </c>
      <c r="H103" s="146">
        <v>15673543</v>
      </c>
      <c r="I103" s="215">
        <v>0</v>
      </c>
      <c r="J103" s="215">
        <v>0</v>
      </c>
      <c r="K103" s="215">
        <v>0</v>
      </c>
      <c r="L103" s="146">
        <v>15673543</v>
      </c>
    </row>
    <row r="104" spans="1:12" ht="30.75" customHeight="1" outlineLevel="2" x14ac:dyDescent="0.25">
      <c r="A104" s="40" t="s">
        <v>76</v>
      </c>
      <c r="B104" s="196" t="s">
        <v>244</v>
      </c>
      <c r="C104" s="3" t="s">
        <v>245</v>
      </c>
      <c r="D104" s="40">
        <v>122</v>
      </c>
      <c r="E104" s="146">
        <v>64851</v>
      </c>
      <c r="F104" s="215">
        <v>0</v>
      </c>
      <c r="G104" s="213" t="s">
        <v>500</v>
      </c>
      <c r="H104" s="146">
        <v>64851</v>
      </c>
      <c r="I104" s="215">
        <v>0</v>
      </c>
      <c r="J104" s="215">
        <v>0</v>
      </c>
      <c r="K104" s="215">
        <v>0</v>
      </c>
      <c r="L104" s="146">
        <v>64851</v>
      </c>
    </row>
    <row r="105" spans="1:12" ht="14.45" customHeight="1" outlineLevel="2" x14ac:dyDescent="0.25">
      <c r="A105" s="40" t="s">
        <v>76</v>
      </c>
      <c r="B105" s="196" t="s">
        <v>198</v>
      </c>
      <c r="C105" s="3" t="s">
        <v>199</v>
      </c>
      <c r="D105" s="40">
        <v>187</v>
      </c>
      <c r="E105" s="146">
        <v>6438488</v>
      </c>
      <c r="F105" s="215">
        <v>0</v>
      </c>
      <c r="G105" s="213" t="s">
        <v>500</v>
      </c>
      <c r="H105" s="146">
        <v>6438488</v>
      </c>
      <c r="I105" s="215">
        <v>0</v>
      </c>
      <c r="J105" s="215">
        <v>0</v>
      </c>
      <c r="K105" s="215">
        <v>0</v>
      </c>
      <c r="L105" s="146">
        <v>6438488</v>
      </c>
    </row>
    <row r="106" spans="1:12" outlineLevel="2" x14ac:dyDescent="0.25">
      <c r="A106" s="40" t="s">
        <v>76</v>
      </c>
      <c r="B106" s="196" t="s">
        <v>246</v>
      </c>
      <c r="C106" s="3" t="s">
        <v>247</v>
      </c>
      <c r="D106" s="40">
        <v>124</v>
      </c>
      <c r="E106" s="146">
        <v>1009278</v>
      </c>
      <c r="F106" s="215">
        <v>0</v>
      </c>
      <c r="G106" s="213" t="s">
        <v>500</v>
      </c>
      <c r="H106" s="146">
        <v>1009278</v>
      </c>
      <c r="I106" s="215">
        <v>0</v>
      </c>
      <c r="J106" s="215">
        <v>0</v>
      </c>
      <c r="K106" s="215">
        <v>0</v>
      </c>
      <c r="L106" s="146">
        <v>1009278</v>
      </c>
    </row>
    <row r="107" spans="1:12" ht="14.45" customHeight="1" outlineLevel="2" x14ac:dyDescent="0.25">
      <c r="A107" s="40" t="s">
        <v>76</v>
      </c>
      <c r="B107" s="196" t="s">
        <v>250</v>
      </c>
      <c r="C107" s="3" t="s">
        <v>251</v>
      </c>
      <c r="D107" s="40">
        <v>215</v>
      </c>
      <c r="E107" s="146">
        <v>112982</v>
      </c>
      <c r="F107" s="215">
        <v>0</v>
      </c>
      <c r="G107" s="213" t="s">
        <v>500</v>
      </c>
      <c r="H107" s="146">
        <v>112982</v>
      </c>
      <c r="I107" s="215">
        <v>0</v>
      </c>
      <c r="J107" s="215">
        <v>0</v>
      </c>
      <c r="K107" s="215">
        <v>0</v>
      </c>
      <c r="L107" s="146">
        <v>112982</v>
      </c>
    </row>
    <row r="108" spans="1:12" ht="30.75" customHeight="1" outlineLevel="2" x14ac:dyDescent="0.25">
      <c r="A108" s="40" t="s">
        <v>76</v>
      </c>
      <c r="B108" s="196" t="s">
        <v>252</v>
      </c>
      <c r="C108" s="3" t="s">
        <v>253</v>
      </c>
      <c r="D108" s="40">
        <v>279</v>
      </c>
      <c r="E108" s="146">
        <v>142458</v>
      </c>
      <c r="F108" s="215">
        <v>0</v>
      </c>
      <c r="G108" s="213" t="s">
        <v>500</v>
      </c>
      <c r="H108" s="146">
        <v>142458</v>
      </c>
      <c r="I108" s="215">
        <v>0</v>
      </c>
      <c r="J108" s="215">
        <v>0</v>
      </c>
      <c r="K108" s="215">
        <v>0</v>
      </c>
      <c r="L108" s="146">
        <v>142458</v>
      </c>
    </row>
    <row r="109" spans="1:12" ht="30.75" outlineLevel="2" x14ac:dyDescent="0.25">
      <c r="A109" s="40" t="s">
        <v>76</v>
      </c>
      <c r="B109" s="196" t="s">
        <v>265</v>
      </c>
      <c r="C109" s="3" t="s">
        <v>266</v>
      </c>
      <c r="D109" s="40">
        <v>255</v>
      </c>
      <c r="E109" s="146">
        <v>1122</v>
      </c>
      <c r="F109" s="215">
        <v>0</v>
      </c>
      <c r="G109" s="213" t="s">
        <v>500</v>
      </c>
      <c r="H109" s="146">
        <v>1122</v>
      </c>
      <c r="I109" s="215">
        <v>0</v>
      </c>
      <c r="J109" s="215">
        <v>0</v>
      </c>
      <c r="K109" s="215">
        <v>0</v>
      </c>
      <c r="L109" s="146">
        <v>1122</v>
      </c>
    </row>
    <row r="110" spans="1:12" ht="14.45" customHeight="1" outlineLevel="2" x14ac:dyDescent="0.25">
      <c r="A110" s="40" t="s">
        <v>76</v>
      </c>
      <c r="B110" s="196" t="s">
        <v>254</v>
      </c>
      <c r="C110" s="3" t="s">
        <v>255</v>
      </c>
      <c r="D110" s="40">
        <v>73</v>
      </c>
      <c r="E110" s="146">
        <v>699803</v>
      </c>
      <c r="F110" s="215">
        <v>0</v>
      </c>
      <c r="G110" s="213" t="s">
        <v>500</v>
      </c>
      <c r="H110" s="146">
        <v>699803</v>
      </c>
      <c r="I110" s="215">
        <v>0</v>
      </c>
      <c r="J110" s="215">
        <v>0</v>
      </c>
      <c r="K110" s="215">
        <v>0</v>
      </c>
      <c r="L110" s="146">
        <v>699803</v>
      </c>
    </row>
    <row r="111" spans="1:12" ht="14.45" customHeight="1" outlineLevel="2" x14ac:dyDescent="0.25">
      <c r="A111" s="40" t="s">
        <v>76</v>
      </c>
      <c r="B111" s="196" t="s">
        <v>267</v>
      </c>
      <c r="C111" s="3" t="s">
        <v>268</v>
      </c>
      <c r="D111" s="40">
        <v>18</v>
      </c>
      <c r="E111" s="146">
        <v>195373</v>
      </c>
      <c r="F111" s="215">
        <v>0</v>
      </c>
      <c r="G111" s="213" t="s">
        <v>500</v>
      </c>
      <c r="H111" s="146">
        <v>195373</v>
      </c>
      <c r="I111" s="215">
        <v>0</v>
      </c>
      <c r="J111" s="215">
        <v>0</v>
      </c>
      <c r="K111" s="215">
        <v>0</v>
      </c>
      <c r="L111" s="146">
        <v>195373</v>
      </c>
    </row>
    <row r="112" spans="1:12" ht="14.45" customHeight="1" outlineLevel="2" x14ac:dyDescent="0.25">
      <c r="A112" s="40" t="s">
        <v>76</v>
      </c>
      <c r="B112" s="196" t="s">
        <v>256</v>
      </c>
      <c r="C112" s="3" t="s">
        <v>257</v>
      </c>
      <c r="D112" s="40">
        <v>120</v>
      </c>
      <c r="E112" s="146">
        <v>551742</v>
      </c>
      <c r="F112" s="215">
        <v>0</v>
      </c>
      <c r="G112" s="213" t="s">
        <v>500</v>
      </c>
      <c r="H112" s="146">
        <v>551742</v>
      </c>
      <c r="I112" s="215">
        <v>0</v>
      </c>
      <c r="J112" s="215">
        <v>0</v>
      </c>
      <c r="K112" s="215">
        <v>0</v>
      </c>
      <c r="L112" s="146">
        <v>551742</v>
      </c>
    </row>
    <row r="113" spans="1:12" ht="14.45" customHeight="1" outlineLevel="2" x14ac:dyDescent="0.25">
      <c r="A113" s="197" t="s">
        <v>269</v>
      </c>
      <c r="B113" s="184" t="s">
        <v>500</v>
      </c>
      <c r="C113" s="74" t="s">
        <v>500</v>
      </c>
      <c r="D113" s="180" t="s">
        <v>500</v>
      </c>
      <c r="E113" s="78">
        <f>SUBTOTAL(109,local200809[Program
Costs])</f>
        <v>54410822</v>
      </c>
      <c r="F113" s="78">
        <f>SUBTOTAL(109,local200809[Less: Net Payments and Offsets 9])</f>
        <v>1558731</v>
      </c>
      <c r="G113" s="74" t="s">
        <v>500</v>
      </c>
      <c r="H113" s="78">
        <f>SUBTOTAL(109,local200809[Accounts Payable
Balance])</f>
        <v>52852091</v>
      </c>
      <c r="I113" s="78">
        <f>SUBTOTAL(109,local200809[Established
Accounts Receivable])</f>
        <v>7837</v>
      </c>
      <c r="J113" s="179">
        <f>SUBTOTAL(109,local200809[Less: Recovered Amount])</f>
        <v>0</v>
      </c>
      <c r="K113" s="78">
        <f>SUBTOTAL(109,local200809[Accounts Receivable
Balance])</f>
        <v>7837</v>
      </c>
      <c r="L113" s="78">
        <f>SUBTOTAL(109,local200809[Net
Balance])</f>
        <v>52844254</v>
      </c>
    </row>
    <row r="114" spans="1:12" s="3" customFormat="1" ht="15" outlineLevel="2" x14ac:dyDescent="0.2">
      <c r="A114" s="214" t="s">
        <v>508</v>
      </c>
      <c r="B114" s="196"/>
      <c r="D114" s="40"/>
      <c r="E114" s="146"/>
      <c r="F114" s="146"/>
      <c r="G114" s="146"/>
      <c r="H114" s="146"/>
      <c r="I114" s="146"/>
      <c r="J114" s="146"/>
      <c r="K114" s="146"/>
      <c r="L114" s="146"/>
    </row>
    <row r="115" spans="1:12" ht="50.1" customHeight="1" outlineLevel="2" x14ac:dyDescent="0.25">
      <c r="A115" s="176" t="s">
        <v>98</v>
      </c>
      <c r="B115" s="176" t="s">
        <v>99</v>
      </c>
      <c r="C115" s="176" t="s">
        <v>1</v>
      </c>
      <c r="D115" s="176" t="s">
        <v>195</v>
      </c>
      <c r="E115" s="210" t="s">
        <v>188</v>
      </c>
      <c r="F115" s="211" t="s">
        <v>576</v>
      </c>
      <c r="G115" s="212" t="s">
        <v>532</v>
      </c>
      <c r="H115" s="210" t="s">
        <v>528</v>
      </c>
      <c r="I115" s="210" t="s">
        <v>529</v>
      </c>
      <c r="J115" s="210" t="s">
        <v>197</v>
      </c>
      <c r="K115" s="210" t="s">
        <v>530</v>
      </c>
      <c r="L115" s="210" t="s">
        <v>196</v>
      </c>
    </row>
    <row r="116" spans="1:12" outlineLevel="2" x14ac:dyDescent="0.25">
      <c r="A116" s="40" t="s">
        <v>79</v>
      </c>
      <c r="B116" s="196" t="s">
        <v>224</v>
      </c>
      <c r="C116" s="3" t="s">
        <v>225</v>
      </c>
      <c r="D116" s="40">
        <v>213</v>
      </c>
      <c r="E116" s="146">
        <v>18204711</v>
      </c>
      <c r="F116" s="215">
        <v>0</v>
      </c>
      <c r="G116" s="213" t="s">
        <v>500</v>
      </c>
      <c r="H116" s="146">
        <v>18204711</v>
      </c>
      <c r="I116" s="215">
        <v>0</v>
      </c>
      <c r="J116" s="215">
        <v>0</v>
      </c>
      <c r="K116" s="215">
        <v>0</v>
      </c>
      <c r="L116" s="146">
        <v>18204711</v>
      </c>
    </row>
    <row r="117" spans="1:12" outlineLevel="2" x14ac:dyDescent="0.25">
      <c r="A117" s="40" t="s">
        <v>79</v>
      </c>
      <c r="B117" s="196" t="s">
        <v>173</v>
      </c>
      <c r="C117" s="3" t="s">
        <v>174</v>
      </c>
      <c r="D117" s="40">
        <v>353</v>
      </c>
      <c r="E117" s="146">
        <v>1228961</v>
      </c>
      <c r="F117" s="146">
        <v>1228961</v>
      </c>
      <c r="G117" s="213" t="s">
        <v>500</v>
      </c>
      <c r="H117" s="215">
        <v>0</v>
      </c>
      <c r="I117" s="146">
        <v>6821</v>
      </c>
      <c r="J117" s="215">
        <v>0</v>
      </c>
      <c r="K117" s="146">
        <v>6821</v>
      </c>
      <c r="L117" s="146">
        <v>-6821</v>
      </c>
    </row>
    <row r="118" spans="1:12" ht="30.75" customHeight="1" outlineLevel="2" x14ac:dyDescent="0.25">
      <c r="A118" s="40" t="s">
        <v>79</v>
      </c>
      <c r="B118" s="196" t="s">
        <v>226</v>
      </c>
      <c r="C118" s="3" t="s">
        <v>227</v>
      </c>
      <c r="D118" s="40">
        <v>67</v>
      </c>
      <c r="E118" s="146">
        <v>164218</v>
      </c>
      <c r="F118" s="215">
        <v>0</v>
      </c>
      <c r="G118" s="213" t="s">
        <v>500</v>
      </c>
      <c r="H118" s="146">
        <v>164218</v>
      </c>
      <c r="I118" s="215">
        <v>0</v>
      </c>
      <c r="J118" s="215">
        <v>0</v>
      </c>
      <c r="K118" s="215">
        <v>0</v>
      </c>
      <c r="L118" s="146">
        <v>164218</v>
      </c>
    </row>
    <row r="119" spans="1:12" ht="14.45" customHeight="1" outlineLevel="2" x14ac:dyDescent="0.25">
      <c r="A119" s="40" t="s">
        <v>79</v>
      </c>
      <c r="B119" s="196" t="s">
        <v>228</v>
      </c>
      <c r="C119" s="3" t="s">
        <v>229</v>
      </c>
      <c r="D119" s="40">
        <v>88</v>
      </c>
      <c r="E119" s="146">
        <v>99582</v>
      </c>
      <c r="F119" s="215">
        <v>0</v>
      </c>
      <c r="G119" s="213" t="s">
        <v>500</v>
      </c>
      <c r="H119" s="146">
        <v>99582</v>
      </c>
      <c r="I119" s="215">
        <v>0</v>
      </c>
      <c r="J119" s="215">
        <v>0</v>
      </c>
      <c r="K119" s="215">
        <v>0</v>
      </c>
      <c r="L119" s="146">
        <v>99582</v>
      </c>
    </row>
    <row r="120" spans="1:12" ht="14.45" customHeight="1" outlineLevel="2" x14ac:dyDescent="0.25">
      <c r="A120" s="40" t="s">
        <v>79</v>
      </c>
      <c r="B120" s="196" t="s">
        <v>230</v>
      </c>
      <c r="C120" s="3" t="s">
        <v>231</v>
      </c>
      <c r="D120" s="40">
        <v>158</v>
      </c>
      <c r="E120" s="146">
        <v>321041</v>
      </c>
      <c r="F120" s="215">
        <v>0</v>
      </c>
      <c r="G120" s="213" t="s">
        <v>500</v>
      </c>
      <c r="H120" s="146">
        <v>321041</v>
      </c>
      <c r="I120" s="215">
        <v>0</v>
      </c>
      <c r="J120" s="215">
        <v>0</v>
      </c>
      <c r="K120" s="215">
        <v>0</v>
      </c>
      <c r="L120" s="146">
        <v>321041</v>
      </c>
    </row>
    <row r="121" spans="1:12" ht="30.75" outlineLevel="2" x14ac:dyDescent="0.25">
      <c r="A121" s="40" t="s">
        <v>79</v>
      </c>
      <c r="B121" s="196" t="s">
        <v>232</v>
      </c>
      <c r="C121" s="3" t="s">
        <v>233</v>
      </c>
      <c r="D121" s="40">
        <v>87</v>
      </c>
      <c r="E121" s="146">
        <v>593232</v>
      </c>
      <c r="F121" s="215">
        <v>0</v>
      </c>
      <c r="G121" s="213" t="s">
        <v>500</v>
      </c>
      <c r="H121" s="146">
        <v>593232</v>
      </c>
      <c r="I121" s="215">
        <v>0</v>
      </c>
      <c r="J121" s="215">
        <v>0</v>
      </c>
      <c r="K121" s="215">
        <v>0</v>
      </c>
      <c r="L121" s="146">
        <v>593232</v>
      </c>
    </row>
    <row r="122" spans="1:12" ht="14.45" customHeight="1" outlineLevel="2" x14ac:dyDescent="0.25">
      <c r="A122" s="40" t="s">
        <v>79</v>
      </c>
      <c r="B122" s="196" t="s">
        <v>259</v>
      </c>
      <c r="C122" s="3" t="s">
        <v>260</v>
      </c>
      <c r="D122" s="40">
        <v>266</v>
      </c>
      <c r="E122" s="146">
        <v>163634</v>
      </c>
      <c r="F122" s="215">
        <v>0</v>
      </c>
      <c r="G122" s="213" t="s">
        <v>500</v>
      </c>
      <c r="H122" s="146">
        <v>163634</v>
      </c>
      <c r="I122" s="215">
        <v>0</v>
      </c>
      <c r="J122" s="215">
        <v>0</v>
      </c>
      <c r="K122" s="215">
        <v>0</v>
      </c>
      <c r="L122" s="146">
        <v>163634</v>
      </c>
    </row>
    <row r="123" spans="1:12" ht="14.45" customHeight="1" outlineLevel="2" x14ac:dyDescent="0.25">
      <c r="A123" s="40" t="s">
        <v>79</v>
      </c>
      <c r="B123" s="196" t="s">
        <v>261</v>
      </c>
      <c r="C123" s="3" t="s">
        <v>262</v>
      </c>
      <c r="D123" s="40">
        <v>257</v>
      </c>
      <c r="E123" s="146">
        <v>5788</v>
      </c>
      <c r="F123" s="215">
        <v>0</v>
      </c>
      <c r="G123" s="213" t="s">
        <v>500</v>
      </c>
      <c r="H123" s="146">
        <v>5788</v>
      </c>
      <c r="I123" s="215">
        <v>0</v>
      </c>
      <c r="J123" s="215">
        <v>0</v>
      </c>
      <c r="K123" s="215">
        <v>0</v>
      </c>
      <c r="L123" s="146">
        <v>5788</v>
      </c>
    </row>
    <row r="124" spans="1:12" ht="14.45" customHeight="1" outlineLevel="2" x14ac:dyDescent="0.25">
      <c r="A124" s="40" t="s">
        <v>79</v>
      </c>
      <c r="B124" s="196" t="s">
        <v>270</v>
      </c>
      <c r="C124" s="3" t="s">
        <v>271</v>
      </c>
      <c r="D124" s="40">
        <v>23</v>
      </c>
      <c r="E124" s="146">
        <v>5861791</v>
      </c>
      <c r="F124" s="215">
        <v>0</v>
      </c>
      <c r="G124" s="213" t="s">
        <v>500</v>
      </c>
      <c r="H124" s="146">
        <v>5861791</v>
      </c>
      <c r="I124" s="215">
        <v>0</v>
      </c>
      <c r="J124" s="215">
        <v>0</v>
      </c>
      <c r="K124" s="215">
        <v>0</v>
      </c>
      <c r="L124" s="146">
        <v>5861791</v>
      </c>
    </row>
    <row r="125" spans="1:12" ht="30.75" customHeight="1" outlineLevel="2" x14ac:dyDescent="0.25">
      <c r="A125" s="40" t="s">
        <v>79</v>
      </c>
      <c r="B125" s="196" t="s">
        <v>263</v>
      </c>
      <c r="C125" s="3" t="s">
        <v>264</v>
      </c>
      <c r="D125" s="40">
        <v>35</v>
      </c>
      <c r="E125" s="146">
        <v>134655</v>
      </c>
      <c r="F125" s="215">
        <v>0</v>
      </c>
      <c r="G125" s="213" t="s">
        <v>500</v>
      </c>
      <c r="H125" s="146">
        <v>134655</v>
      </c>
      <c r="I125" s="215">
        <v>0</v>
      </c>
      <c r="J125" s="215">
        <v>0</v>
      </c>
      <c r="K125" s="215">
        <v>0</v>
      </c>
      <c r="L125" s="146">
        <v>134655</v>
      </c>
    </row>
    <row r="126" spans="1:12" ht="30.75" customHeight="1" outlineLevel="2" x14ac:dyDescent="0.25">
      <c r="A126" s="40" t="s">
        <v>79</v>
      </c>
      <c r="B126" s="196" t="s">
        <v>234</v>
      </c>
      <c r="C126" s="3" t="s">
        <v>235</v>
      </c>
      <c r="D126" s="40">
        <v>300</v>
      </c>
      <c r="E126" s="146">
        <v>9133</v>
      </c>
      <c r="F126" s="146">
        <v>5761</v>
      </c>
      <c r="G126" s="213" t="s">
        <v>500</v>
      </c>
      <c r="H126" s="146">
        <v>3372</v>
      </c>
      <c r="I126" s="215">
        <v>0</v>
      </c>
      <c r="J126" s="215">
        <v>0</v>
      </c>
      <c r="K126" s="215">
        <v>0</v>
      </c>
      <c r="L126" s="146">
        <v>3372</v>
      </c>
    </row>
    <row r="127" spans="1:12" ht="30.75" outlineLevel="2" x14ac:dyDescent="0.25">
      <c r="A127" s="40" t="s">
        <v>79</v>
      </c>
      <c r="B127" s="196" t="s">
        <v>236</v>
      </c>
      <c r="C127" s="3" t="s">
        <v>237</v>
      </c>
      <c r="D127" s="40">
        <v>203</v>
      </c>
      <c r="E127" s="146">
        <v>3146513</v>
      </c>
      <c r="F127" s="215">
        <v>0</v>
      </c>
      <c r="G127" s="213" t="s">
        <v>500</v>
      </c>
      <c r="H127" s="146">
        <v>3146513</v>
      </c>
      <c r="I127" s="215">
        <v>0</v>
      </c>
      <c r="J127" s="215">
        <v>0</v>
      </c>
      <c r="K127" s="215">
        <v>0</v>
      </c>
      <c r="L127" s="146">
        <v>3146513</v>
      </c>
    </row>
    <row r="128" spans="1:12" ht="30.75" customHeight="1" outlineLevel="2" x14ac:dyDescent="0.25">
      <c r="A128" s="40" t="s">
        <v>79</v>
      </c>
      <c r="B128" s="196" t="s">
        <v>238</v>
      </c>
      <c r="C128" s="3" t="s">
        <v>239</v>
      </c>
      <c r="D128" s="40">
        <v>39</v>
      </c>
      <c r="E128" s="146">
        <v>295550</v>
      </c>
      <c r="F128" s="215">
        <v>0</v>
      </c>
      <c r="G128" s="213" t="s">
        <v>500</v>
      </c>
      <c r="H128" s="146">
        <v>295550</v>
      </c>
      <c r="I128" s="215">
        <v>0</v>
      </c>
      <c r="J128" s="215">
        <v>0</v>
      </c>
      <c r="K128" s="215">
        <v>0</v>
      </c>
      <c r="L128" s="146">
        <v>295550</v>
      </c>
    </row>
    <row r="129" spans="1:12" ht="30.75" customHeight="1" outlineLevel="2" x14ac:dyDescent="0.25">
      <c r="A129" s="40" t="s">
        <v>79</v>
      </c>
      <c r="B129" s="196" t="s">
        <v>240</v>
      </c>
      <c r="C129" s="3" t="s">
        <v>241</v>
      </c>
      <c r="D129" s="40">
        <v>66</v>
      </c>
      <c r="E129" s="146">
        <v>16698</v>
      </c>
      <c r="F129" s="215">
        <v>0</v>
      </c>
      <c r="G129" s="213" t="s">
        <v>500</v>
      </c>
      <c r="H129" s="146">
        <v>16698</v>
      </c>
      <c r="I129" s="215">
        <v>0</v>
      </c>
      <c r="J129" s="215">
        <v>0</v>
      </c>
      <c r="K129" s="215">
        <v>0</v>
      </c>
      <c r="L129" s="146">
        <v>16698</v>
      </c>
    </row>
    <row r="130" spans="1:12" ht="14.45" customHeight="1" outlineLevel="2" x14ac:dyDescent="0.25">
      <c r="A130" s="40" t="s">
        <v>79</v>
      </c>
      <c r="B130" s="196" t="s">
        <v>242</v>
      </c>
      <c r="C130" s="3" t="s">
        <v>243</v>
      </c>
      <c r="D130" s="40">
        <v>200</v>
      </c>
      <c r="E130" s="146">
        <v>2338247</v>
      </c>
      <c r="F130" s="215">
        <v>0</v>
      </c>
      <c r="G130" s="213" t="s">
        <v>500</v>
      </c>
      <c r="H130" s="146">
        <v>2338247</v>
      </c>
      <c r="I130" s="215">
        <v>0</v>
      </c>
      <c r="J130" s="215">
        <v>0</v>
      </c>
      <c r="K130" s="215">
        <v>0</v>
      </c>
      <c r="L130" s="146">
        <v>2338247</v>
      </c>
    </row>
    <row r="131" spans="1:12" outlineLevel="1" x14ac:dyDescent="0.25">
      <c r="A131" s="40" t="s">
        <v>79</v>
      </c>
      <c r="B131" s="196" t="s">
        <v>210</v>
      </c>
      <c r="C131" s="3" t="s">
        <v>211</v>
      </c>
      <c r="D131" s="40">
        <v>219</v>
      </c>
      <c r="E131" s="146">
        <v>15622260</v>
      </c>
      <c r="F131" s="215">
        <v>0</v>
      </c>
      <c r="G131" s="213" t="s">
        <v>500</v>
      </c>
      <c r="H131" s="146">
        <v>15622260</v>
      </c>
      <c r="I131" s="215">
        <v>0</v>
      </c>
      <c r="J131" s="215">
        <v>0</v>
      </c>
      <c r="K131" s="215">
        <v>0</v>
      </c>
      <c r="L131" s="146">
        <v>15622260</v>
      </c>
    </row>
    <row r="132" spans="1:12" ht="30.75" customHeight="1" outlineLevel="2" x14ac:dyDescent="0.25">
      <c r="A132" s="40" t="s">
        <v>79</v>
      </c>
      <c r="B132" s="196" t="s">
        <v>244</v>
      </c>
      <c r="C132" s="3" t="s">
        <v>245</v>
      </c>
      <c r="D132" s="40">
        <v>122</v>
      </c>
      <c r="E132" s="146">
        <v>277610</v>
      </c>
      <c r="F132" s="215">
        <v>0</v>
      </c>
      <c r="G132" s="213" t="s">
        <v>500</v>
      </c>
      <c r="H132" s="146">
        <v>277610</v>
      </c>
      <c r="I132" s="215">
        <v>0</v>
      </c>
      <c r="J132" s="215">
        <v>0</v>
      </c>
      <c r="K132" s="215">
        <v>0</v>
      </c>
      <c r="L132" s="146">
        <v>277610</v>
      </c>
    </row>
    <row r="133" spans="1:12" ht="14.45" customHeight="1" outlineLevel="2" x14ac:dyDescent="0.25">
      <c r="A133" s="40" t="s">
        <v>79</v>
      </c>
      <c r="B133" s="196" t="s">
        <v>272</v>
      </c>
      <c r="C133" s="3" t="s">
        <v>273</v>
      </c>
      <c r="D133" s="40">
        <v>118</v>
      </c>
      <c r="E133" s="146">
        <v>4797410</v>
      </c>
      <c r="F133" s="215">
        <v>0</v>
      </c>
      <c r="G133" s="213" t="s">
        <v>500</v>
      </c>
      <c r="H133" s="146">
        <v>4797410</v>
      </c>
      <c r="I133" s="215">
        <v>0</v>
      </c>
      <c r="J133" s="215">
        <v>0</v>
      </c>
      <c r="K133" s="215">
        <v>0</v>
      </c>
      <c r="L133" s="146">
        <v>4797410</v>
      </c>
    </row>
    <row r="134" spans="1:12" ht="14.45" customHeight="1" outlineLevel="2" x14ac:dyDescent="0.25">
      <c r="A134" s="40" t="s">
        <v>79</v>
      </c>
      <c r="B134" s="196" t="s">
        <v>198</v>
      </c>
      <c r="C134" s="3" t="s">
        <v>199</v>
      </c>
      <c r="D134" s="40">
        <v>187</v>
      </c>
      <c r="E134" s="146">
        <v>9211360</v>
      </c>
      <c r="F134" s="215">
        <v>0</v>
      </c>
      <c r="G134" s="213" t="s">
        <v>500</v>
      </c>
      <c r="H134" s="146">
        <v>9211360</v>
      </c>
      <c r="I134" s="215">
        <v>0</v>
      </c>
      <c r="J134" s="215">
        <v>0</v>
      </c>
      <c r="K134" s="215">
        <v>0</v>
      </c>
      <c r="L134" s="146">
        <v>9211360</v>
      </c>
    </row>
    <row r="135" spans="1:12" outlineLevel="2" x14ac:dyDescent="0.25">
      <c r="A135" s="40" t="s">
        <v>79</v>
      </c>
      <c r="B135" s="196" t="s">
        <v>246</v>
      </c>
      <c r="C135" s="3" t="s">
        <v>247</v>
      </c>
      <c r="D135" s="40">
        <v>124</v>
      </c>
      <c r="E135" s="146">
        <v>1280819</v>
      </c>
      <c r="F135" s="215">
        <v>0</v>
      </c>
      <c r="G135" s="213" t="s">
        <v>500</v>
      </c>
      <c r="H135" s="146">
        <v>1280819</v>
      </c>
      <c r="I135" s="215">
        <v>0</v>
      </c>
      <c r="J135" s="215">
        <v>0</v>
      </c>
      <c r="K135" s="215">
        <v>0</v>
      </c>
      <c r="L135" s="146">
        <v>1280819</v>
      </c>
    </row>
    <row r="136" spans="1:12" ht="14.45" customHeight="1" outlineLevel="2" x14ac:dyDescent="0.25">
      <c r="A136" s="40" t="s">
        <v>79</v>
      </c>
      <c r="B136" s="196" t="s">
        <v>250</v>
      </c>
      <c r="C136" s="3" t="s">
        <v>251</v>
      </c>
      <c r="D136" s="40">
        <v>215</v>
      </c>
      <c r="E136" s="146">
        <v>163955</v>
      </c>
      <c r="F136" s="215">
        <v>0</v>
      </c>
      <c r="G136" s="213" t="s">
        <v>500</v>
      </c>
      <c r="H136" s="146">
        <v>163955</v>
      </c>
      <c r="I136" s="215">
        <v>0</v>
      </c>
      <c r="J136" s="215">
        <v>0</v>
      </c>
      <c r="K136" s="215">
        <v>0</v>
      </c>
      <c r="L136" s="146">
        <v>163955</v>
      </c>
    </row>
    <row r="137" spans="1:12" ht="30.75" customHeight="1" outlineLevel="2" x14ac:dyDescent="0.25">
      <c r="A137" s="40" t="s">
        <v>79</v>
      </c>
      <c r="B137" s="196" t="s">
        <v>252</v>
      </c>
      <c r="C137" s="3" t="s">
        <v>253</v>
      </c>
      <c r="D137" s="40">
        <v>279</v>
      </c>
      <c r="E137" s="146">
        <v>123677</v>
      </c>
      <c r="F137" s="215">
        <v>0</v>
      </c>
      <c r="G137" s="213" t="s">
        <v>500</v>
      </c>
      <c r="H137" s="146">
        <v>123677</v>
      </c>
      <c r="I137" s="215">
        <v>0</v>
      </c>
      <c r="J137" s="215">
        <v>0</v>
      </c>
      <c r="K137" s="215">
        <v>0</v>
      </c>
      <c r="L137" s="146">
        <v>123677</v>
      </c>
    </row>
    <row r="138" spans="1:12" ht="30.75" customHeight="1" outlineLevel="2" x14ac:dyDescent="0.25">
      <c r="A138" s="40" t="s">
        <v>79</v>
      </c>
      <c r="B138" s="196" t="s">
        <v>265</v>
      </c>
      <c r="C138" s="3" t="s">
        <v>266</v>
      </c>
      <c r="D138" s="40">
        <v>255</v>
      </c>
      <c r="E138" s="146">
        <v>4338</v>
      </c>
      <c r="F138" s="215">
        <v>0</v>
      </c>
      <c r="G138" s="213" t="s">
        <v>500</v>
      </c>
      <c r="H138" s="146">
        <v>4338</v>
      </c>
      <c r="I138" s="215">
        <v>0</v>
      </c>
      <c r="J138" s="215">
        <v>0</v>
      </c>
      <c r="K138" s="215">
        <v>0</v>
      </c>
      <c r="L138" s="146">
        <v>4338</v>
      </c>
    </row>
    <row r="139" spans="1:12" ht="14.45" customHeight="1" outlineLevel="2" x14ac:dyDescent="0.25">
      <c r="A139" s="40" t="s">
        <v>79</v>
      </c>
      <c r="B139" s="196" t="s">
        <v>254</v>
      </c>
      <c r="C139" s="3" t="s">
        <v>255</v>
      </c>
      <c r="D139" s="40">
        <v>73</v>
      </c>
      <c r="E139" s="146">
        <v>834422</v>
      </c>
      <c r="F139" s="215">
        <v>0</v>
      </c>
      <c r="G139" s="213" t="s">
        <v>500</v>
      </c>
      <c r="H139" s="146">
        <v>834422</v>
      </c>
      <c r="I139" s="215">
        <v>0</v>
      </c>
      <c r="J139" s="215">
        <v>0</v>
      </c>
      <c r="K139" s="215">
        <v>0</v>
      </c>
      <c r="L139" s="146">
        <v>834422</v>
      </c>
    </row>
    <row r="140" spans="1:12" ht="30.75" customHeight="1" outlineLevel="2" x14ac:dyDescent="0.25">
      <c r="A140" s="40" t="s">
        <v>79</v>
      </c>
      <c r="B140" s="196" t="s">
        <v>267</v>
      </c>
      <c r="C140" s="3" t="s">
        <v>268</v>
      </c>
      <c r="D140" s="40">
        <v>18</v>
      </c>
      <c r="E140" s="146">
        <v>284904</v>
      </c>
      <c r="F140" s="215">
        <v>0</v>
      </c>
      <c r="G140" s="213" t="s">
        <v>500</v>
      </c>
      <c r="H140" s="146">
        <v>284904</v>
      </c>
      <c r="I140" s="215">
        <v>0</v>
      </c>
      <c r="J140" s="215">
        <v>0</v>
      </c>
      <c r="K140" s="215">
        <v>0</v>
      </c>
      <c r="L140" s="146">
        <v>284904</v>
      </c>
    </row>
    <row r="141" spans="1:12" ht="14.45" customHeight="1" outlineLevel="2" x14ac:dyDescent="0.25">
      <c r="A141" s="40" t="s">
        <v>79</v>
      </c>
      <c r="B141" s="196" t="s">
        <v>256</v>
      </c>
      <c r="C141" s="3" t="s">
        <v>257</v>
      </c>
      <c r="D141" s="40">
        <v>120</v>
      </c>
      <c r="E141" s="146">
        <v>551719</v>
      </c>
      <c r="F141" s="215">
        <v>0</v>
      </c>
      <c r="G141" s="213" t="s">
        <v>500</v>
      </c>
      <c r="H141" s="146">
        <v>551719</v>
      </c>
      <c r="I141" s="215">
        <v>0</v>
      </c>
      <c r="J141" s="215">
        <v>0</v>
      </c>
      <c r="K141" s="215">
        <v>0</v>
      </c>
      <c r="L141" s="146">
        <v>551719</v>
      </c>
    </row>
    <row r="142" spans="1:12" s="207" customFormat="1" ht="14.45" customHeight="1" outlineLevel="2" x14ac:dyDescent="0.25">
      <c r="A142" s="197" t="s">
        <v>274</v>
      </c>
      <c r="B142" s="223" t="s">
        <v>500</v>
      </c>
      <c r="C142" s="224" t="s">
        <v>500</v>
      </c>
      <c r="D142" s="224" t="s">
        <v>500</v>
      </c>
      <c r="E142" s="225">
        <f>SUBTOTAL(109,local200708[Program
Costs])</f>
        <v>65736228</v>
      </c>
      <c r="F142" s="225">
        <f>SUBTOTAL(109,local200708[Less: Net Payments and Offsets 9])</f>
        <v>1234722</v>
      </c>
      <c r="G142" s="224" t="s">
        <v>500</v>
      </c>
      <c r="H142" s="225">
        <f>SUBTOTAL(109,local200708[Accounts Payable
Balance])</f>
        <v>64501506</v>
      </c>
      <c r="I142" s="225">
        <f>SUBTOTAL(109,local200708[Established
Accounts Receivable])</f>
        <v>6821</v>
      </c>
      <c r="J142" s="226">
        <f>SUBTOTAL(109,local200708[Less: Recovered Amount])</f>
        <v>0</v>
      </c>
      <c r="K142" s="225">
        <f>SUBTOTAL(109,local200708[Accounts Receivable
Balance])</f>
        <v>6821</v>
      </c>
      <c r="L142" s="225">
        <f>SUBTOTAL(109,local200708[Net
Balance])</f>
        <v>64494685</v>
      </c>
    </row>
    <row r="143" spans="1:12" s="3" customFormat="1" ht="14.45" customHeight="1" outlineLevel="2" x14ac:dyDescent="0.2">
      <c r="A143" s="214" t="s">
        <v>508</v>
      </c>
      <c r="B143" s="196"/>
      <c r="D143" s="40"/>
      <c r="E143" s="146"/>
      <c r="F143" s="146"/>
      <c r="G143" s="146"/>
      <c r="H143" s="146"/>
      <c r="I143" s="146"/>
      <c r="J143" s="146"/>
      <c r="K143" s="146"/>
      <c r="L143" s="146"/>
    </row>
    <row r="144" spans="1:12" ht="50.1" customHeight="1" outlineLevel="1" x14ac:dyDescent="0.25">
      <c r="A144" s="176" t="s">
        <v>98</v>
      </c>
      <c r="B144" s="176" t="s">
        <v>99</v>
      </c>
      <c r="C144" s="176" t="s">
        <v>1</v>
      </c>
      <c r="D144" s="176" t="s">
        <v>195</v>
      </c>
      <c r="E144" s="210" t="s">
        <v>188</v>
      </c>
      <c r="F144" s="211" t="s">
        <v>576</v>
      </c>
      <c r="G144" s="212" t="s">
        <v>532</v>
      </c>
      <c r="H144" s="210" t="s">
        <v>528</v>
      </c>
      <c r="I144" s="210" t="s">
        <v>529</v>
      </c>
      <c r="J144" s="210" t="s">
        <v>197</v>
      </c>
      <c r="K144" s="210" t="s">
        <v>530</v>
      </c>
      <c r="L144" s="210" t="s">
        <v>196</v>
      </c>
    </row>
    <row r="145" spans="1:12" ht="14.45" customHeight="1" outlineLevel="2" x14ac:dyDescent="0.25">
      <c r="A145" s="40" t="s">
        <v>80</v>
      </c>
      <c r="B145" s="196" t="s">
        <v>224</v>
      </c>
      <c r="C145" s="3" t="s">
        <v>225</v>
      </c>
      <c r="D145" s="40">
        <v>213</v>
      </c>
      <c r="E145" s="146">
        <v>17241364</v>
      </c>
      <c r="F145" s="146">
        <v>17241364</v>
      </c>
      <c r="G145" s="213" t="s">
        <v>500</v>
      </c>
      <c r="H145" s="215">
        <v>0</v>
      </c>
      <c r="I145" s="146">
        <v>7522234</v>
      </c>
      <c r="J145" s="146">
        <v>6773030</v>
      </c>
      <c r="K145" s="146">
        <v>749204</v>
      </c>
      <c r="L145" s="146">
        <v>-749204</v>
      </c>
    </row>
    <row r="146" spans="1:12" ht="14.45" customHeight="1" outlineLevel="2" x14ac:dyDescent="0.25">
      <c r="A146" s="40" t="s">
        <v>80</v>
      </c>
      <c r="B146" s="196" t="s">
        <v>173</v>
      </c>
      <c r="C146" s="3" t="s">
        <v>174</v>
      </c>
      <c r="D146" s="40">
        <v>353</v>
      </c>
      <c r="E146" s="146">
        <v>866729</v>
      </c>
      <c r="F146" s="146">
        <v>866729</v>
      </c>
      <c r="G146" s="213" t="s">
        <v>500</v>
      </c>
      <c r="H146" s="215">
        <v>0</v>
      </c>
      <c r="I146" s="146">
        <v>6573</v>
      </c>
      <c r="J146" s="215">
        <v>0</v>
      </c>
      <c r="K146" s="146">
        <v>6573</v>
      </c>
      <c r="L146" s="146">
        <v>-6573</v>
      </c>
    </row>
    <row r="147" spans="1:12" outlineLevel="2" x14ac:dyDescent="0.25">
      <c r="A147" s="40" t="s">
        <v>80</v>
      </c>
      <c r="B147" s="196" t="s">
        <v>270</v>
      </c>
      <c r="C147" s="3" t="s">
        <v>271</v>
      </c>
      <c r="D147" s="40">
        <v>23</v>
      </c>
      <c r="E147" s="146">
        <v>4926471</v>
      </c>
      <c r="F147" s="146">
        <v>4901214</v>
      </c>
      <c r="G147" s="213" t="s">
        <v>500</v>
      </c>
      <c r="H147" s="146">
        <v>25257</v>
      </c>
      <c r="I147" s="146">
        <v>319599</v>
      </c>
      <c r="J147" s="146">
        <v>262355</v>
      </c>
      <c r="K147" s="146">
        <v>57244</v>
      </c>
      <c r="L147" s="146">
        <v>-31987</v>
      </c>
    </row>
    <row r="148" spans="1:12" ht="30.75" customHeight="1" outlineLevel="2" x14ac:dyDescent="0.25">
      <c r="A148" s="40" t="s">
        <v>80</v>
      </c>
      <c r="B148" s="196" t="s">
        <v>236</v>
      </c>
      <c r="C148" s="3" t="s">
        <v>237</v>
      </c>
      <c r="D148" s="40">
        <v>203</v>
      </c>
      <c r="E148" s="146">
        <v>3003738</v>
      </c>
      <c r="F148" s="146">
        <v>2950498</v>
      </c>
      <c r="G148" s="213" t="s">
        <v>500</v>
      </c>
      <c r="H148" s="146">
        <v>53240</v>
      </c>
      <c r="I148" s="146">
        <v>341376</v>
      </c>
      <c r="J148" s="146">
        <v>341376</v>
      </c>
      <c r="K148" s="215">
        <v>0</v>
      </c>
      <c r="L148" s="146">
        <v>53240</v>
      </c>
    </row>
    <row r="149" spans="1:12" ht="14.45" customHeight="1" outlineLevel="2" x14ac:dyDescent="0.25">
      <c r="A149" s="40" t="s">
        <v>80</v>
      </c>
      <c r="B149" s="196" t="s">
        <v>242</v>
      </c>
      <c r="C149" s="3" t="s">
        <v>243</v>
      </c>
      <c r="D149" s="40">
        <v>200</v>
      </c>
      <c r="E149" s="146">
        <v>1707977</v>
      </c>
      <c r="F149" s="146">
        <v>1702574</v>
      </c>
      <c r="G149" s="213" t="s">
        <v>500</v>
      </c>
      <c r="H149" s="146">
        <v>5403</v>
      </c>
      <c r="I149" s="146">
        <v>439438</v>
      </c>
      <c r="J149" s="146">
        <v>439438</v>
      </c>
      <c r="K149" s="215">
        <v>0</v>
      </c>
      <c r="L149" s="146">
        <v>5403</v>
      </c>
    </row>
    <row r="150" spans="1:12" ht="14.45" customHeight="1" outlineLevel="2" x14ac:dyDescent="0.25">
      <c r="A150" s="40" t="s">
        <v>80</v>
      </c>
      <c r="B150" s="196" t="s">
        <v>210</v>
      </c>
      <c r="C150" s="3" t="s">
        <v>211</v>
      </c>
      <c r="D150" s="40">
        <v>219</v>
      </c>
      <c r="E150" s="146">
        <v>14836644</v>
      </c>
      <c r="F150" s="215">
        <v>0</v>
      </c>
      <c r="G150" s="213" t="s">
        <v>500</v>
      </c>
      <c r="H150" s="146">
        <v>14836644</v>
      </c>
      <c r="I150" s="215">
        <v>0</v>
      </c>
      <c r="J150" s="215">
        <v>0</v>
      </c>
      <c r="K150" s="215">
        <v>0</v>
      </c>
      <c r="L150" s="146">
        <v>14836644</v>
      </c>
    </row>
    <row r="151" spans="1:12" ht="14.45" customHeight="1" outlineLevel="2" x14ac:dyDescent="0.25">
      <c r="A151" s="40" t="s">
        <v>80</v>
      </c>
      <c r="B151" s="196" t="s">
        <v>272</v>
      </c>
      <c r="C151" s="3" t="s">
        <v>273</v>
      </c>
      <c r="D151" s="40">
        <v>118</v>
      </c>
      <c r="E151" s="146">
        <v>5458348</v>
      </c>
      <c r="F151" s="146">
        <v>5346969</v>
      </c>
      <c r="G151" s="213" t="s">
        <v>500</v>
      </c>
      <c r="H151" s="146">
        <v>111379</v>
      </c>
      <c r="I151" s="146">
        <v>499658</v>
      </c>
      <c r="J151" s="146">
        <v>499658</v>
      </c>
      <c r="K151" s="215">
        <v>0</v>
      </c>
      <c r="L151" s="146">
        <v>111379</v>
      </c>
    </row>
    <row r="152" spans="1:12" ht="14.45" customHeight="1" outlineLevel="1" x14ac:dyDescent="0.25">
      <c r="A152" s="40" t="s">
        <v>80</v>
      </c>
      <c r="B152" s="196" t="s">
        <v>198</v>
      </c>
      <c r="C152" s="3" t="s">
        <v>199</v>
      </c>
      <c r="D152" s="40">
        <v>187</v>
      </c>
      <c r="E152" s="146">
        <v>9846865</v>
      </c>
      <c r="F152" s="146">
        <v>7917464</v>
      </c>
      <c r="G152" s="213" t="s">
        <v>500</v>
      </c>
      <c r="H152" s="146">
        <v>1929401</v>
      </c>
      <c r="I152" s="146">
        <v>10543101</v>
      </c>
      <c r="J152" s="146">
        <v>10543101</v>
      </c>
      <c r="K152" s="215">
        <v>0</v>
      </c>
      <c r="L152" s="146">
        <v>1929401</v>
      </c>
    </row>
    <row r="153" spans="1:12" ht="14.45" customHeight="1" outlineLevel="2" x14ac:dyDescent="0.25">
      <c r="A153" s="40" t="s">
        <v>80</v>
      </c>
      <c r="B153" s="196" t="s">
        <v>250</v>
      </c>
      <c r="C153" s="3" t="s">
        <v>251</v>
      </c>
      <c r="D153" s="40">
        <v>215</v>
      </c>
      <c r="E153" s="146">
        <v>309808</v>
      </c>
      <c r="F153" s="146">
        <v>298328</v>
      </c>
      <c r="G153" s="213" t="s">
        <v>500</v>
      </c>
      <c r="H153" s="146">
        <v>11480</v>
      </c>
      <c r="I153" s="146">
        <v>224111</v>
      </c>
      <c r="J153" s="146">
        <v>224111</v>
      </c>
      <c r="K153" s="215">
        <v>0</v>
      </c>
      <c r="L153" s="146">
        <v>11480</v>
      </c>
    </row>
    <row r="154" spans="1:12" ht="30.75" customHeight="1" outlineLevel="2" x14ac:dyDescent="0.25">
      <c r="A154" s="40" t="s">
        <v>80</v>
      </c>
      <c r="B154" s="196" t="s">
        <v>252</v>
      </c>
      <c r="C154" s="3" t="s">
        <v>253</v>
      </c>
      <c r="D154" s="40">
        <v>279</v>
      </c>
      <c r="E154" s="146">
        <v>359305</v>
      </c>
      <c r="F154" s="146">
        <v>334797</v>
      </c>
      <c r="G154" s="213" t="s">
        <v>500</v>
      </c>
      <c r="H154" s="146">
        <v>24508</v>
      </c>
      <c r="I154" s="215">
        <v>0</v>
      </c>
      <c r="J154" s="215">
        <v>0</v>
      </c>
      <c r="K154" s="215">
        <v>0</v>
      </c>
      <c r="L154" s="146">
        <v>24508</v>
      </c>
    </row>
    <row r="155" spans="1:12" ht="30.75" customHeight="1" outlineLevel="2" x14ac:dyDescent="0.25">
      <c r="A155" s="40" t="s">
        <v>80</v>
      </c>
      <c r="B155" s="196" t="s">
        <v>267</v>
      </c>
      <c r="C155" s="3" t="s">
        <v>268</v>
      </c>
      <c r="D155" s="40">
        <v>18</v>
      </c>
      <c r="E155" s="146">
        <v>273468</v>
      </c>
      <c r="F155" s="146">
        <v>273084</v>
      </c>
      <c r="G155" s="213" t="s">
        <v>500</v>
      </c>
      <c r="H155" s="146">
        <v>384</v>
      </c>
      <c r="I155" s="146">
        <v>384</v>
      </c>
      <c r="J155" s="146">
        <v>384</v>
      </c>
      <c r="K155" s="215">
        <v>0</v>
      </c>
      <c r="L155" s="146">
        <v>384</v>
      </c>
    </row>
    <row r="156" spans="1:12" ht="14.45" customHeight="1" outlineLevel="2" x14ac:dyDescent="0.25">
      <c r="A156" s="197" t="s">
        <v>275</v>
      </c>
      <c r="B156" s="184" t="s">
        <v>500</v>
      </c>
      <c r="C156" s="74" t="s">
        <v>500</v>
      </c>
      <c r="D156" s="180" t="s">
        <v>500</v>
      </c>
      <c r="E156" s="78">
        <f>SUBTOTAL(109,local200607[Program
Costs])</f>
        <v>58830717</v>
      </c>
      <c r="F156" s="78">
        <f>SUBTOTAL(109,local200607[Less: Net Payments and Offsets 9])</f>
        <v>41833021</v>
      </c>
      <c r="G156" s="74" t="s">
        <v>500</v>
      </c>
      <c r="H156" s="78">
        <f>SUBTOTAL(109,local200607[Accounts Payable
Balance])</f>
        <v>16997696</v>
      </c>
      <c r="I156" s="78">
        <f>SUBTOTAL(109,local200607[Established
Accounts Receivable])</f>
        <v>19896474</v>
      </c>
      <c r="J156" s="78">
        <f>SUBTOTAL(109,local200607[Less: Recovered Amount])</f>
        <v>19083453</v>
      </c>
      <c r="K156" s="78">
        <f>SUBTOTAL(109,local200607[Accounts Receivable
Balance])</f>
        <v>813021</v>
      </c>
      <c r="L156" s="78">
        <f>SUBTOTAL(109,local200607[Net
Balance])</f>
        <v>16184675</v>
      </c>
    </row>
    <row r="157" spans="1:12" s="3" customFormat="1" ht="14.45" customHeight="1" outlineLevel="2" x14ac:dyDescent="0.2">
      <c r="A157" s="214" t="s">
        <v>508</v>
      </c>
      <c r="B157" s="196"/>
      <c r="D157" s="40"/>
      <c r="E157" s="146"/>
      <c r="F157" s="146"/>
      <c r="G157" s="146"/>
      <c r="H157" s="146"/>
      <c r="I157" s="146"/>
      <c r="J157" s="146"/>
      <c r="K157" s="146"/>
      <c r="L157" s="146"/>
    </row>
    <row r="158" spans="1:12" ht="50.1" customHeight="1" outlineLevel="2" x14ac:dyDescent="0.25">
      <c r="A158" s="176" t="s">
        <v>98</v>
      </c>
      <c r="B158" s="176" t="s">
        <v>99</v>
      </c>
      <c r="C158" s="176" t="s">
        <v>1</v>
      </c>
      <c r="D158" s="176" t="s">
        <v>195</v>
      </c>
      <c r="E158" s="210" t="s">
        <v>188</v>
      </c>
      <c r="F158" s="211" t="s">
        <v>576</v>
      </c>
      <c r="G158" s="212" t="s">
        <v>532</v>
      </c>
      <c r="H158" s="210" t="s">
        <v>528</v>
      </c>
      <c r="I158" s="210" t="s">
        <v>529</v>
      </c>
      <c r="J158" s="210" t="s">
        <v>197</v>
      </c>
      <c r="K158" s="210" t="s">
        <v>530</v>
      </c>
      <c r="L158" s="210" t="s">
        <v>196</v>
      </c>
    </row>
    <row r="159" spans="1:12" ht="14.45" customHeight="1" outlineLevel="2" x14ac:dyDescent="0.25">
      <c r="A159" s="40" t="s">
        <v>81</v>
      </c>
      <c r="B159" s="196" t="s">
        <v>224</v>
      </c>
      <c r="C159" s="3" t="s">
        <v>225</v>
      </c>
      <c r="D159" s="40">
        <v>213</v>
      </c>
      <c r="E159" s="146">
        <v>17225079</v>
      </c>
      <c r="F159" s="146">
        <v>17202021</v>
      </c>
      <c r="G159" s="213" t="s">
        <v>500</v>
      </c>
      <c r="H159" s="146">
        <v>23058</v>
      </c>
      <c r="I159" s="146">
        <v>4824796</v>
      </c>
      <c r="J159" s="146">
        <v>4136727</v>
      </c>
      <c r="K159" s="146">
        <v>688069</v>
      </c>
      <c r="L159" s="146">
        <v>-665011</v>
      </c>
    </row>
    <row r="160" spans="1:12" outlineLevel="1" x14ac:dyDescent="0.25">
      <c r="A160" s="40" t="s">
        <v>81</v>
      </c>
      <c r="B160" s="196" t="s">
        <v>173</v>
      </c>
      <c r="C160" s="3" t="s">
        <v>174</v>
      </c>
      <c r="D160" s="40">
        <v>353</v>
      </c>
      <c r="E160" s="146">
        <v>660948</v>
      </c>
      <c r="F160" s="146">
        <v>660948</v>
      </c>
      <c r="G160" s="213" t="s">
        <v>500</v>
      </c>
      <c r="H160" s="215">
        <v>0</v>
      </c>
      <c r="I160" s="146">
        <v>6766</v>
      </c>
      <c r="J160" s="215">
        <v>0</v>
      </c>
      <c r="K160" s="146">
        <v>6766</v>
      </c>
      <c r="L160" s="146">
        <v>-6766</v>
      </c>
    </row>
    <row r="161" spans="1:12" ht="30.75" customHeight="1" outlineLevel="2" x14ac:dyDescent="0.25">
      <c r="A161" s="40" t="s">
        <v>81</v>
      </c>
      <c r="B161" s="196" t="s">
        <v>234</v>
      </c>
      <c r="C161" s="3" t="s">
        <v>235</v>
      </c>
      <c r="D161" s="40">
        <v>300</v>
      </c>
      <c r="E161" s="146">
        <v>196139</v>
      </c>
      <c r="F161" s="146">
        <v>192604</v>
      </c>
      <c r="G161" s="213" t="s">
        <v>500</v>
      </c>
      <c r="H161" s="146">
        <v>3535</v>
      </c>
      <c r="I161" s="215">
        <v>0</v>
      </c>
      <c r="J161" s="215">
        <v>0</v>
      </c>
      <c r="K161" s="215">
        <v>0</v>
      </c>
      <c r="L161" s="146">
        <v>3535</v>
      </c>
    </row>
    <row r="162" spans="1:12" ht="14.45" customHeight="1" outlineLevel="2" x14ac:dyDescent="0.25">
      <c r="A162" s="40" t="s">
        <v>81</v>
      </c>
      <c r="B162" s="196" t="s">
        <v>210</v>
      </c>
      <c r="C162" s="3" t="s">
        <v>211</v>
      </c>
      <c r="D162" s="40">
        <v>219</v>
      </c>
      <c r="E162" s="146">
        <v>13588945</v>
      </c>
      <c r="F162" s="146">
        <v>400803</v>
      </c>
      <c r="G162" s="213" t="s">
        <v>500</v>
      </c>
      <c r="H162" s="146">
        <v>13188142</v>
      </c>
      <c r="I162" s="146">
        <v>187248</v>
      </c>
      <c r="J162" s="146">
        <v>179625</v>
      </c>
      <c r="K162" s="146">
        <v>7623</v>
      </c>
      <c r="L162" s="146">
        <v>13180519</v>
      </c>
    </row>
    <row r="163" spans="1:12" ht="14.45" customHeight="1" outlineLevel="1" x14ac:dyDescent="0.25">
      <c r="A163" s="40" t="s">
        <v>81</v>
      </c>
      <c r="B163" s="196" t="s">
        <v>198</v>
      </c>
      <c r="C163" s="3" t="s">
        <v>199</v>
      </c>
      <c r="D163" s="40">
        <v>187</v>
      </c>
      <c r="E163" s="146">
        <v>13310225</v>
      </c>
      <c r="F163" s="146">
        <v>11075800</v>
      </c>
      <c r="G163" s="213" t="s">
        <v>500</v>
      </c>
      <c r="H163" s="146">
        <v>2234425</v>
      </c>
      <c r="I163" s="146">
        <v>6047022</v>
      </c>
      <c r="J163" s="146">
        <v>6047022</v>
      </c>
      <c r="K163" s="215">
        <v>0</v>
      </c>
      <c r="L163" s="146">
        <v>2234425</v>
      </c>
    </row>
    <row r="164" spans="1:12" ht="14.45" customHeight="1" outlineLevel="2" x14ac:dyDescent="0.25">
      <c r="A164" s="40" t="s">
        <v>81</v>
      </c>
      <c r="B164" s="196" t="s">
        <v>252</v>
      </c>
      <c r="C164" s="3" t="s">
        <v>253</v>
      </c>
      <c r="D164" s="40">
        <v>279</v>
      </c>
      <c r="E164" s="146">
        <v>173372</v>
      </c>
      <c r="F164" s="146">
        <v>134566</v>
      </c>
      <c r="G164" s="213" t="s">
        <v>500</v>
      </c>
      <c r="H164" s="146">
        <v>38806</v>
      </c>
      <c r="I164" s="215">
        <v>0</v>
      </c>
      <c r="J164" s="215">
        <v>0</v>
      </c>
      <c r="K164" s="215">
        <v>0</v>
      </c>
      <c r="L164" s="146">
        <v>38806</v>
      </c>
    </row>
    <row r="165" spans="1:12" ht="30.75" customHeight="1" outlineLevel="2" x14ac:dyDescent="0.25">
      <c r="A165" s="40" t="s">
        <v>81</v>
      </c>
      <c r="B165" s="196" t="s">
        <v>267</v>
      </c>
      <c r="C165" s="3" t="s">
        <v>268</v>
      </c>
      <c r="D165" s="40">
        <v>18</v>
      </c>
      <c r="E165" s="146">
        <v>258165</v>
      </c>
      <c r="F165" s="146">
        <v>258032</v>
      </c>
      <c r="G165" s="213" t="s">
        <v>500</v>
      </c>
      <c r="H165" s="146">
        <v>133</v>
      </c>
      <c r="I165" s="146">
        <v>133</v>
      </c>
      <c r="J165" s="146">
        <v>133</v>
      </c>
      <c r="K165" s="215">
        <v>0</v>
      </c>
      <c r="L165" s="146">
        <v>133</v>
      </c>
    </row>
    <row r="166" spans="1:12" ht="14.45" customHeight="1" outlineLevel="2" x14ac:dyDescent="0.25">
      <c r="A166" s="197" t="s">
        <v>276</v>
      </c>
      <c r="B166" s="184" t="s">
        <v>500</v>
      </c>
      <c r="C166" s="74" t="s">
        <v>500</v>
      </c>
      <c r="D166" s="180" t="s">
        <v>500</v>
      </c>
      <c r="E166" s="78">
        <f>SUBTOTAL(109,local200506[Program
Costs])</f>
        <v>45412873</v>
      </c>
      <c r="F166" s="78">
        <f>SUBTOTAL(109,local200506[Less: Net Payments and Offsets 9])</f>
        <v>29924774</v>
      </c>
      <c r="G166" s="74" t="s">
        <v>500</v>
      </c>
      <c r="H166" s="78">
        <f>SUBTOTAL(109,local200506[Accounts Payable
Balance])</f>
        <v>15488099</v>
      </c>
      <c r="I166" s="78">
        <f>SUBTOTAL(109,local200506[Established
Accounts Receivable])</f>
        <v>11065965</v>
      </c>
      <c r="J166" s="78">
        <f>SUBTOTAL(109,local200506[Less: Recovered Amount])</f>
        <v>10363507</v>
      </c>
      <c r="K166" s="179">
        <f>SUBTOTAL(109,local200506[Accounts Receivable
Balance])</f>
        <v>702458</v>
      </c>
      <c r="L166" s="78">
        <f>SUBTOTAL(109,local200506[Net
Balance])</f>
        <v>14785641</v>
      </c>
    </row>
    <row r="167" spans="1:12" s="3" customFormat="1" ht="15" outlineLevel="1" x14ac:dyDescent="0.2">
      <c r="A167" s="214" t="s">
        <v>508</v>
      </c>
      <c r="B167" s="196"/>
      <c r="D167" s="40"/>
      <c r="E167" s="146"/>
      <c r="F167" s="146"/>
      <c r="G167" s="146"/>
      <c r="H167" s="146"/>
      <c r="I167" s="146"/>
      <c r="J167" s="146"/>
      <c r="K167" s="146"/>
      <c r="L167" s="146"/>
    </row>
    <row r="168" spans="1:12" ht="50.1" customHeight="1" outlineLevel="2" x14ac:dyDescent="0.25">
      <c r="A168" s="176" t="s">
        <v>98</v>
      </c>
      <c r="B168" s="176" t="s">
        <v>99</v>
      </c>
      <c r="C168" s="176" t="s">
        <v>1</v>
      </c>
      <c r="D168" s="176" t="s">
        <v>195</v>
      </c>
      <c r="E168" s="210" t="s">
        <v>188</v>
      </c>
      <c r="F168" s="211" t="s">
        <v>576</v>
      </c>
      <c r="G168" s="212" t="s">
        <v>532</v>
      </c>
      <c r="H168" s="210" t="s">
        <v>528</v>
      </c>
      <c r="I168" s="210" t="s">
        <v>529</v>
      </c>
      <c r="J168" s="210" t="s">
        <v>197</v>
      </c>
      <c r="K168" s="210" t="s">
        <v>530</v>
      </c>
      <c r="L168" s="210" t="s">
        <v>196</v>
      </c>
    </row>
    <row r="169" spans="1:12" ht="14.45" customHeight="1" outlineLevel="2" x14ac:dyDescent="0.25">
      <c r="A169" s="40" t="s">
        <v>82</v>
      </c>
      <c r="B169" s="196" t="s">
        <v>213</v>
      </c>
      <c r="C169" s="3" t="s">
        <v>214</v>
      </c>
      <c r="D169" s="40">
        <v>2</v>
      </c>
      <c r="E169" s="146">
        <v>17563599</v>
      </c>
      <c r="F169" s="146">
        <v>17516451</v>
      </c>
      <c r="G169" s="213" t="s">
        <v>500</v>
      </c>
      <c r="H169" s="146">
        <v>47148</v>
      </c>
      <c r="I169" s="146">
        <v>2316857</v>
      </c>
      <c r="J169" s="146">
        <v>2316857</v>
      </c>
      <c r="K169" s="215">
        <v>0</v>
      </c>
      <c r="L169" s="146">
        <v>47148</v>
      </c>
    </row>
    <row r="170" spans="1:12" ht="14.45" customHeight="1" outlineLevel="2" x14ac:dyDescent="0.25">
      <c r="A170" s="40" t="s">
        <v>82</v>
      </c>
      <c r="B170" s="196" t="s">
        <v>224</v>
      </c>
      <c r="C170" s="3" t="s">
        <v>225</v>
      </c>
      <c r="D170" s="40">
        <v>213</v>
      </c>
      <c r="E170" s="146">
        <v>19847433</v>
      </c>
      <c r="F170" s="146">
        <v>19847433</v>
      </c>
      <c r="G170" s="213" t="s">
        <v>500</v>
      </c>
      <c r="H170" s="215">
        <v>0</v>
      </c>
      <c r="I170" s="146">
        <v>3917590</v>
      </c>
      <c r="J170" s="146">
        <v>3843233</v>
      </c>
      <c r="K170" s="146">
        <v>74357</v>
      </c>
      <c r="L170" s="146">
        <v>-74357</v>
      </c>
    </row>
    <row r="171" spans="1:12" ht="14.45" customHeight="1" outlineLevel="2" x14ac:dyDescent="0.25">
      <c r="A171" s="40" t="s">
        <v>82</v>
      </c>
      <c r="B171" s="196" t="s">
        <v>173</v>
      </c>
      <c r="C171" s="3" t="s">
        <v>174</v>
      </c>
      <c r="D171" s="40">
        <v>353</v>
      </c>
      <c r="E171" s="146">
        <v>515185</v>
      </c>
      <c r="F171" s="146">
        <v>515185</v>
      </c>
      <c r="G171" s="213" t="s">
        <v>500</v>
      </c>
      <c r="H171" s="215">
        <v>0</v>
      </c>
      <c r="I171" s="146">
        <v>5351</v>
      </c>
      <c r="J171" s="215">
        <v>0</v>
      </c>
      <c r="K171" s="146">
        <v>5351</v>
      </c>
      <c r="L171" s="146">
        <v>-5351</v>
      </c>
    </row>
    <row r="172" spans="1:12" outlineLevel="1" x14ac:dyDescent="0.25">
      <c r="A172" s="40" t="s">
        <v>82</v>
      </c>
      <c r="B172" s="196" t="s">
        <v>210</v>
      </c>
      <c r="C172" s="3" t="s">
        <v>211</v>
      </c>
      <c r="D172" s="40">
        <v>219</v>
      </c>
      <c r="E172" s="146">
        <v>14784873</v>
      </c>
      <c r="F172" s="146">
        <v>14433621</v>
      </c>
      <c r="G172" s="213" t="s">
        <v>500</v>
      </c>
      <c r="H172" s="146">
        <v>351252</v>
      </c>
      <c r="I172" s="146">
        <v>1695469</v>
      </c>
      <c r="J172" s="146">
        <v>1688569</v>
      </c>
      <c r="K172" s="146">
        <v>6900</v>
      </c>
      <c r="L172" s="146">
        <v>344352</v>
      </c>
    </row>
    <row r="173" spans="1:12" ht="14.45" customHeight="1" outlineLevel="2" x14ac:dyDescent="0.25">
      <c r="A173" s="40" t="s">
        <v>82</v>
      </c>
      <c r="B173" s="196" t="s">
        <v>198</v>
      </c>
      <c r="C173" s="3" t="s">
        <v>199</v>
      </c>
      <c r="D173" s="40">
        <v>187</v>
      </c>
      <c r="E173" s="146">
        <v>13187078</v>
      </c>
      <c r="F173" s="215">
        <v>0</v>
      </c>
      <c r="G173" s="213" t="s">
        <v>500</v>
      </c>
      <c r="H173" s="146">
        <v>13187078</v>
      </c>
      <c r="I173" s="215">
        <v>0</v>
      </c>
      <c r="J173" s="215">
        <v>0</v>
      </c>
      <c r="K173" s="215">
        <v>0</v>
      </c>
      <c r="L173" s="146">
        <v>13187078</v>
      </c>
    </row>
    <row r="174" spans="1:12" ht="30.75" outlineLevel="1" x14ac:dyDescent="0.25">
      <c r="A174" s="40" t="s">
        <v>82</v>
      </c>
      <c r="B174" s="196" t="s">
        <v>252</v>
      </c>
      <c r="C174" s="3" t="s">
        <v>253</v>
      </c>
      <c r="D174" s="40">
        <v>279</v>
      </c>
      <c r="E174" s="146">
        <v>31183</v>
      </c>
      <c r="F174" s="146">
        <v>17053</v>
      </c>
      <c r="G174" s="213" t="s">
        <v>500</v>
      </c>
      <c r="H174" s="146">
        <v>14130</v>
      </c>
      <c r="I174" s="215">
        <v>0</v>
      </c>
      <c r="J174" s="215">
        <v>0</v>
      </c>
      <c r="K174" s="215">
        <v>0</v>
      </c>
      <c r="L174" s="146">
        <v>14130</v>
      </c>
    </row>
    <row r="175" spans="1:12" outlineLevel="1" x14ac:dyDescent="0.25">
      <c r="A175" s="216" t="s">
        <v>277</v>
      </c>
      <c r="B175" s="184" t="s">
        <v>500</v>
      </c>
      <c r="C175" s="74" t="s">
        <v>500</v>
      </c>
      <c r="D175" s="180" t="s">
        <v>500</v>
      </c>
      <c r="E175" s="78">
        <f>SUBTOTAL(109,local200405[Program
Costs])</f>
        <v>65929351</v>
      </c>
      <c r="F175" s="78">
        <f>SUBTOTAL(109,local200405[Less: Net Payments and Offsets 9])</f>
        <v>52329743</v>
      </c>
      <c r="G175" s="74" t="s">
        <v>500</v>
      </c>
      <c r="H175" s="78">
        <f>SUBTOTAL(109,local200405[Accounts Payable
Balance])</f>
        <v>13599608</v>
      </c>
      <c r="I175" s="78">
        <f>SUBTOTAL(109,local200405[Established
Accounts Receivable])</f>
        <v>7935267</v>
      </c>
      <c r="J175" s="78">
        <f>SUBTOTAL(109,local200405[Less: Recovered Amount])</f>
        <v>7848659</v>
      </c>
      <c r="K175" s="78">
        <f>SUBTOTAL(109,local200405[Accounts Receivable
Balance])</f>
        <v>86608</v>
      </c>
      <c r="L175" s="78">
        <f>SUBTOTAL(109,local200405[Net
Balance])</f>
        <v>13513000</v>
      </c>
    </row>
    <row r="176" spans="1:12" s="3" customFormat="1" ht="14.45" customHeight="1" outlineLevel="2" x14ac:dyDescent="0.2">
      <c r="A176" s="214" t="s">
        <v>508</v>
      </c>
      <c r="B176" s="196"/>
      <c r="D176" s="40"/>
      <c r="E176" s="146"/>
      <c r="F176" s="146"/>
      <c r="G176" s="146"/>
      <c r="H176" s="146"/>
      <c r="I176" s="146"/>
      <c r="J176" s="146"/>
      <c r="K176" s="146"/>
      <c r="L176" s="146"/>
    </row>
    <row r="177" spans="1:12" ht="50.1" customHeight="1" outlineLevel="2" x14ac:dyDescent="0.25">
      <c r="A177" s="176" t="s">
        <v>98</v>
      </c>
      <c r="B177" s="176" t="s">
        <v>99</v>
      </c>
      <c r="C177" s="176" t="s">
        <v>1</v>
      </c>
      <c r="D177" s="176" t="s">
        <v>195</v>
      </c>
      <c r="E177" s="210" t="s">
        <v>188</v>
      </c>
      <c r="F177" s="211" t="s">
        <v>576</v>
      </c>
      <c r="G177" s="212" t="s">
        <v>532</v>
      </c>
      <c r="H177" s="210" t="s">
        <v>528</v>
      </c>
      <c r="I177" s="210" t="s">
        <v>529</v>
      </c>
      <c r="J177" s="210" t="s">
        <v>197</v>
      </c>
      <c r="K177" s="210" t="s">
        <v>530</v>
      </c>
      <c r="L177" s="210" t="s">
        <v>196</v>
      </c>
    </row>
    <row r="178" spans="1:12" ht="14.45" customHeight="1" outlineLevel="2" x14ac:dyDescent="0.25">
      <c r="A178" s="40" t="s">
        <v>83</v>
      </c>
      <c r="B178" s="196" t="s">
        <v>217</v>
      </c>
      <c r="C178" s="3" t="s">
        <v>218</v>
      </c>
      <c r="D178" s="40">
        <v>289</v>
      </c>
      <c r="E178" s="146">
        <v>11904</v>
      </c>
      <c r="F178" s="215">
        <v>0</v>
      </c>
      <c r="G178" s="213" t="s">
        <v>500</v>
      </c>
      <c r="H178" s="146">
        <v>11904</v>
      </c>
      <c r="I178" s="215">
        <v>0</v>
      </c>
      <c r="J178" s="215">
        <v>0</v>
      </c>
      <c r="K178" s="215">
        <v>0</v>
      </c>
      <c r="L178" s="146">
        <v>11904</v>
      </c>
    </row>
    <row r="179" spans="1:12" ht="30.75" customHeight="1" outlineLevel="2" x14ac:dyDescent="0.25">
      <c r="A179" s="40" t="s">
        <v>83</v>
      </c>
      <c r="B179" s="196" t="s">
        <v>252</v>
      </c>
      <c r="C179" s="3" t="s">
        <v>253</v>
      </c>
      <c r="D179" s="40">
        <v>279</v>
      </c>
      <c r="E179" s="146">
        <v>148711</v>
      </c>
      <c r="F179" s="146">
        <v>124059</v>
      </c>
      <c r="G179" s="213" t="s">
        <v>500</v>
      </c>
      <c r="H179" s="146">
        <v>24652</v>
      </c>
      <c r="I179" s="215">
        <v>0</v>
      </c>
      <c r="J179" s="215">
        <v>0</v>
      </c>
      <c r="K179" s="215">
        <v>0</v>
      </c>
      <c r="L179" s="146">
        <v>24652</v>
      </c>
    </row>
    <row r="180" spans="1:12" ht="14.45" customHeight="1" outlineLevel="2" x14ac:dyDescent="0.25">
      <c r="A180" s="216" t="s">
        <v>278</v>
      </c>
      <c r="B180" s="184" t="s">
        <v>500</v>
      </c>
      <c r="C180" s="74" t="s">
        <v>500</v>
      </c>
      <c r="D180" s="180" t="s">
        <v>500</v>
      </c>
      <c r="E180" s="78">
        <f>SUBTOTAL(109,local200304[Program
Costs])</f>
        <v>160615</v>
      </c>
      <c r="F180" s="78">
        <f>SUBTOTAL(109,local200304[Less: Net Payments and Offsets 9])</f>
        <v>124059</v>
      </c>
      <c r="G180" s="74" t="s">
        <v>500</v>
      </c>
      <c r="H180" s="78">
        <f>SUBTOTAL(109,local200304[Accounts Payable
Balance])</f>
        <v>36556</v>
      </c>
      <c r="I180" s="179">
        <f>SUBTOTAL(109,local200304[Established
Accounts Receivable])</f>
        <v>0</v>
      </c>
      <c r="J180" s="179">
        <f>SUBTOTAL(109,local200304[Less: Recovered Amount])</f>
        <v>0</v>
      </c>
      <c r="K180" s="179">
        <f>SUBTOTAL(109,local200304[Accounts Receivable
Balance])</f>
        <v>0</v>
      </c>
      <c r="L180" s="78">
        <f>SUBTOTAL(109,local200304[Net
Balance])</f>
        <v>36556</v>
      </c>
    </row>
    <row r="181" spans="1:12" outlineLevel="1" x14ac:dyDescent="0.25">
      <c r="A181" s="214" t="s">
        <v>508</v>
      </c>
      <c r="B181" s="196"/>
      <c r="C181" s="3"/>
      <c r="D181" s="40"/>
      <c r="E181" s="146"/>
      <c r="F181" s="146"/>
      <c r="G181" s="146"/>
      <c r="H181" s="146"/>
      <c r="I181" s="146"/>
      <c r="J181" s="146"/>
      <c r="K181" s="146"/>
      <c r="L181" s="146"/>
    </row>
    <row r="182" spans="1:12" ht="50.1" customHeight="1" outlineLevel="2" x14ac:dyDescent="0.25">
      <c r="A182" s="176" t="s">
        <v>98</v>
      </c>
      <c r="B182" s="176" t="s">
        <v>99</v>
      </c>
      <c r="C182" s="176" t="s">
        <v>1</v>
      </c>
      <c r="D182" s="176" t="s">
        <v>195</v>
      </c>
      <c r="E182" s="210" t="s">
        <v>188</v>
      </c>
      <c r="F182" s="211" t="s">
        <v>576</v>
      </c>
      <c r="G182" s="212" t="s">
        <v>532</v>
      </c>
      <c r="H182" s="210" t="s">
        <v>528</v>
      </c>
      <c r="I182" s="210" t="s">
        <v>529</v>
      </c>
      <c r="J182" s="210" t="s">
        <v>197</v>
      </c>
      <c r="K182" s="210" t="s">
        <v>530</v>
      </c>
      <c r="L182" s="210" t="s">
        <v>196</v>
      </c>
    </row>
    <row r="183" spans="1:12" ht="14.45" customHeight="1" outlineLevel="2" x14ac:dyDescent="0.25">
      <c r="A183" s="40" t="s">
        <v>71</v>
      </c>
      <c r="B183" s="196" t="s">
        <v>217</v>
      </c>
      <c r="C183" s="3" t="s">
        <v>218</v>
      </c>
      <c r="D183" s="40">
        <v>289</v>
      </c>
      <c r="E183" s="146">
        <v>132994</v>
      </c>
      <c r="F183" s="215">
        <v>0</v>
      </c>
      <c r="G183" s="213" t="s">
        <v>500</v>
      </c>
      <c r="H183" s="146">
        <v>132994</v>
      </c>
      <c r="I183" s="215">
        <v>0</v>
      </c>
      <c r="J183" s="215">
        <v>0</v>
      </c>
      <c r="K183" s="215">
        <v>0</v>
      </c>
      <c r="L183" s="146">
        <v>132994</v>
      </c>
    </row>
    <row r="184" spans="1:12" ht="30.75" customHeight="1" outlineLevel="2" x14ac:dyDescent="0.25">
      <c r="A184" s="40" t="s">
        <v>71</v>
      </c>
      <c r="B184" s="196" t="s">
        <v>252</v>
      </c>
      <c r="C184" s="3" t="s">
        <v>253</v>
      </c>
      <c r="D184" s="40">
        <v>279</v>
      </c>
      <c r="E184" s="146">
        <v>135482</v>
      </c>
      <c r="F184" s="146">
        <v>112687</v>
      </c>
      <c r="G184" s="213" t="s">
        <v>500</v>
      </c>
      <c r="H184" s="146">
        <v>22795</v>
      </c>
      <c r="I184" s="215">
        <v>0</v>
      </c>
      <c r="J184" s="215">
        <v>0</v>
      </c>
      <c r="K184" s="215">
        <v>0</v>
      </c>
      <c r="L184" s="146">
        <v>22795</v>
      </c>
    </row>
    <row r="185" spans="1:12" ht="14.45" customHeight="1" outlineLevel="2" x14ac:dyDescent="0.25">
      <c r="A185" s="216" t="s">
        <v>279</v>
      </c>
      <c r="B185" s="184" t="s">
        <v>500</v>
      </c>
      <c r="C185" s="74" t="s">
        <v>500</v>
      </c>
      <c r="D185" s="180" t="s">
        <v>500</v>
      </c>
      <c r="E185" s="78">
        <f>SUBTOTAL(109,local200203[Program
Costs])</f>
        <v>268476</v>
      </c>
      <c r="F185" s="78">
        <f>SUBTOTAL(109,local200203[Less: Net Payments and Offsets 9])</f>
        <v>112687</v>
      </c>
      <c r="G185" s="74" t="s">
        <v>500</v>
      </c>
      <c r="H185" s="78">
        <f>SUBTOTAL(109,local200203[Accounts Payable
Balance])</f>
        <v>155789</v>
      </c>
      <c r="I185" s="179">
        <f>SUBTOTAL(109,local200203[Established
Accounts Receivable])</f>
        <v>0</v>
      </c>
      <c r="J185" s="179">
        <f>SUBTOTAL(109,local200203[Less: Recovered Amount])</f>
        <v>0</v>
      </c>
      <c r="K185" s="179">
        <f>SUBTOTAL(109,local200203[Accounts Receivable
Balance])</f>
        <v>0</v>
      </c>
      <c r="L185" s="78">
        <f>SUBTOTAL(109,local200203[Net
Balance])</f>
        <v>155789</v>
      </c>
    </row>
    <row r="186" spans="1:12" s="3" customFormat="1" ht="15" outlineLevel="1" x14ac:dyDescent="0.2">
      <c r="A186" s="214" t="s">
        <v>508</v>
      </c>
      <c r="B186" s="196"/>
      <c r="D186" s="40"/>
      <c r="E186" s="146"/>
      <c r="F186" s="146"/>
      <c r="G186" s="146"/>
      <c r="H186" s="146"/>
      <c r="I186" s="146"/>
      <c r="J186" s="146"/>
      <c r="K186" s="146"/>
      <c r="L186" s="146"/>
    </row>
    <row r="187" spans="1:12" ht="50.1" customHeight="1" outlineLevel="2" x14ac:dyDescent="0.25">
      <c r="A187" s="176" t="s">
        <v>98</v>
      </c>
      <c r="B187" s="176" t="s">
        <v>99</v>
      </c>
      <c r="C187" s="176" t="s">
        <v>1</v>
      </c>
      <c r="D187" s="176" t="s">
        <v>195</v>
      </c>
      <c r="E187" s="210" t="s">
        <v>188</v>
      </c>
      <c r="F187" s="211" t="s">
        <v>576</v>
      </c>
      <c r="G187" s="212" t="s">
        <v>532</v>
      </c>
      <c r="H187" s="210" t="s">
        <v>528</v>
      </c>
      <c r="I187" s="210" t="s">
        <v>529</v>
      </c>
      <c r="J187" s="210" t="s">
        <v>197</v>
      </c>
      <c r="K187" s="210" t="s">
        <v>530</v>
      </c>
      <c r="L187" s="210" t="s">
        <v>196</v>
      </c>
    </row>
    <row r="188" spans="1:12" ht="14.45" customHeight="1" outlineLevel="2" x14ac:dyDescent="0.25">
      <c r="A188" s="40" t="s">
        <v>74</v>
      </c>
      <c r="B188" s="196" t="s">
        <v>224</v>
      </c>
      <c r="C188" s="3" t="s">
        <v>225</v>
      </c>
      <c r="D188" s="40">
        <v>213</v>
      </c>
      <c r="E188" s="146">
        <v>14577947</v>
      </c>
      <c r="F188" s="146">
        <v>14577947</v>
      </c>
      <c r="G188" s="213" t="s">
        <v>500</v>
      </c>
      <c r="H188" s="215">
        <v>0</v>
      </c>
      <c r="I188" s="146">
        <v>25647</v>
      </c>
      <c r="J188" s="146">
        <v>18475</v>
      </c>
      <c r="K188" s="146">
        <v>7172</v>
      </c>
      <c r="L188" s="146">
        <v>-7172</v>
      </c>
    </row>
    <row r="189" spans="1:12" outlineLevel="1" x14ac:dyDescent="0.25">
      <c r="A189" s="40" t="s">
        <v>74</v>
      </c>
      <c r="B189" s="196" t="s">
        <v>217</v>
      </c>
      <c r="C189" s="3" t="s">
        <v>218</v>
      </c>
      <c r="D189" s="40">
        <v>289</v>
      </c>
      <c r="E189" s="146">
        <v>116534</v>
      </c>
      <c r="F189" s="215">
        <v>0</v>
      </c>
      <c r="G189" s="213" t="s">
        <v>500</v>
      </c>
      <c r="H189" s="146">
        <v>116534</v>
      </c>
      <c r="I189" s="215">
        <v>0</v>
      </c>
      <c r="J189" s="215">
        <v>0</v>
      </c>
      <c r="K189" s="215">
        <v>0</v>
      </c>
      <c r="L189" s="146">
        <v>116534</v>
      </c>
    </row>
    <row r="190" spans="1:12" ht="14.45" customHeight="1" outlineLevel="2" x14ac:dyDescent="0.25">
      <c r="A190" s="40" t="s">
        <v>74</v>
      </c>
      <c r="B190" s="196" t="s">
        <v>280</v>
      </c>
      <c r="C190" s="3" t="s">
        <v>281</v>
      </c>
      <c r="D190" s="40">
        <v>161</v>
      </c>
      <c r="E190" s="146">
        <v>6083222</v>
      </c>
      <c r="F190" s="146">
        <v>6083222</v>
      </c>
      <c r="G190" s="213" t="s">
        <v>500</v>
      </c>
      <c r="H190" s="215">
        <v>0</v>
      </c>
      <c r="I190" s="146">
        <v>214181</v>
      </c>
      <c r="J190" s="146">
        <v>212019</v>
      </c>
      <c r="K190" s="146">
        <v>2162</v>
      </c>
      <c r="L190" s="146">
        <v>-2162</v>
      </c>
    </row>
    <row r="191" spans="1:12" ht="30.75" customHeight="1" outlineLevel="1" x14ac:dyDescent="0.25">
      <c r="A191" s="40" t="s">
        <v>74</v>
      </c>
      <c r="B191" s="196" t="s">
        <v>252</v>
      </c>
      <c r="C191" s="3" t="s">
        <v>253</v>
      </c>
      <c r="D191" s="40">
        <v>279</v>
      </c>
      <c r="E191" s="146">
        <v>73775</v>
      </c>
      <c r="F191" s="146">
        <v>62375</v>
      </c>
      <c r="G191" s="213" t="s">
        <v>500</v>
      </c>
      <c r="H191" s="146">
        <v>11400</v>
      </c>
      <c r="I191" s="215">
        <v>0</v>
      </c>
      <c r="J191" s="215">
        <v>0</v>
      </c>
      <c r="K191" s="215">
        <v>0</v>
      </c>
      <c r="L191" s="146">
        <v>11400</v>
      </c>
    </row>
    <row r="192" spans="1:12" outlineLevel="1" x14ac:dyDescent="0.25">
      <c r="A192" s="216" t="s">
        <v>282</v>
      </c>
      <c r="B192" s="184" t="s">
        <v>500</v>
      </c>
      <c r="C192" s="74" t="s">
        <v>500</v>
      </c>
      <c r="D192" s="180" t="s">
        <v>500</v>
      </c>
      <c r="E192" s="78">
        <f>SUBTOTAL(109,local200102[Program
Costs])</f>
        <v>20851478</v>
      </c>
      <c r="F192" s="78">
        <f>SUBTOTAL(109,local200102[Less: Net Payments and Offsets 9])</f>
        <v>20723544</v>
      </c>
      <c r="G192" s="74" t="s">
        <v>500</v>
      </c>
      <c r="H192" s="78">
        <f>SUBTOTAL(109,local200102[Accounts Payable
Balance])</f>
        <v>127934</v>
      </c>
      <c r="I192" s="78">
        <f>SUBTOTAL(109,local200102[Established
Accounts Receivable])</f>
        <v>239828</v>
      </c>
      <c r="J192" s="78">
        <f>SUBTOTAL(109,local200102[Less: Recovered Amount])</f>
        <v>230494</v>
      </c>
      <c r="K192" s="78">
        <f>SUBTOTAL(109,local200102[Accounts Receivable
Balance])</f>
        <v>9334</v>
      </c>
      <c r="L192" s="78">
        <f>SUBTOTAL(109,local200102[Net
Balance])</f>
        <v>118600</v>
      </c>
    </row>
    <row r="193" spans="1:12" s="3" customFormat="1" ht="14.45" customHeight="1" outlineLevel="2" x14ac:dyDescent="0.2">
      <c r="A193" s="214" t="s">
        <v>508</v>
      </c>
      <c r="B193" s="196"/>
      <c r="D193" s="40"/>
      <c r="E193" s="146"/>
      <c r="F193" s="146"/>
      <c r="G193" s="146"/>
      <c r="H193" s="146"/>
      <c r="I193" s="146"/>
      <c r="J193" s="146"/>
      <c r="K193" s="146"/>
      <c r="L193" s="146"/>
    </row>
    <row r="194" spans="1:12" ht="50.1" customHeight="1" outlineLevel="2" x14ac:dyDescent="0.25">
      <c r="A194" s="176" t="s">
        <v>98</v>
      </c>
      <c r="B194" s="176" t="s">
        <v>99</v>
      </c>
      <c r="C194" s="176" t="s">
        <v>1</v>
      </c>
      <c r="D194" s="176" t="s">
        <v>195</v>
      </c>
      <c r="E194" s="210" t="s">
        <v>188</v>
      </c>
      <c r="F194" s="211" t="s">
        <v>576</v>
      </c>
      <c r="G194" s="212" t="s">
        <v>532</v>
      </c>
      <c r="H194" s="210" t="s">
        <v>528</v>
      </c>
      <c r="I194" s="210" t="s">
        <v>529</v>
      </c>
      <c r="J194" s="210" t="s">
        <v>197</v>
      </c>
      <c r="K194" s="210" t="s">
        <v>530</v>
      </c>
      <c r="L194" s="210" t="s">
        <v>196</v>
      </c>
    </row>
    <row r="195" spans="1:12" outlineLevel="1" x14ac:dyDescent="0.25">
      <c r="A195" s="40" t="s">
        <v>75</v>
      </c>
      <c r="B195" s="196" t="s">
        <v>217</v>
      </c>
      <c r="C195" s="3" t="s">
        <v>218</v>
      </c>
      <c r="D195" s="40">
        <v>289</v>
      </c>
      <c r="E195" s="146">
        <v>112301</v>
      </c>
      <c r="F195" s="215">
        <v>0</v>
      </c>
      <c r="G195" s="146" t="s">
        <v>500</v>
      </c>
      <c r="H195" s="146">
        <v>112301</v>
      </c>
      <c r="I195" s="215">
        <v>0</v>
      </c>
      <c r="J195" s="215">
        <v>0</v>
      </c>
      <c r="K195" s="215">
        <v>0</v>
      </c>
      <c r="L195" s="146">
        <v>112301</v>
      </c>
    </row>
    <row r="196" spans="1:12" outlineLevel="1" x14ac:dyDescent="0.25">
      <c r="A196" s="216" t="s">
        <v>283</v>
      </c>
      <c r="B196" s="184" t="s">
        <v>500</v>
      </c>
      <c r="C196" s="74" t="s">
        <v>500</v>
      </c>
      <c r="D196" s="180" t="s">
        <v>500</v>
      </c>
      <c r="E196" s="78">
        <f>SUBTOTAL(109,local200001[Program
Costs])</f>
        <v>112301</v>
      </c>
      <c r="F196" s="179">
        <f>SUBTOTAL(109,local200001[Less: Net Payments and Offsets 9])</f>
        <v>0</v>
      </c>
      <c r="G196" s="80" t="s">
        <v>500</v>
      </c>
      <c r="H196" s="78">
        <f>SUBTOTAL(109,local200001[Accounts Payable
Balance])</f>
        <v>112301</v>
      </c>
      <c r="I196" s="179">
        <f>SUBTOTAL(109,local200001[Established
Accounts Receivable])</f>
        <v>0</v>
      </c>
      <c r="J196" s="179">
        <f>SUBTOTAL(109,local200001[Less: Recovered Amount])</f>
        <v>0</v>
      </c>
      <c r="K196" s="179">
        <f>SUBTOTAL(109,local200001[Accounts Receivable
Balance])</f>
        <v>0</v>
      </c>
      <c r="L196" s="78">
        <f>SUBTOTAL(109,local200001[Net
Balance])</f>
        <v>112301</v>
      </c>
    </row>
    <row r="197" spans="1:12" s="3" customFormat="1" ht="14.45" customHeight="1" outlineLevel="2" x14ac:dyDescent="0.2">
      <c r="A197" s="214" t="s">
        <v>508</v>
      </c>
      <c r="B197" s="196"/>
      <c r="D197" s="40"/>
      <c r="E197" s="146"/>
      <c r="F197" s="146"/>
      <c r="G197" s="146"/>
      <c r="H197" s="146"/>
      <c r="I197" s="146"/>
      <c r="J197" s="146"/>
      <c r="K197" s="146"/>
      <c r="L197" s="146"/>
    </row>
    <row r="198" spans="1:12" ht="50.1" customHeight="1" outlineLevel="1" x14ac:dyDescent="0.25">
      <c r="A198" s="176" t="s">
        <v>98</v>
      </c>
      <c r="B198" s="176" t="s">
        <v>99</v>
      </c>
      <c r="C198" s="176" t="s">
        <v>1</v>
      </c>
      <c r="D198" s="176" t="s">
        <v>195</v>
      </c>
      <c r="E198" s="210" t="s">
        <v>188</v>
      </c>
      <c r="F198" s="211" t="s">
        <v>576</v>
      </c>
      <c r="G198" s="212" t="s">
        <v>532</v>
      </c>
      <c r="H198" s="210" t="s">
        <v>528</v>
      </c>
      <c r="I198" s="210" t="s">
        <v>529</v>
      </c>
      <c r="J198" s="210" t="s">
        <v>197</v>
      </c>
      <c r="K198" s="210" t="s">
        <v>530</v>
      </c>
      <c r="L198" s="210" t="s">
        <v>196</v>
      </c>
    </row>
    <row r="199" spans="1:12" ht="14.45" customHeight="1" outlineLevel="2" x14ac:dyDescent="0.25">
      <c r="A199" s="40" t="s">
        <v>284</v>
      </c>
      <c r="B199" s="196" t="s">
        <v>224</v>
      </c>
      <c r="C199" s="3" t="s">
        <v>225</v>
      </c>
      <c r="D199" s="40">
        <v>213</v>
      </c>
      <c r="E199" s="146">
        <v>13692831</v>
      </c>
      <c r="F199" s="146">
        <v>13692379</v>
      </c>
      <c r="G199" s="213" t="s">
        <v>500</v>
      </c>
      <c r="H199" s="146">
        <v>452</v>
      </c>
      <c r="I199" s="146">
        <v>3459493</v>
      </c>
      <c r="J199" s="146">
        <v>3459493</v>
      </c>
      <c r="K199" s="215">
        <v>0</v>
      </c>
      <c r="L199" s="146">
        <v>452</v>
      </c>
    </row>
    <row r="200" spans="1:12" ht="14.45" customHeight="1" outlineLevel="2" x14ac:dyDescent="0.25">
      <c r="A200" s="40" t="s">
        <v>284</v>
      </c>
      <c r="B200" s="196" t="s">
        <v>217</v>
      </c>
      <c r="C200" s="3" t="s">
        <v>218</v>
      </c>
      <c r="D200" s="40">
        <v>289</v>
      </c>
      <c r="E200" s="146">
        <v>32985</v>
      </c>
      <c r="F200" s="215">
        <v>0</v>
      </c>
      <c r="G200" s="213" t="s">
        <v>500</v>
      </c>
      <c r="H200" s="146">
        <v>32985</v>
      </c>
      <c r="I200" s="215">
        <v>0</v>
      </c>
      <c r="J200" s="215">
        <v>0</v>
      </c>
      <c r="K200" s="215">
        <v>0</v>
      </c>
      <c r="L200" s="146">
        <v>32985</v>
      </c>
    </row>
    <row r="201" spans="1:12" outlineLevel="1" x14ac:dyDescent="0.25">
      <c r="A201" s="40" t="s">
        <v>284</v>
      </c>
      <c r="B201" s="196" t="s">
        <v>246</v>
      </c>
      <c r="C201" s="3" t="s">
        <v>247</v>
      </c>
      <c r="D201" s="40">
        <v>124</v>
      </c>
      <c r="E201" s="146">
        <v>811698</v>
      </c>
      <c r="F201" s="146">
        <v>811698</v>
      </c>
      <c r="G201" s="213" t="s">
        <v>500</v>
      </c>
      <c r="H201" s="215">
        <v>0</v>
      </c>
      <c r="I201" s="146">
        <v>1488386</v>
      </c>
      <c r="J201" s="146">
        <v>1402610</v>
      </c>
      <c r="K201" s="146">
        <v>85776</v>
      </c>
      <c r="L201" s="146">
        <v>-85776</v>
      </c>
    </row>
    <row r="202" spans="1:12" ht="14.45" customHeight="1" outlineLevel="2" x14ac:dyDescent="0.25">
      <c r="A202" s="40" t="s">
        <v>284</v>
      </c>
      <c r="B202" s="196" t="s">
        <v>285</v>
      </c>
      <c r="C202" s="3" t="s">
        <v>286</v>
      </c>
      <c r="D202" s="40">
        <v>180</v>
      </c>
      <c r="E202" s="146">
        <v>105659</v>
      </c>
      <c r="F202" s="146">
        <v>105659</v>
      </c>
      <c r="G202" s="213" t="s">
        <v>500</v>
      </c>
      <c r="H202" s="215">
        <v>0</v>
      </c>
      <c r="I202" s="146">
        <v>14707</v>
      </c>
      <c r="J202" s="146">
        <v>13726</v>
      </c>
      <c r="K202" s="146">
        <v>981</v>
      </c>
      <c r="L202" s="146">
        <v>-981</v>
      </c>
    </row>
    <row r="203" spans="1:12" ht="14.45" customHeight="1" outlineLevel="2" x14ac:dyDescent="0.25">
      <c r="A203" s="216" t="s">
        <v>287</v>
      </c>
      <c r="B203" s="184" t="s">
        <v>500</v>
      </c>
      <c r="C203" s="74" t="s">
        <v>500</v>
      </c>
      <c r="D203" s="180" t="s">
        <v>500</v>
      </c>
      <c r="E203" s="78">
        <f>SUBTOTAL(109,local199900[Program
Costs])</f>
        <v>14643173</v>
      </c>
      <c r="F203" s="78">
        <f>SUBTOTAL(109,local199900[Less: Net Payments and Offsets 9])</f>
        <v>14609736</v>
      </c>
      <c r="G203" s="74" t="s">
        <v>500</v>
      </c>
      <c r="H203" s="78">
        <f>SUBTOTAL(109,local199900[Accounts Payable
Balance])</f>
        <v>33437</v>
      </c>
      <c r="I203" s="78">
        <f>SUBTOTAL(109,local199900[Established
Accounts Receivable])</f>
        <v>4962586</v>
      </c>
      <c r="J203" s="78">
        <f>SUBTOTAL(109,local199900[Less: Recovered Amount])</f>
        <v>4875829</v>
      </c>
      <c r="K203" s="78">
        <f>SUBTOTAL(109,local199900[Accounts Receivable
Balance])</f>
        <v>86757</v>
      </c>
      <c r="L203" s="78">
        <f>SUBTOTAL(109,local199900[Net
Balance])</f>
        <v>-53320</v>
      </c>
    </row>
    <row r="204" spans="1:12" s="3" customFormat="1" ht="15.6" customHeight="1" outlineLevel="2" x14ac:dyDescent="0.2">
      <c r="A204" s="214" t="s">
        <v>508</v>
      </c>
      <c r="B204" s="196"/>
      <c r="D204" s="40"/>
      <c r="E204" s="146"/>
      <c r="F204" s="146"/>
      <c r="G204" s="146"/>
      <c r="H204" s="146"/>
      <c r="I204" s="146"/>
      <c r="J204" s="146"/>
      <c r="K204" s="146"/>
      <c r="L204" s="146"/>
    </row>
    <row r="205" spans="1:12" ht="50.1" customHeight="1" outlineLevel="2" x14ac:dyDescent="0.25">
      <c r="A205" s="176" t="s">
        <v>98</v>
      </c>
      <c r="B205" s="176" t="s">
        <v>99</v>
      </c>
      <c r="C205" s="176" t="s">
        <v>1</v>
      </c>
      <c r="D205" s="176" t="s">
        <v>195</v>
      </c>
      <c r="E205" s="210" t="s">
        <v>188</v>
      </c>
      <c r="F205" s="211" t="s">
        <v>576</v>
      </c>
      <c r="G205" s="212" t="s">
        <v>532</v>
      </c>
      <c r="H205" s="210" t="s">
        <v>528</v>
      </c>
      <c r="I205" s="210" t="s">
        <v>529</v>
      </c>
      <c r="J205" s="210" t="s">
        <v>197</v>
      </c>
      <c r="K205" s="210" t="s">
        <v>530</v>
      </c>
      <c r="L205" s="210" t="s">
        <v>196</v>
      </c>
    </row>
    <row r="206" spans="1:12" outlineLevel="1" x14ac:dyDescent="0.25">
      <c r="A206" s="40" t="s">
        <v>288</v>
      </c>
      <c r="B206" s="196" t="s">
        <v>224</v>
      </c>
      <c r="C206" s="3" t="s">
        <v>225</v>
      </c>
      <c r="D206" s="40">
        <v>213</v>
      </c>
      <c r="E206" s="146">
        <v>2654301</v>
      </c>
      <c r="F206" s="146">
        <v>2613916</v>
      </c>
      <c r="G206" s="213" t="s">
        <v>500</v>
      </c>
      <c r="H206" s="146">
        <v>40385</v>
      </c>
      <c r="I206" s="146">
        <v>1280135</v>
      </c>
      <c r="J206" s="146">
        <v>1280135</v>
      </c>
      <c r="K206" s="215">
        <v>0</v>
      </c>
      <c r="L206" s="146">
        <v>40385</v>
      </c>
    </row>
    <row r="207" spans="1:12" outlineLevel="1" x14ac:dyDescent="0.25">
      <c r="A207" s="40" t="s">
        <v>288</v>
      </c>
      <c r="B207" s="196" t="s">
        <v>289</v>
      </c>
      <c r="C207" s="3" t="s">
        <v>211</v>
      </c>
      <c r="D207" s="40">
        <v>49</v>
      </c>
      <c r="E207" s="146">
        <v>5316132</v>
      </c>
      <c r="F207" s="146">
        <v>5316132</v>
      </c>
      <c r="G207" s="213" t="s">
        <v>500</v>
      </c>
      <c r="H207" s="215">
        <v>0</v>
      </c>
      <c r="I207" s="146">
        <v>670665</v>
      </c>
      <c r="J207" s="146">
        <v>669938</v>
      </c>
      <c r="K207" s="146">
        <v>727</v>
      </c>
      <c r="L207" s="146">
        <v>-727</v>
      </c>
    </row>
    <row r="208" spans="1:12" x14ac:dyDescent="0.25">
      <c r="A208" s="40" t="s">
        <v>288</v>
      </c>
      <c r="B208" s="196" t="s">
        <v>290</v>
      </c>
      <c r="C208" s="3" t="s">
        <v>291</v>
      </c>
      <c r="D208" s="40">
        <v>55</v>
      </c>
      <c r="E208" s="146">
        <v>1323819</v>
      </c>
      <c r="F208" s="146">
        <v>1323819</v>
      </c>
      <c r="G208" s="213" t="s">
        <v>500</v>
      </c>
      <c r="H208" s="215">
        <v>0</v>
      </c>
      <c r="I208" s="146">
        <v>647104</v>
      </c>
      <c r="J208" s="146">
        <v>481403</v>
      </c>
      <c r="K208" s="146">
        <v>165701</v>
      </c>
      <c r="L208" s="146">
        <v>-165701</v>
      </c>
    </row>
    <row r="209" spans="1:12" x14ac:dyDescent="0.25">
      <c r="A209" s="216" t="s">
        <v>292</v>
      </c>
      <c r="B209" s="184" t="s">
        <v>500</v>
      </c>
      <c r="C209" s="74" t="s">
        <v>500</v>
      </c>
      <c r="D209" s="180" t="s">
        <v>500</v>
      </c>
      <c r="E209" s="78">
        <f>SUBTOTAL(109,local199899[Program
Costs])</f>
        <v>9294252</v>
      </c>
      <c r="F209" s="78">
        <f>SUBTOTAL(109,local199899[Less: Net Payments and Offsets 9])</f>
        <v>9253867</v>
      </c>
      <c r="G209" s="74" t="s">
        <v>500</v>
      </c>
      <c r="H209" s="78">
        <f>SUBTOTAL(109,local199899[Accounts Payable
Balance])</f>
        <v>40385</v>
      </c>
      <c r="I209" s="78">
        <f>SUBTOTAL(109,local199899[Established
Accounts Receivable])</f>
        <v>2597904</v>
      </c>
      <c r="J209" s="78">
        <f>SUBTOTAL(109,local199899[Less: Recovered Amount])</f>
        <v>2431476</v>
      </c>
      <c r="K209" s="78">
        <f>SUBTOTAL(109,local199899[Accounts Receivable
Balance])</f>
        <v>166428</v>
      </c>
      <c r="L209" s="78">
        <f>SUBTOTAL(109,local199899[Net
Balance])</f>
        <v>-126043</v>
      </c>
    </row>
    <row r="210" spans="1:12" s="3" customFormat="1" ht="15" x14ac:dyDescent="0.2">
      <c r="A210" s="214" t="s">
        <v>508</v>
      </c>
      <c r="B210" s="196"/>
      <c r="D210" s="40"/>
      <c r="E210" s="146"/>
      <c r="F210" s="146"/>
      <c r="G210" s="146"/>
      <c r="H210" s="146"/>
      <c r="I210" s="146"/>
      <c r="J210" s="146"/>
      <c r="K210" s="146"/>
      <c r="L210" s="146"/>
    </row>
    <row r="211" spans="1:12" ht="50.1" customHeight="1" x14ac:dyDescent="0.25">
      <c r="A211" s="176" t="s">
        <v>98</v>
      </c>
      <c r="B211" s="176" t="s">
        <v>99</v>
      </c>
      <c r="C211" s="176" t="s">
        <v>1</v>
      </c>
      <c r="D211" s="176" t="s">
        <v>195</v>
      </c>
      <c r="E211" s="210" t="s">
        <v>188</v>
      </c>
      <c r="F211" s="211" t="s">
        <v>576</v>
      </c>
      <c r="G211" s="212" t="s">
        <v>532</v>
      </c>
      <c r="H211" s="210" t="s">
        <v>528</v>
      </c>
      <c r="I211" s="210" t="s">
        <v>529</v>
      </c>
      <c r="J211" s="210" t="s">
        <v>197</v>
      </c>
      <c r="K211" s="210" t="s">
        <v>530</v>
      </c>
      <c r="L211" s="210" t="s">
        <v>196</v>
      </c>
    </row>
    <row r="212" spans="1:12" x14ac:dyDescent="0.25">
      <c r="A212" s="40" t="s">
        <v>293</v>
      </c>
      <c r="B212" s="196" t="s">
        <v>219</v>
      </c>
      <c r="C212" s="3" t="s">
        <v>220</v>
      </c>
      <c r="D212" s="40">
        <v>41</v>
      </c>
      <c r="E212" s="146">
        <v>3841394</v>
      </c>
      <c r="F212" s="146">
        <v>3841394</v>
      </c>
      <c r="G212" s="213" t="s">
        <v>500</v>
      </c>
      <c r="H212" s="215">
        <v>0</v>
      </c>
      <c r="I212" s="146">
        <v>230325</v>
      </c>
      <c r="J212" s="146">
        <v>229212</v>
      </c>
      <c r="K212" s="146">
        <v>1113</v>
      </c>
      <c r="L212" s="146">
        <v>-1113</v>
      </c>
    </row>
    <row r="213" spans="1:12" x14ac:dyDescent="0.25">
      <c r="A213" s="40" t="s">
        <v>293</v>
      </c>
      <c r="B213" s="196" t="s">
        <v>289</v>
      </c>
      <c r="C213" s="3" t="s">
        <v>211</v>
      </c>
      <c r="D213" s="40">
        <v>49</v>
      </c>
      <c r="E213" s="146">
        <v>4707412</v>
      </c>
      <c r="F213" s="146">
        <v>4707412</v>
      </c>
      <c r="G213" s="213" t="s">
        <v>500</v>
      </c>
      <c r="H213" s="215">
        <v>0</v>
      </c>
      <c r="I213" s="146">
        <v>183902</v>
      </c>
      <c r="J213" s="146">
        <v>183169</v>
      </c>
      <c r="K213" s="146">
        <v>733</v>
      </c>
      <c r="L213" s="146">
        <v>-733</v>
      </c>
    </row>
    <row r="214" spans="1:12" x14ac:dyDescent="0.25">
      <c r="A214" s="216" t="s">
        <v>294</v>
      </c>
      <c r="B214" s="184" t="s">
        <v>500</v>
      </c>
      <c r="C214" s="74" t="s">
        <v>500</v>
      </c>
      <c r="D214" s="180" t="s">
        <v>500</v>
      </c>
      <c r="E214" s="78">
        <f>SUBTOTAL(109,local199798[Program
Costs])</f>
        <v>8548806</v>
      </c>
      <c r="F214" s="78">
        <f>SUBTOTAL(109,local199798[Less: Net Payments and Offsets 9])</f>
        <v>8548806</v>
      </c>
      <c r="G214" s="74" t="s">
        <v>500</v>
      </c>
      <c r="H214" s="179">
        <f>SUBTOTAL(109,local199798[Accounts Payable
Balance])</f>
        <v>0</v>
      </c>
      <c r="I214" s="78">
        <f>SUBTOTAL(109,local199798[Established
Accounts Receivable])</f>
        <v>414227</v>
      </c>
      <c r="J214" s="78">
        <f>SUBTOTAL(109,local199798[Less: Recovered Amount])</f>
        <v>412381</v>
      </c>
      <c r="K214" s="78">
        <f>SUBTOTAL(109,local199798[Accounts Receivable
Balance])</f>
        <v>1846</v>
      </c>
      <c r="L214" s="78">
        <f>SUBTOTAL(109,local199798[Net
Balance])</f>
        <v>-1846</v>
      </c>
    </row>
    <row r="215" spans="1:12" s="3" customFormat="1" ht="15" x14ac:dyDescent="0.2">
      <c r="A215" s="214" t="s">
        <v>508</v>
      </c>
      <c r="B215" s="196"/>
      <c r="D215" s="40"/>
      <c r="E215" s="146"/>
      <c r="F215" s="146"/>
      <c r="G215" s="146"/>
      <c r="H215" s="146"/>
      <c r="I215" s="146"/>
      <c r="J215" s="146"/>
      <c r="K215" s="146"/>
      <c r="L215" s="146"/>
    </row>
    <row r="216" spans="1:12" ht="50.1" customHeight="1" x14ac:dyDescent="0.25">
      <c r="A216" s="176" t="s">
        <v>98</v>
      </c>
      <c r="B216" s="176" t="s">
        <v>99</v>
      </c>
      <c r="C216" s="176" t="s">
        <v>1</v>
      </c>
      <c r="D216" s="176" t="s">
        <v>195</v>
      </c>
      <c r="E216" s="210" t="s">
        <v>188</v>
      </c>
      <c r="F216" s="211" t="s">
        <v>576</v>
      </c>
      <c r="G216" s="212" t="s">
        <v>532</v>
      </c>
      <c r="H216" s="210" t="s">
        <v>528</v>
      </c>
      <c r="I216" s="210" t="s">
        <v>529</v>
      </c>
      <c r="J216" s="210" t="s">
        <v>197</v>
      </c>
      <c r="K216" s="210" t="s">
        <v>530</v>
      </c>
      <c r="L216" s="210" t="s">
        <v>196</v>
      </c>
    </row>
    <row r="217" spans="1:12" x14ac:dyDescent="0.25">
      <c r="A217" s="40" t="s">
        <v>295</v>
      </c>
      <c r="B217" s="196" t="s">
        <v>219</v>
      </c>
      <c r="C217" s="3" t="s">
        <v>220</v>
      </c>
      <c r="D217" s="40">
        <v>41</v>
      </c>
      <c r="E217" s="146">
        <v>3560480</v>
      </c>
      <c r="F217" s="146">
        <v>3560480</v>
      </c>
      <c r="G217" s="213" t="s">
        <v>500</v>
      </c>
      <c r="H217" s="215">
        <v>0</v>
      </c>
      <c r="I217" s="146">
        <v>319940</v>
      </c>
      <c r="J217" s="146">
        <v>319763</v>
      </c>
      <c r="K217" s="146">
        <v>177</v>
      </c>
      <c r="L217" s="146">
        <v>-177</v>
      </c>
    </row>
    <row r="218" spans="1:12" x14ac:dyDescent="0.25">
      <c r="A218" s="216" t="s">
        <v>296</v>
      </c>
      <c r="B218" s="184" t="s">
        <v>500</v>
      </c>
      <c r="C218" s="74" t="s">
        <v>500</v>
      </c>
      <c r="D218" s="180" t="s">
        <v>500</v>
      </c>
      <c r="E218" s="78">
        <f>SUBTOTAL(109,local199697[Program
Costs])</f>
        <v>3560480</v>
      </c>
      <c r="F218" s="78">
        <f>SUBTOTAL(109,local199697[Less: Net Payments and Offsets 9])</f>
        <v>3560480</v>
      </c>
      <c r="G218" s="74" t="s">
        <v>500</v>
      </c>
      <c r="H218" s="179">
        <f>SUBTOTAL(109,local199697[Accounts Payable
Balance])</f>
        <v>0</v>
      </c>
      <c r="I218" s="78">
        <f>SUBTOTAL(109,local199697[Established
Accounts Receivable])</f>
        <v>319940</v>
      </c>
      <c r="J218" s="78">
        <f>SUBTOTAL(109,local199697[Less: Recovered Amount])</f>
        <v>319763</v>
      </c>
      <c r="K218" s="78">
        <f>SUBTOTAL(109,local199697[Accounts Receivable
Balance])</f>
        <v>177</v>
      </c>
      <c r="L218" s="78">
        <f>SUBTOTAL(109,local199697[Net
Balance])</f>
        <v>-177</v>
      </c>
    </row>
    <row r="219" spans="1:12" s="3" customFormat="1" ht="15" x14ac:dyDescent="0.2">
      <c r="A219" s="214" t="s">
        <v>508</v>
      </c>
      <c r="B219" s="196"/>
      <c r="D219" s="40"/>
      <c r="E219" s="146"/>
      <c r="F219" s="146"/>
      <c r="G219" s="146"/>
      <c r="H219" s="146"/>
      <c r="I219" s="146"/>
      <c r="J219" s="146"/>
      <c r="K219" s="146"/>
      <c r="L219" s="146"/>
    </row>
    <row r="220" spans="1:12" ht="50.1" customHeight="1" x14ac:dyDescent="0.25">
      <c r="A220" s="176" t="s">
        <v>98</v>
      </c>
      <c r="B220" s="176" t="s">
        <v>99</v>
      </c>
      <c r="C220" s="176" t="s">
        <v>1</v>
      </c>
      <c r="D220" s="176" t="s">
        <v>195</v>
      </c>
      <c r="E220" s="210" t="s">
        <v>188</v>
      </c>
      <c r="F220" s="211" t="s">
        <v>576</v>
      </c>
      <c r="G220" s="212" t="s">
        <v>532</v>
      </c>
      <c r="H220" s="210" t="s">
        <v>528</v>
      </c>
      <c r="I220" s="210" t="s">
        <v>529</v>
      </c>
      <c r="J220" s="210" t="s">
        <v>197</v>
      </c>
      <c r="K220" s="210" t="s">
        <v>530</v>
      </c>
      <c r="L220" s="210" t="s">
        <v>196</v>
      </c>
    </row>
    <row r="221" spans="1:12" x14ac:dyDescent="0.25">
      <c r="A221" s="40" t="s">
        <v>297</v>
      </c>
      <c r="B221" s="196" t="s">
        <v>219</v>
      </c>
      <c r="C221" s="3" t="s">
        <v>220</v>
      </c>
      <c r="D221" s="40">
        <v>41</v>
      </c>
      <c r="E221" s="146">
        <v>2968144</v>
      </c>
      <c r="F221" s="146">
        <v>2968144</v>
      </c>
      <c r="G221" s="213" t="s">
        <v>500</v>
      </c>
      <c r="H221" s="146">
        <v>0</v>
      </c>
      <c r="I221" s="146">
        <v>661263</v>
      </c>
      <c r="J221" s="146">
        <v>657646</v>
      </c>
      <c r="K221" s="146">
        <v>3617</v>
      </c>
      <c r="L221" s="146">
        <v>-3617</v>
      </c>
    </row>
    <row r="222" spans="1:12" x14ac:dyDescent="0.25">
      <c r="A222" s="40" t="s">
        <v>297</v>
      </c>
      <c r="B222" s="196" t="s">
        <v>289</v>
      </c>
      <c r="C222" s="3" t="s">
        <v>211</v>
      </c>
      <c r="D222" s="40">
        <v>49</v>
      </c>
      <c r="E222" s="146">
        <v>3690222</v>
      </c>
      <c r="F222" s="146">
        <v>3690222</v>
      </c>
      <c r="G222" s="213" t="s">
        <v>500</v>
      </c>
      <c r="H222" s="146">
        <v>0</v>
      </c>
      <c r="I222" s="146">
        <v>870559</v>
      </c>
      <c r="J222" s="146">
        <v>867771</v>
      </c>
      <c r="K222" s="146">
        <v>2788</v>
      </c>
      <c r="L222" s="146">
        <v>-2788</v>
      </c>
    </row>
    <row r="223" spans="1:12" x14ac:dyDescent="0.25">
      <c r="A223" s="216" t="s">
        <v>298</v>
      </c>
      <c r="B223" s="184" t="s">
        <v>500</v>
      </c>
      <c r="C223" s="74" t="s">
        <v>500</v>
      </c>
      <c r="D223" s="180" t="s">
        <v>500</v>
      </c>
      <c r="E223" s="78">
        <f>SUBTOTAL(109,local199596[Program
Costs])</f>
        <v>6658366</v>
      </c>
      <c r="F223" s="78">
        <f>SUBTOTAL(109,local199596[Less: Net Payments and Offsets 9])</f>
        <v>6658366</v>
      </c>
      <c r="G223" s="74" t="s">
        <v>500</v>
      </c>
      <c r="H223" s="78">
        <f>SUBTOTAL(109,local199596[Accounts Payable
Balance])</f>
        <v>0</v>
      </c>
      <c r="I223" s="78">
        <f>SUBTOTAL(109,local199596[Established
Accounts Receivable])</f>
        <v>1531822</v>
      </c>
      <c r="J223" s="78">
        <f>SUBTOTAL(109,local199596[Less: Recovered Amount])</f>
        <v>1525417</v>
      </c>
      <c r="K223" s="78">
        <f>SUBTOTAL(109,local199596[Accounts Receivable
Balance])</f>
        <v>6405</v>
      </c>
      <c r="L223" s="78">
        <f>SUBTOTAL(109,local199596[Net
Balance])</f>
        <v>-6405</v>
      </c>
    </row>
    <row r="224" spans="1:12" s="3" customFormat="1" ht="15" x14ac:dyDescent="0.2">
      <c r="A224" s="214" t="s">
        <v>508</v>
      </c>
      <c r="B224" s="196"/>
      <c r="D224" s="40"/>
      <c r="E224" s="146"/>
      <c r="F224" s="146"/>
      <c r="G224" s="146"/>
      <c r="H224" s="146"/>
      <c r="I224" s="146"/>
      <c r="J224" s="146"/>
      <c r="K224" s="146"/>
      <c r="L224" s="146"/>
    </row>
    <row r="225" spans="1:12" ht="50.1" customHeight="1" x14ac:dyDescent="0.25">
      <c r="A225" s="176" t="s">
        <v>98</v>
      </c>
      <c r="B225" s="176" t="s">
        <v>99</v>
      </c>
      <c r="C225" s="176" t="s">
        <v>1</v>
      </c>
      <c r="D225" s="176" t="s">
        <v>195</v>
      </c>
      <c r="E225" s="210" t="s">
        <v>188</v>
      </c>
      <c r="F225" s="211" t="s">
        <v>576</v>
      </c>
      <c r="G225" s="212" t="s">
        <v>532</v>
      </c>
      <c r="H225" s="210" t="s">
        <v>528</v>
      </c>
      <c r="I225" s="210" t="s">
        <v>529</v>
      </c>
      <c r="J225" s="210" t="s">
        <v>197</v>
      </c>
      <c r="K225" s="210" t="s">
        <v>530</v>
      </c>
      <c r="L225" s="210" t="s">
        <v>196</v>
      </c>
    </row>
    <row r="226" spans="1:12" x14ac:dyDescent="0.25">
      <c r="A226" s="40" t="s">
        <v>299</v>
      </c>
      <c r="B226" s="196" t="s">
        <v>219</v>
      </c>
      <c r="C226" s="3" t="s">
        <v>220</v>
      </c>
      <c r="D226" s="40">
        <v>41</v>
      </c>
      <c r="E226" s="146">
        <v>3097183</v>
      </c>
      <c r="F226" s="146">
        <v>3097183</v>
      </c>
      <c r="G226" s="213" t="s">
        <v>500</v>
      </c>
      <c r="H226" s="215">
        <v>0</v>
      </c>
      <c r="I226" s="146">
        <v>201105</v>
      </c>
      <c r="J226" s="146">
        <v>200520</v>
      </c>
      <c r="K226" s="146">
        <v>585</v>
      </c>
      <c r="L226" s="146">
        <v>-585</v>
      </c>
    </row>
    <row r="227" spans="1:12" x14ac:dyDescent="0.25">
      <c r="A227" s="216" t="s">
        <v>300</v>
      </c>
      <c r="B227" s="184" t="s">
        <v>500</v>
      </c>
      <c r="C227" s="74" t="s">
        <v>500</v>
      </c>
      <c r="D227" s="180" t="s">
        <v>500</v>
      </c>
      <c r="E227" s="78">
        <f>SUBTOTAL(109,local199495[Program
Costs])</f>
        <v>3097183</v>
      </c>
      <c r="F227" s="78">
        <f>SUBTOTAL(109,local199495[Less: Net Payments and Offsets 9])</f>
        <v>3097183</v>
      </c>
      <c r="G227" s="74" t="s">
        <v>500</v>
      </c>
      <c r="H227" s="179">
        <f>SUBTOTAL(109,local199495[Accounts Payable
Balance])</f>
        <v>0</v>
      </c>
      <c r="I227" s="78">
        <f>SUBTOTAL(109,local199495[Established
Accounts Receivable])</f>
        <v>201105</v>
      </c>
      <c r="J227" s="78">
        <f>SUBTOTAL(109,local199495[Less: Recovered Amount])</f>
        <v>200520</v>
      </c>
      <c r="K227" s="78">
        <f>SUBTOTAL(109,local199495[Accounts Receivable
Balance])</f>
        <v>585</v>
      </c>
      <c r="L227" s="78">
        <f>SUBTOTAL(109,local199495[Net
Balance])</f>
        <v>-585</v>
      </c>
    </row>
    <row r="228" spans="1:12" s="3" customFormat="1" ht="15" x14ac:dyDescent="0.2">
      <c r="A228" s="214" t="s">
        <v>508</v>
      </c>
      <c r="B228" s="196"/>
      <c r="D228" s="40"/>
      <c r="E228" s="146"/>
      <c r="F228" s="146"/>
      <c r="G228" s="146"/>
      <c r="H228" s="146"/>
      <c r="I228" s="146"/>
      <c r="J228" s="146"/>
      <c r="K228" s="146"/>
      <c r="L228" s="146"/>
    </row>
    <row r="229" spans="1:12" ht="50.1" customHeight="1" x14ac:dyDescent="0.25">
      <c r="A229" s="176" t="s">
        <v>98</v>
      </c>
      <c r="B229" s="176" t="s">
        <v>99</v>
      </c>
      <c r="C229" s="176" t="s">
        <v>1</v>
      </c>
      <c r="D229" s="176" t="s">
        <v>195</v>
      </c>
      <c r="E229" s="210" t="s">
        <v>188</v>
      </c>
      <c r="F229" s="211" t="s">
        <v>576</v>
      </c>
      <c r="G229" s="212" t="s">
        <v>532</v>
      </c>
      <c r="H229" s="210" t="s">
        <v>528</v>
      </c>
      <c r="I229" s="210" t="s">
        <v>529</v>
      </c>
      <c r="J229" s="210" t="s">
        <v>197</v>
      </c>
      <c r="K229" s="210" t="s">
        <v>530</v>
      </c>
      <c r="L229" s="210" t="s">
        <v>196</v>
      </c>
    </row>
    <row r="230" spans="1:12" x14ac:dyDescent="0.25">
      <c r="A230" s="40" t="s">
        <v>301</v>
      </c>
      <c r="B230" s="196" t="s">
        <v>289</v>
      </c>
      <c r="C230" s="3" t="s">
        <v>211</v>
      </c>
      <c r="D230" s="40">
        <v>49</v>
      </c>
      <c r="E230" s="146">
        <v>4970992</v>
      </c>
      <c r="F230" s="146">
        <v>4970992</v>
      </c>
      <c r="G230" s="213" t="s">
        <v>500</v>
      </c>
      <c r="H230" s="215">
        <v>0</v>
      </c>
      <c r="I230" s="146">
        <v>713</v>
      </c>
      <c r="J230" s="215">
        <v>0</v>
      </c>
      <c r="K230" s="146">
        <v>713</v>
      </c>
      <c r="L230" s="146">
        <v>-713</v>
      </c>
    </row>
    <row r="231" spans="1:12" x14ac:dyDescent="0.25">
      <c r="A231" s="40" t="s">
        <v>301</v>
      </c>
      <c r="B231" s="228" t="s">
        <v>302</v>
      </c>
      <c r="C231" s="229" t="s">
        <v>303</v>
      </c>
      <c r="D231" s="230">
        <v>24</v>
      </c>
      <c r="E231" s="146">
        <v>722127</v>
      </c>
      <c r="F231" s="146">
        <v>722127</v>
      </c>
      <c r="G231" s="213" t="s">
        <v>500</v>
      </c>
      <c r="H231" s="215">
        <v>0</v>
      </c>
      <c r="I231" s="146">
        <v>2253</v>
      </c>
      <c r="J231" s="215">
        <v>0</v>
      </c>
      <c r="K231" s="146">
        <v>2253</v>
      </c>
      <c r="L231" s="146">
        <v>-2253</v>
      </c>
    </row>
    <row r="232" spans="1:12" x14ac:dyDescent="0.25">
      <c r="A232" s="216" t="s">
        <v>304</v>
      </c>
      <c r="B232" s="184" t="s">
        <v>500</v>
      </c>
      <c r="C232" s="74" t="s">
        <v>500</v>
      </c>
      <c r="D232" s="180" t="s">
        <v>500</v>
      </c>
      <c r="E232" s="78">
        <f>SUBTOTAL(109,local199293[Program
Costs])</f>
        <v>5693119</v>
      </c>
      <c r="F232" s="78">
        <f>SUBTOTAL(109,local199293[Less: Net Payments and Offsets 9])</f>
        <v>5693119</v>
      </c>
      <c r="G232" s="74" t="s">
        <v>500</v>
      </c>
      <c r="H232" s="179">
        <f>SUBTOTAL(109,local199293[Accounts Payable
Balance])</f>
        <v>0</v>
      </c>
      <c r="I232" s="78">
        <f>SUBTOTAL(109,local199293[Established
Accounts Receivable])</f>
        <v>2966</v>
      </c>
      <c r="J232" s="179">
        <f>SUBTOTAL(109,local199293[Less: Recovered Amount])</f>
        <v>0</v>
      </c>
      <c r="K232" s="78">
        <f>SUBTOTAL(109,local199293[Accounts Receivable
Balance])</f>
        <v>2966</v>
      </c>
      <c r="L232" s="78">
        <f>SUBTOTAL(109,local199293[Net
Balance])</f>
        <v>-2966</v>
      </c>
    </row>
    <row r="233" spans="1:12" s="3" customFormat="1" ht="15" x14ac:dyDescent="0.2">
      <c r="A233" s="214" t="s">
        <v>508</v>
      </c>
      <c r="B233" s="196"/>
      <c r="D233" s="40"/>
      <c r="E233" s="146"/>
      <c r="F233" s="146"/>
      <c r="G233" s="146"/>
      <c r="H233" s="146"/>
      <c r="I233" s="146"/>
      <c r="J233" s="146"/>
      <c r="K233" s="146"/>
      <c r="L233" s="146"/>
    </row>
    <row r="234" spans="1:12" ht="50.1" customHeight="1" x14ac:dyDescent="0.25">
      <c r="A234" s="176" t="s">
        <v>98</v>
      </c>
      <c r="B234" s="176" t="s">
        <v>99</v>
      </c>
      <c r="C234" s="176" t="s">
        <v>1</v>
      </c>
      <c r="D234" s="176" t="s">
        <v>195</v>
      </c>
      <c r="E234" s="210" t="s">
        <v>188</v>
      </c>
      <c r="F234" s="211" t="s">
        <v>576</v>
      </c>
      <c r="G234" s="212" t="s">
        <v>532</v>
      </c>
      <c r="H234" s="210" t="s">
        <v>528</v>
      </c>
      <c r="I234" s="210" t="s">
        <v>529</v>
      </c>
      <c r="J234" s="210" t="s">
        <v>197</v>
      </c>
      <c r="K234" s="210" t="s">
        <v>530</v>
      </c>
      <c r="L234" s="210" t="s">
        <v>196</v>
      </c>
    </row>
    <row r="235" spans="1:12" x14ac:dyDescent="0.25">
      <c r="A235" s="40" t="s">
        <v>305</v>
      </c>
      <c r="B235" s="196" t="s">
        <v>219</v>
      </c>
      <c r="C235" s="3" t="s">
        <v>220</v>
      </c>
      <c r="D235" s="40">
        <v>41</v>
      </c>
      <c r="E235" s="146">
        <v>2102143</v>
      </c>
      <c r="F235" s="146">
        <v>2102143</v>
      </c>
      <c r="G235" s="213" t="s">
        <v>500</v>
      </c>
      <c r="H235" s="215">
        <v>0</v>
      </c>
      <c r="I235" s="146">
        <v>153432</v>
      </c>
      <c r="J235" s="146">
        <v>114504</v>
      </c>
      <c r="K235" s="146">
        <v>38928</v>
      </c>
      <c r="L235" s="146">
        <v>-38928</v>
      </c>
    </row>
    <row r="236" spans="1:12" x14ac:dyDescent="0.25">
      <c r="A236" s="40" t="s">
        <v>305</v>
      </c>
      <c r="B236" s="196" t="s">
        <v>289</v>
      </c>
      <c r="C236" s="3" t="s">
        <v>211</v>
      </c>
      <c r="D236" s="40">
        <v>49</v>
      </c>
      <c r="E236" s="146">
        <v>5350067</v>
      </c>
      <c r="F236" s="146">
        <v>5350067</v>
      </c>
      <c r="G236" s="213" t="s">
        <v>500</v>
      </c>
      <c r="H236" s="215">
        <v>0</v>
      </c>
      <c r="I236" s="146">
        <v>48328</v>
      </c>
      <c r="J236" s="146">
        <v>47747</v>
      </c>
      <c r="K236" s="146">
        <v>581</v>
      </c>
      <c r="L236" s="146">
        <v>-581</v>
      </c>
    </row>
    <row r="237" spans="1:12" ht="30.75" x14ac:dyDescent="0.25">
      <c r="A237" s="40" t="s">
        <v>305</v>
      </c>
      <c r="B237" s="196" t="s">
        <v>306</v>
      </c>
      <c r="C237" s="3" t="s">
        <v>307</v>
      </c>
      <c r="D237" s="40">
        <v>64</v>
      </c>
      <c r="E237" s="146">
        <v>7349099</v>
      </c>
      <c r="F237" s="146">
        <v>7349099</v>
      </c>
      <c r="G237" s="213" t="s">
        <v>500</v>
      </c>
      <c r="H237" s="215">
        <v>0</v>
      </c>
      <c r="I237" s="146">
        <v>293279</v>
      </c>
      <c r="J237" s="146">
        <v>284557</v>
      </c>
      <c r="K237" s="146">
        <v>8722</v>
      </c>
      <c r="L237" s="146">
        <v>-8722</v>
      </c>
    </row>
    <row r="238" spans="1:12" x14ac:dyDescent="0.25">
      <c r="A238" s="216" t="s">
        <v>308</v>
      </c>
      <c r="B238" s="184" t="s">
        <v>500</v>
      </c>
      <c r="C238" s="74" t="s">
        <v>500</v>
      </c>
      <c r="D238" s="180" t="s">
        <v>500</v>
      </c>
      <c r="E238" s="78">
        <f>SUBTOTAL(109,local199192[Program
Costs])</f>
        <v>14801309</v>
      </c>
      <c r="F238" s="78">
        <f>SUBTOTAL(109,local199192[Less: Net Payments and Offsets 9])</f>
        <v>14801309</v>
      </c>
      <c r="G238" s="74" t="s">
        <v>500</v>
      </c>
      <c r="H238" s="179">
        <f>SUBTOTAL(109,local199192[Accounts Payable
Balance])</f>
        <v>0</v>
      </c>
      <c r="I238" s="78">
        <f>SUBTOTAL(109,local199192[Established
Accounts Receivable])</f>
        <v>495039</v>
      </c>
      <c r="J238" s="78">
        <f>SUBTOTAL(109,local199192[Less: Recovered Amount])</f>
        <v>446808</v>
      </c>
      <c r="K238" s="78">
        <f>SUBTOTAL(109,local199192[Accounts Receivable
Balance])</f>
        <v>48231</v>
      </c>
      <c r="L238" s="78">
        <f>SUBTOTAL(109,local199192[Net
Balance])</f>
        <v>-48231</v>
      </c>
    </row>
    <row r="239" spans="1:12" s="3" customFormat="1" ht="15" x14ac:dyDescent="0.2">
      <c r="A239" s="214" t="s">
        <v>508</v>
      </c>
      <c r="B239" s="196"/>
      <c r="D239" s="40"/>
      <c r="E239" s="146"/>
      <c r="F239" s="146"/>
      <c r="G239" s="146"/>
      <c r="H239" s="146"/>
      <c r="I239" s="146"/>
      <c r="J239" s="146"/>
      <c r="K239" s="146"/>
      <c r="L239" s="146"/>
    </row>
    <row r="240" spans="1:12" s="3" customFormat="1" ht="50.1" customHeight="1" x14ac:dyDescent="0.25">
      <c r="A240" s="176" t="s">
        <v>98</v>
      </c>
      <c r="B240" s="176" t="s">
        <v>99</v>
      </c>
      <c r="C240" s="176" t="s">
        <v>1</v>
      </c>
      <c r="D240" s="176" t="s">
        <v>195</v>
      </c>
      <c r="E240" s="210" t="s">
        <v>188</v>
      </c>
      <c r="F240" s="211" t="s">
        <v>576</v>
      </c>
      <c r="G240" s="212" t="s">
        <v>532</v>
      </c>
      <c r="H240" s="210" t="s">
        <v>528</v>
      </c>
      <c r="I240" s="210" t="s">
        <v>529</v>
      </c>
      <c r="J240" s="210" t="s">
        <v>197</v>
      </c>
      <c r="K240" s="210" t="s">
        <v>530</v>
      </c>
      <c r="L240" s="210" t="s">
        <v>196</v>
      </c>
    </row>
    <row r="241" spans="1:12" s="3" customFormat="1" ht="15" x14ac:dyDescent="0.2">
      <c r="A241" s="40" t="s">
        <v>165</v>
      </c>
      <c r="B241" s="57" t="s">
        <v>500</v>
      </c>
      <c r="C241" s="57" t="s">
        <v>500</v>
      </c>
      <c r="D241" s="57" t="s">
        <v>500</v>
      </c>
      <c r="E241" s="146">
        <v>26145443</v>
      </c>
      <c r="F241" s="146">
        <v>9965150</v>
      </c>
      <c r="G241" s="57" t="s">
        <v>500</v>
      </c>
      <c r="H241" s="146">
        <v>16180293</v>
      </c>
      <c r="I241" s="146">
        <v>5269</v>
      </c>
      <c r="J241" s="215">
        <v>0</v>
      </c>
      <c r="K241" s="146">
        <v>5269</v>
      </c>
      <c r="L241" s="146">
        <v>16175024</v>
      </c>
    </row>
    <row r="242" spans="1:12" s="3" customFormat="1" ht="15" x14ac:dyDescent="0.2">
      <c r="A242" s="40" t="s">
        <v>16</v>
      </c>
      <c r="B242" s="57" t="s">
        <v>500</v>
      </c>
      <c r="C242" s="57" t="s">
        <v>500</v>
      </c>
      <c r="D242" s="57" t="s">
        <v>500</v>
      </c>
      <c r="E242" s="146">
        <v>21058965</v>
      </c>
      <c r="F242" s="146">
        <v>13725428</v>
      </c>
      <c r="G242" s="57" t="s">
        <v>500</v>
      </c>
      <c r="H242" s="146">
        <v>7333537</v>
      </c>
      <c r="I242" s="146">
        <v>34893</v>
      </c>
      <c r="J242" s="146">
        <v>32185</v>
      </c>
      <c r="K242" s="146">
        <v>2708</v>
      </c>
      <c r="L242" s="146">
        <v>7330829</v>
      </c>
    </row>
    <row r="243" spans="1:12" s="3" customFormat="1" ht="15" x14ac:dyDescent="0.2">
      <c r="A243" s="40" t="s">
        <v>18</v>
      </c>
      <c r="B243" s="57" t="s">
        <v>500</v>
      </c>
      <c r="C243" s="57" t="s">
        <v>500</v>
      </c>
      <c r="D243" s="57" t="s">
        <v>500</v>
      </c>
      <c r="E243" s="146">
        <v>9602191</v>
      </c>
      <c r="F243" s="146">
        <v>3390131</v>
      </c>
      <c r="G243" s="57" t="s">
        <v>500</v>
      </c>
      <c r="H243" s="146">
        <v>6212060</v>
      </c>
      <c r="I243" s="146">
        <v>1211</v>
      </c>
      <c r="J243" s="146">
        <v>711</v>
      </c>
      <c r="K243" s="146">
        <v>500</v>
      </c>
      <c r="L243" s="146">
        <v>6211560</v>
      </c>
    </row>
    <row r="244" spans="1:12" s="3" customFormat="1" ht="15" x14ac:dyDescent="0.2">
      <c r="A244" s="40" t="s">
        <v>14</v>
      </c>
      <c r="B244" s="57" t="s">
        <v>500</v>
      </c>
      <c r="C244" s="57" t="s">
        <v>500</v>
      </c>
      <c r="D244" s="57" t="s">
        <v>500</v>
      </c>
      <c r="E244" s="146">
        <v>6781918</v>
      </c>
      <c r="F244" s="215">
        <v>0</v>
      </c>
      <c r="G244" s="57" t="s">
        <v>500</v>
      </c>
      <c r="H244" s="146">
        <v>6781918</v>
      </c>
      <c r="I244" s="215">
        <v>0</v>
      </c>
      <c r="J244" s="215">
        <v>0</v>
      </c>
      <c r="K244" s="215">
        <v>0</v>
      </c>
      <c r="L244" s="146">
        <v>6781918</v>
      </c>
    </row>
    <row r="245" spans="1:12" s="3" customFormat="1" ht="15" x14ac:dyDescent="0.2">
      <c r="A245" s="40" t="s">
        <v>206</v>
      </c>
      <c r="B245" s="57" t="s">
        <v>500</v>
      </c>
      <c r="C245" s="57" t="s">
        <v>500</v>
      </c>
      <c r="D245" s="57" t="s">
        <v>500</v>
      </c>
      <c r="E245" s="146">
        <v>6118565</v>
      </c>
      <c r="F245" s="215">
        <v>0</v>
      </c>
      <c r="G245" s="57" t="s">
        <v>500</v>
      </c>
      <c r="H245" s="146">
        <v>6118565</v>
      </c>
      <c r="I245" s="215">
        <v>0</v>
      </c>
      <c r="J245" s="215">
        <v>0</v>
      </c>
      <c r="K245" s="215">
        <v>0</v>
      </c>
      <c r="L245" s="146">
        <v>6118565</v>
      </c>
    </row>
    <row r="246" spans="1:12" s="3" customFormat="1" ht="15" x14ac:dyDescent="0.2">
      <c r="A246" s="40" t="s">
        <v>183</v>
      </c>
      <c r="B246" s="57" t="s">
        <v>500</v>
      </c>
      <c r="C246" s="57" t="s">
        <v>500</v>
      </c>
      <c r="D246" s="57" t="s">
        <v>500</v>
      </c>
      <c r="E246" s="146">
        <v>13840547</v>
      </c>
      <c r="F246" s="146">
        <v>7825991</v>
      </c>
      <c r="G246" s="57" t="s">
        <v>500</v>
      </c>
      <c r="H246" s="146">
        <v>6014556</v>
      </c>
      <c r="I246" s="146">
        <v>132637</v>
      </c>
      <c r="J246" s="146">
        <v>98973</v>
      </c>
      <c r="K246" s="146">
        <v>33664</v>
      </c>
      <c r="L246" s="146">
        <v>5980892</v>
      </c>
    </row>
    <row r="247" spans="1:12" s="3" customFormat="1" ht="15" x14ac:dyDescent="0.2">
      <c r="A247" s="40" t="s">
        <v>184</v>
      </c>
      <c r="B247" s="57" t="s">
        <v>500</v>
      </c>
      <c r="C247" s="57" t="s">
        <v>500</v>
      </c>
      <c r="D247" s="57" t="s">
        <v>500</v>
      </c>
      <c r="E247" s="146">
        <v>5461966</v>
      </c>
      <c r="F247" s="215">
        <v>0</v>
      </c>
      <c r="G247" s="57" t="s">
        <v>500</v>
      </c>
      <c r="H247" s="146">
        <v>5461966</v>
      </c>
      <c r="I247" s="215">
        <v>0</v>
      </c>
      <c r="J247" s="215">
        <v>0</v>
      </c>
      <c r="K247" s="215">
        <v>0</v>
      </c>
      <c r="L247" s="146">
        <v>5461966</v>
      </c>
    </row>
    <row r="248" spans="1:12" s="3" customFormat="1" ht="15" x14ac:dyDescent="0.2">
      <c r="A248" s="40" t="s">
        <v>185</v>
      </c>
      <c r="B248" s="57" t="s">
        <v>500</v>
      </c>
      <c r="C248" s="57" t="s">
        <v>500</v>
      </c>
      <c r="D248" s="57" t="s">
        <v>500</v>
      </c>
      <c r="E248" s="146">
        <v>19877720</v>
      </c>
      <c r="F248" s="215">
        <v>0</v>
      </c>
      <c r="G248" s="57" t="s">
        <v>500</v>
      </c>
      <c r="H248" s="146">
        <v>19877720</v>
      </c>
      <c r="I248" s="215">
        <v>0</v>
      </c>
      <c r="J248" s="215">
        <v>0</v>
      </c>
      <c r="K248" s="215">
        <v>0</v>
      </c>
      <c r="L248" s="146">
        <v>19877720</v>
      </c>
    </row>
    <row r="249" spans="1:12" s="3" customFormat="1" ht="15" x14ac:dyDescent="0.2">
      <c r="A249" s="40" t="s">
        <v>84</v>
      </c>
      <c r="B249" s="57" t="s">
        <v>500</v>
      </c>
      <c r="C249" s="57" t="s">
        <v>500</v>
      </c>
      <c r="D249" s="57" t="s">
        <v>500</v>
      </c>
      <c r="E249" s="146">
        <v>50340026</v>
      </c>
      <c r="F249" s="146">
        <v>2060812</v>
      </c>
      <c r="G249" s="57" t="s">
        <v>500</v>
      </c>
      <c r="H249" s="146">
        <v>48279214</v>
      </c>
      <c r="I249" s="146">
        <v>11046</v>
      </c>
      <c r="J249" s="215">
        <v>0</v>
      </c>
      <c r="K249" s="146">
        <v>11046</v>
      </c>
      <c r="L249" s="146">
        <v>48268168</v>
      </c>
    </row>
    <row r="250" spans="1:12" s="3" customFormat="1" ht="15" x14ac:dyDescent="0.2">
      <c r="A250" s="40" t="s">
        <v>87</v>
      </c>
      <c r="B250" s="57" t="s">
        <v>500</v>
      </c>
      <c r="C250" s="57" t="s">
        <v>500</v>
      </c>
      <c r="D250" s="57" t="s">
        <v>500</v>
      </c>
      <c r="E250" s="146">
        <v>58439135</v>
      </c>
      <c r="F250" s="146">
        <v>1640194</v>
      </c>
      <c r="G250" s="57" t="s">
        <v>500</v>
      </c>
      <c r="H250" s="146">
        <v>56798941</v>
      </c>
      <c r="I250" s="146">
        <v>9444</v>
      </c>
      <c r="J250" s="215">
        <v>0</v>
      </c>
      <c r="K250" s="146">
        <v>9444</v>
      </c>
      <c r="L250" s="146">
        <v>56789497</v>
      </c>
    </row>
    <row r="251" spans="1:12" s="3" customFormat="1" ht="15" x14ac:dyDescent="0.2">
      <c r="A251" s="40" t="s">
        <v>76</v>
      </c>
      <c r="B251" s="57" t="s">
        <v>500</v>
      </c>
      <c r="C251" s="57" t="s">
        <v>500</v>
      </c>
      <c r="D251" s="57" t="s">
        <v>500</v>
      </c>
      <c r="E251" s="146">
        <v>54410822</v>
      </c>
      <c r="F251" s="146">
        <v>1558731</v>
      </c>
      <c r="G251" s="57" t="s">
        <v>500</v>
      </c>
      <c r="H251" s="146">
        <v>52852091</v>
      </c>
      <c r="I251" s="146">
        <v>7837</v>
      </c>
      <c r="J251" s="215">
        <v>0</v>
      </c>
      <c r="K251" s="146">
        <v>7837</v>
      </c>
      <c r="L251" s="146">
        <v>52844254</v>
      </c>
    </row>
    <row r="252" spans="1:12" s="3" customFormat="1" ht="15" x14ac:dyDescent="0.2">
      <c r="A252" s="40" t="s">
        <v>79</v>
      </c>
      <c r="B252" s="57" t="s">
        <v>500</v>
      </c>
      <c r="C252" s="57" t="s">
        <v>500</v>
      </c>
      <c r="D252" s="57" t="s">
        <v>500</v>
      </c>
      <c r="E252" s="146">
        <v>65736228</v>
      </c>
      <c r="F252" s="146">
        <v>1234722</v>
      </c>
      <c r="G252" s="57" t="s">
        <v>500</v>
      </c>
      <c r="H252" s="146">
        <v>64501506</v>
      </c>
      <c r="I252" s="146">
        <v>6821</v>
      </c>
      <c r="J252" s="215">
        <v>0</v>
      </c>
      <c r="K252" s="146">
        <v>6821</v>
      </c>
      <c r="L252" s="146">
        <v>64494685</v>
      </c>
    </row>
    <row r="253" spans="1:12" s="3" customFormat="1" ht="15" x14ac:dyDescent="0.2">
      <c r="A253" s="40" t="s">
        <v>80</v>
      </c>
      <c r="B253" s="57" t="s">
        <v>500</v>
      </c>
      <c r="C253" s="57" t="s">
        <v>500</v>
      </c>
      <c r="D253" s="57" t="s">
        <v>500</v>
      </c>
      <c r="E253" s="146">
        <v>58830717</v>
      </c>
      <c r="F253" s="146">
        <v>41833021</v>
      </c>
      <c r="G253" s="57" t="s">
        <v>500</v>
      </c>
      <c r="H253" s="146">
        <v>16997696</v>
      </c>
      <c r="I253" s="146">
        <v>19896474</v>
      </c>
      <c r="J253" s="146">
        <v>19083453</v>
      </c>
      <c r="K253" s="146">
        <v>813021</v>
      </c>
      <c r="L253" s="146">
        <v>16184675</v>
      </c>
    </row>
    <row r="254" spans="1:12" s="3" customFormat="1" ht="15" x14ac:dyDescent="0.2">
      <c r="A254" s="40" t="s">
        <v>81</v>
      </c>
      <c r="B254" s="57" t="s">
        <v>500</v>
      </c>
      <c r="C254" s="57" t="s">
        <v>500</v>
      </c>
      <c r="D254" s="57" t="s">
        <v>500</v>
      </c>
      <c r="E254" s="146">
        <v>45412873</v>
      </c>
      <c r="F254" s="146">
        <v>29924774</v>
      </c>
      <c r="G254" s="57" t="s">
        <v>500</v>
      </c>
      <c r="H254" s="146">
        <v>15488099</v>
      </c>
      <c r="I254" s="146">
        <v>11065965</v>
      </c>
      <c r="J254" s="146">
        <v>10363507</v>
      </c>
      <c r="K254" s="146">
        <v>702458</v>
      </c>
      <c r="L254" s="146">
        <v>14785641</v>
      </c>
    </row>
    <row r="255" spans="1:12" s="3" customFormat="1" ht="15" x14ac:dyDescent="0.2">
      <c r="A255" s="40" t="s">
        <v>82</v>
      </c>
      <c r="B255" s="57" t="s">
        <v>500</v>
      </c>
      <c r="C255" s="57" t="s">
        <v>500</v>
      </c>
      <c r="D255" s="57" t="s">
        <v>500</v>
      </c>
      <c r="E255" s="146">
        <v>65929351</v>
      </c>
      <c r="F255" s="146">
        <v>52329743</v>
      </c>
      <c r="G255" s="57" t="s">
        <v>500</v>
      </c>
      <c r="H255" s="146">
        <v>13599608</v>
      </c>
      <c r="I255" s="146">
        <v>7935267</v>
      </c>
      <c r="J255" s="146">
        <v>7848659</v>
      </c>
      <c r="K255" s="146">
        <v>86608</v>
      </c>
      <c r="L255" s="146">
        <v>13513000</v>
      </c>
    </row>
    <row r="256" spans="1:12" s="3" customFormat="1" ht="15" x14ac:dyDescent="0.2">
      <c r="A256" s="40" t="s">
        <v>83</v>
      </c>
      <c r="B256" s="57" t="s">
        <v>500</v>
      </c>
      <c r="C256" s="57" t="s">
        <v>500</v>
      </c>
      <c r="D256" s="57" t="s">
        <v>500</v>
      </c>
      <c r="E256" s="146">
        <v>160615</v>
      </c>
      <c r="F256" s="146">
        <v>124059</v>
      </c>
      <c r="G256" s="57" t="s">
        <v>500</v>
      </c>
      <c r="H256" s="146">
        <v>36556</v>
      </c>
      <c r="I256" s="215">
        <v>0</v>
      </c>
      <c r="J256" s="215">
        <v>0</v>
      </c>
      <c r="K256" s="215">
        <v>0</v>
      </c>
      <c r="L256" s="146">
        <v>36556</v>
      </c>
    </row>
    <row r="257" spans="1:12" s="3" customFormat="1" ht="15" x14ac:dyDescent="0.2">
      <c r="A257" s="40" t="s">
        <v>71</v>
      </c>
      <c r="B257" s="57" t="s">
        <v>500</v>
      </c>
      <c r="C257" s="57" t="s">
        <v>500</v>
      </c>
      <c r="D257" s="57" t="s">
        <v>500</v>
      </c>
      <c r="E257" s="146">
        <v>268476</v>
      </c>
      <c r="F257" s="146">
        <v>112687</v>
      </c>
      <c r="G257" s="57" t="s">
        <v>500</v>
      </c>
      <c r="H257" s="146">
        <v>155789</v>
      </c>
      <c r="I257" s="215">
        <v>0</v>
      </c>
      <c r="J257" s="215">
        <v>0</v>
      </c>
      <c r="K257" s="215">
        <v>0</v>
      </c>
      <c r="L257" s="146">
        <v>155789</v>
      </c>
    </row>
    <row r="258" spans="1:12" s="3" customFormat="1" ht="15" x14ac:dyDescent="0.2">
      <c r="A258" s="40" t="s">
        <v>74</v>
      </c>
      <c r="B258" s="57" t="s">
        <v>500</v>
      </c>
      <c r="C258" s="57" t="s">
        <v>500</v>
      </c>
      <c r="D258" s="57" t="s">
        <v>500</v>
      </c>
      <c r="E258" s="146">
        <v>20851478</v>
      </c>
      <c r="F258" s="146">
        <v>20723544</v>
      </c>
      <c r="G258" s="57" t="s">
        <v>500</v>
      </c>
      <c r="H258" s="146">
        <v>127934</v>
      </c>
      <c r="I258" s="146">
        <v>239828</v>
      </c>
      <c r="J258" s="146">
        <v>230494</v>
      </c>
      <c r="K258" s="146">
        <v>9334</v>
      </c>
      <c r="L258" s="146">
        <v>118600</v>
      </c>
    </row>
    <row r="259" spans="1:12" s="3" customFormat="1" ht="15" x14ac:dyDescent="0.2">
      <c r="A259" s="40" t="s">
        <v>75</v>
      </c>
      <c r="B259" s="57" t="s">
        <v>500</v>
      </c>
      <c r="C259" s="57" t="s">
        <v>500</v>
      </c>
      <c r="D259" s="57" t="s">
        <v>500</v>
      </c>
      <c r="E259" s="146">
        <v>112301</v>
      </c>
      <c r="F259" s="215">
        <v>0</v>
      </c>
      <c r="G259" s="57" t="s">
        <v>500</v>
      </c>
      <c r="H259" s="146">
        <v>112301</v>
      </c>
      <c r="I259" s="215">
        <v>0</v>
      </c>
      <c r="J259" s="215">
        <v>0</v>
      </c>
      <c r="K259" s="215">
        <v>0</v>
      </c>
      <c r="L259" s="146">
        <v>112301</v>
      </c>
    </row>
    <row r="260" spans="1:12" s="3" customFormat="1" ht="15" x14ac:dyDescent="0.2">
      <c r="A260" s="40" t="s">
        <v>284</v>
      </c>
      <c r="B260" s="57" t="s">
        <v>500</v>
      </c>
      <c r="C260" s="57" t="s">
        <v>500</v>
      </c>
      <c r="D260" s="57" t="s">
        <v>500</v>
      </c>
      <c r="E260" s="146">
        <v>14643173</v>
      </c>
      <c r="F260" s="146">
        <v>14609736</v>
      </c>
      <c r="G260" s="57" t="s">
        <v>500</v>
      </c>
      <c r="H260" s="146">
        <v>33437</v>
      </c>
      <c r="I260" s="146">
        <v>4962586</v>
      </c>
      <c r="J260" s="146">
        <v>4875829</v>
      </c>
      <c r="K260" s="146">
        <v>86757</v>
      </c>
      <c r="L260" s="146">
        <v>-53320</v>
      </c>
    </row>
    <row r="261" spans="1:12" s="3" customFormat="1" ht="15" x14ac:dyDescent="0.2">
      <c r="A261" s="40" t="s">
        <v>288</v>
      </c>
      <c r="B261" s="57" t="s">
        <v>500</v>
      </c>
      <c r="C261" s="57" t="s">
        <v>500</v>
      </c>
      <c r="D261" s="57" t="s">
        <v>500</v>
      </c>
      <c r="E261" s="146">
        <v>9294252</v>
      </c>
      <c r="F261" s="146">
        <v>9253867</v>
      </c>
      <c r="G261" s="57" t="s">
        <v>500</v>
      </c>
      <c r="H261" s="146">
        <v>40385</v>
      </c>
      <c r="I261" s="146">
        <v>2597904</v>
      </c>
      <c r="J261" s="146">
        <v>2431476</v>
      </c>
      <c r="K261" s="146">
        <v>166428</v>
      </c>
      <c r="L261" s="146">
        <v>-126043</v>
      </c>
    </row>
    <row r="262" spans="1:12" s="3" customFormat="1" ht="15" x14ac:dyDescent="0.2">
      <c r="A262" s="40" t="s">
        <v>293</v>
      </c>
      <c r="B262" s="57" t="s">
        <v>500</v>
      </c>
      <c r="C262" s="57" t="s">
        <v>500</v>
      </c>
      <c r="D262" s="57" t="s">
        <v>500</v>
      </c>
      <c r="E262" s="146">
        <v>8548806</v>
      </c>
      <c r="F262" s="146">
        <v>8548806</v>
      </c>
      <c r="G262" s="57" t="s">
        <v>500</v>
      </c>
      <c r="H262" s="215">
        <v>0</v>
      </c>
      <c r="I262" s="146">
        <v>414227</v>
      </c>
      <c r="J262" s="146">
        <v>412381</v>
      </c>
      <c r="K262" s="146">
        <v>1846</v>
      </c>
      <c r="L262" s="146">
        <v>-1846</v>
      </c>
    </row>
    <row r="263" spans="1:12" s="3" customFormat="1" ht="15" x14ac:dyDescent="0.2">
      <c r="A263" s="40" t="s">
        <v>295</v>
      </c>
      <c r="B263" s="57" t="s">
        <v>500</v>
      </c>
      <c r="C263" s="57" t="s">
        <v>500</v>
      </c>
      <c r="D263" s="57" t="s">
        <v>500</v>
      </c>
      <c r="E263" s="146">
        <v>3560480</v>
      </c>
      <c r="F263" s="146">
        <v>3560480</v>
      </c>
      <c r="G263" s="57" t="s">
        <v>500</v>
      </c>
      <c r="H263" s="215">
        <v>0</v>
      </c>
      <c r="I263" s="146">
        <v>319940</v>
      </c>
      <c r="J263" s="146">
        <v>319763</v>
      </c>
      <c r="K263" s="146">
        <v>177</v>
      </c>
      <c r="L263" s="146">
        <v>-177</v>
      </c>
    </row>
    <row r="264" spans="1:12" s="3" customFormat="1" ht="15" x14ac:dyDescent="0.2">
      <c r="A264" s="40" t="s">
        <v>297</v>
      </c>
      <c r="B264" s="57" t="s">
        <v>500</v>
      </c>
      <c r="C264" s="57" t="s">
        <v>500</v>
      </c>
      <c r="D264" s="57" t="s">
        <v>500</v>
      </c>
      <c r="E264" s="146">
        <v>6658366</v>
      </c>
      <c r="F264" s="146">
        <v>6658366</v>
      </c>
      <c r="G264" s="57" t="s">
        <v>500</v>
      </c>
      <c r="H264" s="215">
        <v>0</v>
      </c>
      <c r="I264" s="146">
        <v>1531822</v>
      </c>
      <c r="J264" s="146">
        <v>1525417</v>
      </c>
      <c r="K264" s="146">
        <v>6405</v>
      </c>
      <c r="L264" s="146">
        <v>-6405</v>
      </c>
    </row>
    <row r="265" spans="1:12" s="3" customFormat="1" ht="15" x14ac:dyDescent="0.2">
      <c r="A265" s="40" t="s">
        <v>299</v>
      </c>
      <c r="B265" s="57" t="s">
        <v>500</v>
      </c>
      <c r="C265" s="57" t="s">
        <v>500</v>
      </c>
      <c r="D265" s="57" t="s">
        <v>500</v>
      </c>
      <c r="E265" s="146">
        <v>3097183</v>
      </c>
      <c r="F265" s="146">
        <v>3097183</v>
      </c>
      <c r="G265" s="57" t="s">
        <v>500</v>
      </c>
      <c r="H265" s="215">
        <v>0</v>
      </c>
      <c r="I265" s="146">
        <v>201105</v>
      </c>
      <c r="J265" s="146">
        <v>200520</v>
      </c>
      <c r="K265" s="146">
        <v>585</v>
      </c>
      <c r="L265" s="146">
        <v>-585</v>
      </c>
    </row>
    <row r="266" spans="1:12" s="3" customFormat="1" ht="15" x14ac:dyDescent="0.2">
      <c r="A266" s="40" t="s">
        <v>301</v>
      </c>
      <c r="B266" s="57" t="s">
        <v>500</v>
      </c>
      <c r="C266" s="57" t="s">
        <v>500</v>
      </c>
      <c r="D266" s="57" t="s">
        <v>500</v>
      </c>
      <c r="E266" s="146">
        <v>5693119</v>
      </c>
      <c r="F266" s="146">
        <v>5693119</v>
      </c>
      <c r="G266" s="57" t="s">
        <v>500</v>
      </c>
      <c r="H266" s="215">
        <v>0</v>
      </c>
      <c r="I266" s="146">
        <v>2966</v>
      </c>
      <c r="J266" s="215">
        <v>0</v>
      </c>
      <c r="K266" s="146">
        <v>2966</v>
      </c>
      <c r="L266" s="146">
        <v>-2966</v>
      </c>
    </row>
    <row r="267" spans="1:12" s="3" customFormat="1" ht="15" x14ac:dyDescent="0.2">
      <c r="A267" s="40" t="s">
        <v>305</v>
      </c>
      <c r="B267" s="57" t="s">
        <v>500</v>
      </c>
      <c r="C267" s="57" t="s">
        <v>500</v>
      </c>
      <c r="D267" s="57" t="s">
        <v>500</v>
      </c>
      <c r="E267" s="146">
        <v>14801309</v>
      </c>
      <c r="F267" s="146">
        <v>14801309</v>
      </c>
      <c r="G267" s="57" t="s">
        <v>500</v>
      </c>
      <c r="H267" s="215">
        <v>0</v>
      </c>
      <c r="I267" s="146">
        <v>495039</v>
      </c>
      <c r="J267" s="146">
        <v>446808</v>
      </c>
      <c r="K267" s="146">
        <v>48231</v>
      </c>
      <c r="L267" s="146">
        <v>-48231</v>
      </c>
    </row>
    <row r="268" spans="1:12" ht="15.6" customHeight="1" x14ac:dyDescent="0.25">
      <c r="A268" s="227" t="s">
        <v>23</v>
      </c>
      <c r="B268" s="74" t="s">
        <v>500</v>
      </c>
      <c r="C268" s="74" t="s">
        <v>500</v>
      </c>
      <c r="D268" s="74" t="s">
        <v>500</v>
      </c>
      <c r="E268" s="78">
        <f>SUBTOTAL(109,Table44[Program
Costs])</f>
        <v>595676025</v>
      </c>
      <c r="F268" s="78">
        <f>SUBTOTAL(109,Table44[Less: Net Payments and Offsets 9])</f>
        <v>252671853</v>
      </c>
      <c r="G268" s="74" t="s">
        <v>500</v>
      </c>
      <c r="H268" s="78">
        <f>SUBTOTAL(109,Table44[Accounts Payable
Balance])</f>
        <v>343004172</v>
      </c>
      <c r="I268" s="78">
        <f>SUBTOTAL(109,Table44[Established
Accounts Receivable])</f>
        <v>49872281</v>
      </c>
      <c r="J268" s="78">
        <f>SUBTOTAL(109,Table44[Less: Recovered Amount])</f>
        <v>47870176</v>
      </c>
      <c r="K268" s="78">
        <f>SUBTOTAL(109,Table44[Accounts Receivable
Balance])</f>
        <v>2002105</v>
      </c>
      <c r="L268" s="78">
        <f>SUBTOTAL(109,Table44[Net
Balance])</f>
        <v>341002067</v>
      </c>
    </row>
    <row r="269" spans="1:12" s="3" customFormat="1" ht="15" x14ac:dyDescent="0.2">
      <c r="A269" s="314" t="s">
        <v>578</v>
      </c>
    </row>
    <row r="270" spans="1:12" s="3" customFormat="1" ht="18" x14ac:dyDescent="0.2">
      <c r="A270" s="272" t="s">
        <v>534</v>
      </c>
    </row>
  </sheetData>
  <hyperlinks>
    <hyperlink ref="F2" location="'Schedule B1-Local Agencies'!A270" tooltip="This hyperlink will take you to the referenced footnote-footnote 9" display="Less: Net Payments and Offsets 9"/>
  </hyperlinks>
  <printOptions horizontalCentered="1" gridLines="1"/>
  <pageMargins left="0.3" right="0.3" top="1.1000000000000001" bottom="0.75" header="0.3" footer="0.3"/>
  <pageSetup scale="62" fitToHeight="0" orientation="landscape" r:id="rId1"/>
  <headerFooter>
    <oddHeader>&amp;C&amp;"-,Bold"&amp;12State Controller's Office
Schedule B1: Detail of Funded State-Mandated Programs by Fiscal Year
As of August 31, 2020</oddHeader>
    <oddFooter>&amp;LSchedule B1: Detail of Funded State-Mandated Programs by Fiscal Year
Local Agencies&amp;RPage &amp;P of &amp;N</oddFooter>
  </headerFooter>
  <rowBreaks count="3" manualBreakCount="3">
    <brk id="31" max="11" man="1"/>
    <brk id="140" max="11" man="1"/>
    <brk id="176" max="11" man="1"/>
  </rowBreaks>
  <legacyDrawing r:id="rId2"/>
  <tableParts count="2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04"/>
  <sheetViews>
    <sheetView zoomScaleNormal="100" zoomScalePageLayoutView="80" workbookViewId="0"/>
  </sheetViews>
  <sheetFormatPr defaultColWidth="9.140625" defaultRowHeight="15.75" outlineLevelRow="2" x14ac:dyDescent="0.25"/>
  <cols>
    <col min="1" max="1" width="23.85546875" style="232" customWidth="1"/>
    <col min="2" max="2" width="44.140625" style="233" customWidth="1"/>
    <col min="3" max="3" width="12.5703125" style="234" customWidth="1"/>
    <col min="4" max="4" width="14.5703125" style="232" customWidth="1"/>
    <col min="5" max="5" width="18.7109375" style="235" customWidth="1"/>
    <col min="6" max="6" width="18.7109375" style="236" customWidth="1"/>
    <col min="7" max="7" width="2.5703125" style="236" customWidth="1"/>
    <col min="8" max="12" width="17.5703125" style="235" customWidth="1"/>
    <col min="13" max="16384" width="9.140625" style="231"/>
  </cols>
  <sheetData>
    <row r="1" spans="1:12" s="3" customFormat="1" ht="57.95" customHeight="1" outlineLevel="1" x14ac:dyDescent="0.25">
      <c r="A1" s="198" t="s">
        <v>531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</row>
    <row r="2" spans="1:12" s="3" customFormat="1" ht="50.1" customHeight="1" outlineLevel="1" x14ac:dyDescent="0.25">
      <c r="A2" s="204" t="s">
        <v>98</v>
      </c>
      <c r="B2" s="204" t="s">
        <v>99</v>
      </c>
      <c r="C2" s="176" t="s">
        <v>1</v>
      </c>
      <c r="D2" s="204" t="s">
        <v>195</v>
      </c>
      <c r="E2" s="238" t="s">
        <v>188</v>
      </c>
      <c r="F2" s="211" t="s">
        <v>575</v>
      </c>
      <c r="G2" s="212" t="s">
        <v>556</v>
      </c>
      <c r="H2" s="210" t="s">
        <v>528</v>
      </c>
      <c r="I2" s="210" t="s">
        <v>529</v>
      </c>
      <c r="J2" s="238" t="s">
        <v>197</v>
      </c>
      <c r="K2" s="210" t="s">
        <v>530</v>
      </c>
      <c r="L2" s="238" t="s">
        <v>196</v>
      </c>
    </row>
    <row r="3" spans="1:12" ht="30.75" outlineLevel="2" x14ac:dyDescent="0.25">
      <c r="A3" s="40" t="s">
        <v>165</v>
      </c>
      <c r="B3" s="196" t="s">
        <v>101</v>
      </c>
      <c r="C3" s="3" t="s">
        <v>102</v>
      </c>
      <c r="D3" s="40">
        <v>250</v>
      </c>
      <c r="E3" s="146">
        <v>15908</v>
      </c>
      <c r="F3" s="146">
        <v>1000</v>
      </c>
      <c r="G3" s="213" t="s">
        <v>500</v>
      </c>
      <c r="H3" s="146">
        <v>14908</v>
      </c>
      <c r="I3" s="215">
        <v>0</v>
      </c>
      <c r="J3" s="215">
        <v>0</v>
      </c>
      <c r="K3" s="215">
        <v>0</v>
      </c>
      <c r="L3" s="146">
        <v>14908</v>
      </c>
    </row>
    <row r="4" spans="1:12" ht="30.75" outlineLevel="2" x14ac:dyDescent="0.25">
      <c r="A4" s="40" t="s">
        <v>165</v>
      </c>
      <c r="B4" s="196" t="s">
        <v>107</v>
      </c>
      <c r="C4" s="3" t="s">
        <v>108</v>
      </c>
      <c r="D4" s="40">
        <v>370</v>
      </c>
      <c r="E4" s="146">
        <v>49754</v>
      </c>
      <c r="F4" s="146">
        <v>1000</v>
      </c>
      <c r="G4" s="213" t="s">
        <v>500</v>
      </c>
      <c r="H4" s="146">
        <v>48754</v>
      </c>
      <c r="I4" s="215">
        <v>0</v>
      </c>
      <c r="J4" s="215">
        <v>0</v>
      </c>
      <c r="K4" s="215">
        <v>0</v>
      </c>
      <c r="L4" s="146">
        <v>48754</v>
      </c>
    </row>
    <row r="5" spans="1:12" ht="30.75" outlineLevel="2" x14ac:dyDescent="0.25">
      <c r="A5" s="40" t="s">
        <v>165</v>
      </c>
      <c r="B5" s="196" t="s">
        <v>105</v>
      </c>
      <c r="C5" s="3" t="s">
        <v>106</v>
      </c>
      <c r="D5" s="40">
        <v>369</v>
      </c>
      <c r="E5" s="146">
        <v>73358</v>
      </c>
      <c r="F5" s="146">
        <v>1000</v>
      </c>
      <c r="G5" s="213" t="s">
        <v>500</v>
      </c>
      <c r="H5" s="146">
        <v>72358</v>
      </c>
      <c r="I5" s="215">
        <v>0</v>
      </c>
      <c r="J5" s="215">
        <v>0</v>
      </c>
      <c r="K5" s="215">
        <v>0</v>
      </c>
      <c r="L5" s="146">
        <v>72358</v>
      </c>
    </row>
    <row r="6" spans="1:12" ht="30.75" outlineLevel="2" x14ac:dyDescent="0.25">
      <c r="A6" s="40" t="s">
        <v>165</v>
      </c>
      <c r="B6" s="196" t="s">
        <v>109</v>
      </c>
      <c r="C6" s="3" t="s">
        <v>110</v>
      </c>
      <c r="D6" s="40">
        <v>172</v>
      </c>
      <c r="E6" s="146">
        <v>2715</v>
      </c>
      <c r="F6" s="146">
        <v>1000</v>
      </c>
      <c r="G6" s="213" t="s">
        <v>500</v>
      </c>
      <c r="H6" s="146">
        <v>1715</v>
      </c>
      <c r="I6" s="215">
        <v>0</v>
      </c>
      <c r="J6" s="215">
        <v>0</v>
      </c>
      <c r="K6" s="215">
        <v>0</v>
      </c>
      <c r="L6" s="146">
        <v>1715</v>
      </c>
    </row>
    <row r="7" spans="1:12" ht="30.75" outlineLevel="2" x14ac:dyDescent="0.25">
      <c r="A7" s="40" t="s">
        <v>165</v>
      </c>
      <c r="B7" s="196" t="s">
        <v>115</v>
      </c>
      <c r="C7" s="3" t="s">
        <v>116</v>
      </c>
      <c r="D7" s="40">
        <v>11</v>
      </c>
      <c r="E7" s="146">
        <v>136002</v>
      </c>
      <c r="F7" s="146">
        <v>1000</v>
      </c>
      <c r="G7" s="213" t="s">
        <v>500</v>
      </c>
      <c r="H7" s="146">
        <v>135002</v>
      </c>
      <c r="I7" s="215">
        <v>0</v>
      </c>
      <c r="J7" s="215">
        <v>0</v>
      </c>
      <c r="K7" s="215">
        <v>0</v>
      </c>
      <c r="L7" s="146">
        <v>135002</v>
      </c>
    </row>
    <row r="8" spans="1:12" ht="14.45" customHeight="1" outlineLevel="2" x14ac:dyDescent="0.25">
      <c r="A8" s="40" t="s">
        <v>165</v>
      </c>
      <c r="B8" s="196" t="s">
        <v>117</v>
      </c>
      <c r="C8" s="3" t="s">
        <v>118</v>
      </c>
      <c r="D8" s="40">
        <v>313</v>
      </c>
      <c r="E8" s="146">
        <v>27892</v>
      </c>
      <c r="F8" s="146">
        <v>1000</v>
      </c>
      <c r="G8" s="213" t="s">
        <v>500</v>
      </c>
      <c r="H8" s="146">
        <v>26892</v>
      </c>
      <c r="I8" s="215">
        <v>0</v>
      </c>
      <c r="J8" s="215">
        <v>0</v>
      </c>
      <c r="K8" s="215">
        <v>0</v>
      </c>
      <c r="L8" s="146">
        <v>26892</v>
      </c>
    </row>
    <row r="9" spans="1:12" ht="30.75" outlineLevel="2" x14ac:dyDescent="0.25">
      <c r="A9" s="40" t="s">
        <v>165</v>
      </c>
      <c r="B9" s="196" t="s">
        <v>111</v>
      </c>
      <c r="C9" s="3" t="s">
        <v>112</v>
      </c>
      <c r="D9" s="40">
        <v>330</v>
      </c>
      <c r="E9" s="146">
        <v>36306</v>
      </c>
      <c r="F9" s="146">
        <v>1000</v>
      </c>
      <c r="G9" s="213" t="s">
        <v>500</v>
      </c>
      <c r="H9" s="146">
        <v>35306</v>
      </c>
      <c r="I9" s="215">
        <v>0</v>
      </c>
      <c r="J9" s="215">
        <v>0</v>
      </c>
      <c r="K9" s="215">
        <v>0</v>
      </c>
      <c r="L9" s="146">
        <v>35306</v>
      </c>
    </row>
    <row r="10" spans="1:12" ht="45.75" outlineLevel="2" x14ac:dyDescent="0.25">
      <c r="A10" s="40" t="s">
        <v>165</v>
      </c>
      <c r="B10" s="196" t="s">
        <v>103</v>
      </c>
      <c r="C10" s="3" t="s">
        <v>104</v>
      </c>
      <c r="D10" s="40">
        <v>272</v>
      </c>
      <c r="E10" s="146">
        <v>24722</v>
      </c>
      <c r="F10" s="146">
        <v>1000</v>
      </c>
      <c r="G10" s="213" t="s">
        <v>500</v>
      </c>
      <c r="H10" s="146">
        <v>23722</v>
      </c>
      <c r="I10" s="215">
        <v>0</v>
      </c>
      <c r="J10" s="215">
        <v>0</v>
      </c>
      <c r="K10" s="215">
        <v>0</v>
      </c>
      <c r="L10" s="146">
        <v>23722</v>
      </c>
    </row>
    <row r="11" spans="1:12" ht="45.75" outlineLevel="2" x14ac:dyDescent="0.25">
      <c r="A11" s="40" t="s">
        <v>165</v>
      </c>
      <c r="B11" s="196" t="s">
        <v>139</v>
      </c>
      <c r="C11" s="3" t="s">
        <v>140</v>
      </c>
      <c r="D11" s="40">
        <v>276</v>
      </c>
      <c r="E11" s="146">
        <v>3169</v>
      </c>
      <c r="F11" s="146">
        <v>1000</v>
      </c>
      <c r="G11" s="213" t="s">
        <v>500</v>
      </c>
      <c r="H11" s="146">
        <v>2169</v>
      </c>
      <c r="I11" s="215">
        <v>0</v>
      </c>
      <c r="J11" s="215">
        <v>0</v>
      </c>
      <c r="K11" s="215">
        <v>0</v>
      </c>
      <c r="L11" s="146">
        <v>2169</v>
      </c>
    </row>
    <row r="12" spans="1:12" ht="78" customHeight="1" outlineLevel="2" x14ac:dyDescent="0.25">
      <c r="A12" s="40" t="s">
        <v>165</v>
      </c>
      <c r="B12" s="196" t="s">
        <v>142</v>
      </c>
      <c r="C12" s="3" t="s">
        <v>143</v>
      </c>
      <c r="D12" s="40">
        <v>292</v>
      </c>
      <c r="E12" s="146">
        <v>27368</v>
      </c>
      <c r="F12" s="146">
        <v>1000</v>
      </c>
      <c r="G12" s="213" t="s">
        <v>500</v>
      </c>
      <c r="H12" s="146">
        <v>26368</v>
      </c>
      <c r="I12" s="215">
        <v>0</v>
      </c>
      <c r="J12" s="215">
        <v>0</v>
      </c>
      <c r="K12" s="215">
        <v>0</v>
      </c>
      <c r="L12" s="146">
        <v>26368</v>
      </c>
    </row>
    <row r="13" spans="1:12" ht="30.75" outlineLevel="2" x14ac:dyDescent="0.25">
      <c r="A13" s="40" t="s">
        <v>165</v>
      </c>
      <c r="B13" s="196" t="s">
        <v>113</v>
      </c>
      <c r="C13" s="3" t="s">
        <v>114</v>
      </c>
      <c r="D13" s="40">
        <v>209</v>
      </c>
      <c r="E13" s="146">
        <v>31923</v>
      </c>
      <c r="F13" s="146">
        <v>1000</v>
      </c>
      <c r="G13" s="213" t="s">
        <v>500</v>
      </c>
      <c r="H13" s="146">
        <v>30923</v>
      </c>
      <c r="I13" s="215">
        <v>0</v>
      </c>
      <c r="J13" s="215">
        <v>0</v>
      </c>
      <c r="K13" s="215">
        <v>0</v>
      </c>
      <c r="L13" s="146">
        <v>30923</v>
      </c>
    </row>
    <row r="14" spans="1:12" outlineLevel="2" x14ac:dyDescent="0.25">
      <c r="A14" s="40" t="s">
        <v>165</v>
      </c>
      <c r="B14" s="196" t="s">
        <v>119</v>
      </c>
      <c r="C14" s="3" t="s">
        <v>120</v>
      </c>
      <c r="D14" s="40">
        <v>183</v>
      </c>
      <c r="E14" s="146">
        <v>7067</v>
      </c>
      <c r="F14" s="146">
        <v>1000</v>
      </c>
      <c r="G14" s="213" t="s">
        <v>500</v>
      </c>
      <c r="H14" s="146">
        <v>6067</v>
      </c>
      <c r="I14" s="215">
        <v>0</v>
      </c>
      <c r="J14" s="215">
        <v>0</v>
      </c>
      <c r="K14" s="215">
        <v>0</v>
      </c>
      <c r="L14" s="146">
        <v>6067</v>
      </c>
    </row>
    <row r="15" spans="1:12" outlineLevel="2" x14ac:dyDescent="0.25">
      <c r="A15" s="40" t="s">
        <v>165</v>
      </c>
      <c r="B15" s="196" t="s">
        <v>121</v>
      </c>
      <c r="C15" s="3" t="s">
        <v>122</v>
      </c>
      <c r="D15" s="40">
        <v>251</v>
      </c>
      <c r="E15" s="146">
        <v>2048</v>
      </c>
      <c r="F15" s="146">
        <v>1000</v>
      </c>
      <c r="G15" s="213" t="s">
        <v>500</v>
      </c>
      <c r="H15" s="146">
        <v>1048</v>
      </c>
      <c r="I15" s="215">
        <v>0</v>
      </c>
      <c r="J15" s="215">
        <v>0</v>
      </c>
      <c r="K15" s="215">
        <v>0</v>
      </c>
      <c r="L15" s="146">
        <v>1048</v>
      </c>
    </row>
    <row r="16" spans="1:12" outlineLevel="2" x14ac:dyDescent="0.25">
      <c r="A16" s="40" t="s">
        <v>165</v>
      </c>
      <c r="B16" s="196" t="s">
        <v>123</v>
      </c>
      <c r="C16" s="3" t="s">
        <v>124</v>
      </c>
      <c r="D16" s="40">
        <v>192</v>
      </c>
      <c r="E16" s="146">
        <v>5791</v>
      </c>
      <c r="F16" s="146">
        <v>1000</v>
      </c>
      <c r="G16" s="213" t="s">
        <v>500</v>
      </c>
      <c r="H16" s="146">
        <v>4791</v>
      </c>
      <c r="I16" s="215">
        <v>0</v>
      </c>
      <c r="J16" s="215">
        <v>0</v>
      </c>
      <c r="K16" s="215">
        <v>0</v>
      </c>
      <c r="L16" s="146">
        <v>4791</v>
      </c>
    </row>
    <row r="17" spans="1:12" ht="30.75" outlineLevel="2" x14ac:dyDescent="0.25">
      <c r="A17" s="40" t="s">
        <v>165</v>
      </c>
      <c r="B17" s="196" t="s">
        <v>125</v>
      </c>
      <c r="C17" s="3" t="s">
        <v>126</v>
      </c>
      <c r="D17" s="40">
        <v>297</v>
      </c>
      <c r="E17" s="146">
        <v>3196917</v>
      </c>
      <c r="F17" s="146">
        <v>1000</v>
      </c>
      <c r="G17" s="213" t="s">
        <v>500</v>
      </c>
      <c r="H17" s="146">
        <v>3195917</v>
      </c>
      <c r="I17" s="215">
        <v>0</v>
      </c>
      <c r="J17" s="215">
        <v>0</v>
      </c>
      <c r="K17" s="215">
        <v>0</v>
      </c>
      <c r="L17" s="146">
        <v>3195917</v>
      </c>
    </row>
    <row r="18" spans="1:12" outlineLevel="2" x14ac:dyDescent="0.25">
      <c r="A18" s="40" t="s">
        <v>165</v>
      </c>
      <c r="B18" s="196" t="s">
        <v>127</v>
      </c>
      <c r="C18" s="3" t="s">
        <v>128</v>
      </c>
      <c r="D18" s="40">
        <v>166</v>
      </c>
      <c r="E18" s="146">
        <v>44363</v>
      </c>
      <c r="F18" s="146">
        <v>1000</v>
      </c>
      <c r="G18" s="213" t="s">
        <v>500</v>
      </c>
      <c r="H18" s="146">
        <v>43363</v>
      </c>
      <c r="I18" s="215">
        <v>0</v>
      </c>
      <c r="J18" s="215">
        <v>0</v>
      </c>
      <c r="K18" s="215">
        <v>0</v>
      </c>
      <c r="L18" s="146">
        <v>43363</v>
      </c>
    </row>
    <row r="19" spans="1:12" outlineLevel="2" x14ac:dyDescent="0.25">
      <c r="A19" s="40" t="s">
        <v>165</v>
      </c>
      <c r="B19" s="196" t="s">
        <v>133</v>
      </c>
      <c r="C19" s="3" t="s">
        <v>134</v>
      </c>
      <c r="D19" s="40">
        <v>32</v>
      </c>
      <c r="E19" s="146">
        <v>9295</v>
      </c>
      <c r="F19" s="146">
        <v>1000</v>
      </c>
      <c r="G19" s="213" t="s">
        <v>500</v>
      </c>
      <c r="H19" s="146">
        <v>8295</v>
      </c>
      <c r="I19" s="215">
        <v>0</v>
      </c>
      <c r="J19" s="215">
        <v>0</v>
      </c>
      <c r="K19" s="215">
        <v>0</v>
      </c>
      <c r="L19" s="146">
        <v>8295</v>
      </c>
    </row>
    <row r="20" spans="1:12" ht="30.75" outlineLevel="2" x14ac:dyDescent="0.25">
      <c r="A20" s="40" t="s">
        <v>165</v>
      </c>
      <c r="B20" s="196" t="s">
        <v>129</v>
      </c>
      <c r="C20" s="3" t="s">
        <v>130</v>
      </c>
      <c r="D20" s="40">
        <v>368</v>
      </c>
      <c r="E20" s="146">
        <v>13387</v>
      </c>
      <c r="F20" s="146">
        <v>1000</v>
      </c>
      <c r="G20" s="213" t="s">
        <v>500</v>
      </c>
      <c r="H20" s="146">
        <v>12387</v>
      </c>
      <c r="I20" s="215">
        <v>0</v>
      </c>
      <c r="J20" s="215">
        <v>0</v>
      </c>
      <c r="K20" s="215">
        <v>0</v>
      </c>
      <c r="L20" s="146">
        <v>12387</v>
      </c>
    </row>
    <row r="21" spans="1:12" outlineLevel="2" x14ac:dyDescent="0.25">
      <c r="A21" s="40" t="s">
        <v>165</v>
      </c>
      <c r="B21" s="196" t="s">
        <v>131</v>
      </c>
      <c r="C21" s="3" t="s">
        <v>132</v>
      </c>
      <c r="D21" s="40">
        <v>357</v>
      </c>
      <c r="E21" s="146">
        <v>4676</v>
      </c>
      <c r="F21" s="146">
        <v>1000</v>
      </c>
      <c r="G21" s="213" t="s">
        <v>500</v>
      </c>
      <c r="H21" s="146">
        <v>3676</v>
      </c>
      <c r="I21" s="215">
        <v>0</v>
      </c>
      <c r="J21" s="215">
        <v>0</v>
      </c>
      <c r="K21" s="215">
        <v>0</v>
      </c>
      <c r="L21" s="146">
        <v>3676</v>
      </c>
    </row>
    <row r="22" spans="1:12" outlineLevel="2" x14ac:dyDescent="0.25">
      <c r="A22" s="40" t="s">
        <v>165</v>
      </c>
      <c r="B22" s="196" t="s">
        <v>135</v>
      </c>
      <c r="C22" s="3" t="s">
        <v>136</v>
      </c>
      <c r="D22" s="40">
        <v>153</v>
      </c>
      <c r="E22" s="146">
        <v>8800</v>
      </c>
      <c r="F22" s="146">
        <v>1000</v>
      </c>
      <c r="G22" s="213" t="s">
        <v>500</v>
      </c>
      <c r="H22" s="146">
        <v>7800</v>
      </c>
      <c r="I22" s="215">
        <v>0</v>
      </c>
      <c r="J22" s="215">
        <v>0</v>
      </c>
      <c r="K22" s="215">
        <v>0</v>
      </c>
      <c r="L22" s="146">
        <v>7800</v>
      </c>
    </row>
    <row r="23" spans="1:12" outlineLevel="2" x14ac:dyDescent="0.25">
      <c r="A23" s="40" t="s">
        <v>165</v>
      </c>
      <c r="B23" s="196" t="s">
        <v>137</v>
      </c>
      <c r="C23" s="3" t="s">
        <v>138</v>
      </c>
      <c r="D23" s="40">
        <v>155</v>
      </c>
      <c r="E23" s="146">
        <v>2350</v>
      </c>
      <c r="F23" s="146">
        <v>1000</v>
      </c>
      <c r="G23" s="213" t="s">
        <v>500</v>
      </c>
      <c r="H23" s="146">
        <v>1350</v>
      </c>
      <c r="I23" s="215">
        <v>0</v>
      </c>
      <c r="J23" s="215">
        <v>0</v>
      </c>
      <c r="K23" s="215">
        <v>0</v>
      </c>
      <c r="L23" s="146">
        <v>1350</v>
      </c>
    </row>
    <row r="24" spans="1:12" outlineLevel="2" x14ac:dyDescent="0.25">
      <c r="A24" s="40" t="s">
        <v>165</v>
      </c>
      <c r="B24" s="196" t="s">
        <v>141</v>
      </c>
      <c r="C24" s="3" t="s">
        <v>126</v>
      </c>
      <c r="D24" s="40">
        <v>48</v>
      </c>
      <c r="E24" s="146">
        <v>114153</v>
      </c>
      <c r="F24" s="146">
        <v>1000</v>
      </c>
      <c r="G24" s="213" t="s">
        <v>500</v>
      </c>
      <c r="H24" s="146">
        <v>113153</v>
      </c>
      <c r="I24" s="215">
        <v>0</v>
      </c>
      <c r="J24" s="215">
        <v>0</v>
      </c>
      <c r="K24" s="215">
        <v>0</v>
      </c>
      <c r="L24" s="146">
        <v>113153</v>
      </c>
    </row>
    <row r="25" spans="1:12" outlineLevel="2" x14ac:dyDescent="0.25">
      <c r="A25" s="40" t="s">
        <v>165</v>
      </c>
      <c r="B25" s="196" t="s">
        <v>144</v>
      </c>
      <c r="C25" s="3" t="s">
        <v>145</v>
      </c>
      <c r="D25" s="40">
        <v>350</v>
      </c>
      <c r="E25" s="146">
        <v>3858</v>
      </c>
      <c r="F25" s="146">
        <v>1000</v>
      </c>
      <c r="G25" s="213" t="s">
        <v>500</v>
      </c>
      <c r="H25" s="146">
        <v>2858</v>
      </c>
      <c r="I25" s="215">
        <v>0</v>
      </c>
      <c r="J25" s="215">
        <v>0</v>
      </c>
      <c r="K25" s="215">
        <v>0</v>
      </c>
      <c r="L25" s="146">
        <v>2858</v>
      </c>
    </row>
    <row r="26" spans="1:12" outlineLevel="2" x14ac:dyDescent="0.25">
      <c r="A26" s="40" t="s">
        <v>165</v>
      </c>
      <c r="B26" s="196" t="s">
        <v>146</v>
      </c>
      <c r="C26" s="3" t="s">
        <v>147</v>
      </c>
      <c r="D26" s="40">
        <v>173</v>
      </c>
      <c r="E26" s="146">
        <v>7912</v>
      </c>
      <c r="F26" s="146">
        <v>1000</v>
      </c>
      <c r="G26" s="213" t="s">
        <v>500</v>
      </c>
      <c r="H26" s="146">
        <v>6912</v>
      </c>
      <c r="I26" s="215">
        <v>0</v>
      </c>
      <c r="J26" s="215">
        <v>0</v>
      </c>
      <c r="K26" s="215">
        <v>0</v>
      </c>
      <c r="L26" s="146">
        <v>6912</v>
      </c>
    </row>
    <row r="27" spans="1:12" outlineLevel="2" x14ac:dyDescent="0.25">
      <c r="A27" s="40" t="s">
        <v>165</v>
      </c>
      <c r="B27" s="196" t="s">
        <v>148</v>
      </c>
      <c r="C27" s="3" t="s">
        <v>149</v>
      </c>
      <c r="D27" s="40">
        <v>244</v>
      </c>
      <c r="E27" s="146">
        <v>3097</v>
      </c>
      <c r="F27" s="146">
        <v>1000</v>
      </c>
      <c r="G27" s="213" t="s">
        <v>500</v>
      </c>
      <c r="H27" s="146">
        <v>2097</v>
      </c>
      <c r="I27" s="215">
        <v>0</v>
      </c>
      <c r="J27" s="215">
        <v>0</v>
      </c>
      <c r="K27" s="215">
        <v>0</v>
      </c>
      <c r="L27" s="146">
        <v>2097</v>
      </c>
    </row>
    <row r="28" spans="1:12" outlineLevel="2" x14ac:dyDescent="0.25">
      <c r="A28" s="40" t="s">
        <v>165</v>
      </c>
      <c r="B28" s="196" t="s">
        <v>150</v>
      </c>
      <c r="C28" s="3" t="s">
        <v>151</v>
      </c>
      <c r="D28" s="40">
        <v>171</v>
      </c>
      <c r="E28" s="146">
        <v>15251</v>
      </c>
      <c r="F28" s="146">
        <v>1000</v>
      </c>
      <c r="G28" s="213" t="s">
        <v>500</v>
      </c>
      <c r="H28" s="146">
        <v>14251</v>
      </c>
      <c r="I28" s="215">
        <v>0</v>
      </c>
      <c r="J28" s="215">
        <v>0</v>
      </c>
      <c r="K28" s="215">
        <v>0</v>
      </c>
      <c r="L28" s="146">
        <v>14251</v>
      </c>
    </row>
    <row r="29" spans="1:12" ht="29.1" customHeight="1" outlineLevel="2" x14ac:dyDescent="0.25">
      <c r="A29" s="40" t="s">
        <v>165</v>
      </c>
      <c r="B29" s="196" t="s">
        <v>152</v>
      </c>
      <c r="C29" s="3" t="s">
        <v>149</v>
      </c>
      <c r="D29" s="40">
        <v>258</v>
      </c>
      <c r="E29" s="146">
        <v>53492</v>
      </c>
      <c r="F29" s="146">
        <v>1000</v>
      </c>
      <c r="G29" s="213" t="s">
        <v>500</v>
      </c>
      <c r="H29" s="146">
        <v>52492</v>
      </c>
      <c r="I29" s="215">
        <v>0</v>
      </c>
      <c r="J29" s="215">
        <v>0</v>
      </c>
      <c r="K29" s="215">
        <v>0</v>
      </c>
      <c r="L29" s="146">
        <v>52492</v>
      </c>
    </row>
    <row r="30" spans="1:12" outlineLevel="2" x14ac:dyDescent="0.25">
      <c r="A30" s="40" t="s">
        <v>165</v>
      </c>
      <c r="B30" s="196" t="s">
        <v>153</v>
      </c>
      <c r="C30" s="3" t="s">
        <v>126</v>
      </c>
      <c r="D30" s="40">
        <v>260</v>
      </c>
      <c r="E30" s="146">
        <v>105162</v>
      </c>
      <c r="F30" s="146">
        <v>1000</v>
      </c>
      <c r="G30" s="213" t="s">
        <v>500</v>
      </c>
      <c r="H30" s="146">
        <v>104162</v>
      </c>
      <c r="I30" s="215">
        <v>0</v>
      </c>
      <c r="J30" s="215">
        <v>0</v>
      </c>
      <c r="K30" s="215">
        <v>0</v>
      </c>
      <c r="L30" s="146">
        <v>104162</v>
      </c>
    </row>
    <row r="31" spans="1:12" ht="30.75" outlineLevel="2" x14ac:dyDescent="0.25">
      <c r="A31" s="40" t="s">
        <v>165</v>
      </c>
      <c r="B31" s="196" t="s">
        <v>154</v>
      </c>
      <c r="C31" s="3" t="s">
        <v>155</v>
      </c>
      <c r="D31" s="40">
        <v>367</v>
      </c>
      <c r="E31" s="146">
        <v>92147</v>
      </c>
      <c r="F31" s="146">
        <v>1000</v>
      </c>
      <c r="G31" s="213" t="s">
        <v>500</v>
      </c>
      <c r="H31" s="146">
        <v>91147</v>
      </c>
      <c r="I31" s="215">
        <v>0</v>
      </c>
      <c r="J31" s="215">
        <v>0</v>
      </c>
      <c r="K31" s="215">
        <v>0</v>
      </c>
      <c r="L31" s="146">
        <v>91147</v>
      </c>
    </row>
    <row r="32" spans="1:12" outlineLevel="2" x14ac:dyDescent="0.25">
      <c r="A32" s="40" t="s">
        <v>165</v>
      </c>
      <c r="B32" s="196" t="s">
        <v>180</v>
      </c>
      <c r="C32" s="3" t="s">
        <v>181</v>
      </c>
      <c r="D32" s="40">
        <v>346</v>
      </c>
      <c r="E32" s="146">
        <v>1195</v>
      </c>
      <c r="F32" s="146">
        <v>1000</v>
      </c>
      <c r="G32" s="213" t="s">
        <v>500</v>
      </c>
      <c r="H32" s="146">
        <v>195</v>
      </c>
      <c r="I32" s="215">
        <v>0</v>
      </c>
      <c r="J32" s="215">
        <v>0</v>
      </c>
      <c r="K32" s="215">
        <v>0</v>
      </c>
      <c r="L32" s="146">
        <v>195</v>
      </c>
    </row>
    <row r="33" spans="1:12" ht="15.6" customHeight="1" outlineLevel="2" x14ac:dyDescent="0.25">
      <c r="A33" s="40" t="s">
        <v>165</v>
      </c>
      <c r="B33" s="196" t="s">
        <v>156</v>
      </c>
      <c r="C33" s="3" t="s">
        <v>157</v>
      </c>
      <c r="D33" s="40">
        <v>351</v>
      </c>
      <c r="E33" s="146">
        <v>10813</v>
      </c>
      <c r="F33" s="146">
        <v>1000</v>
      </c>
      <c r="G33" s="213" t="s">
        <v>500</v>
      </c>
      <c r="H33" s="146">
        <v>9813</v>
      </c>
      <c r="I33" s="215">
        <v>0</v>
      </c>
      <c r="J33" s="215">
        <v>0</v>
      </c>
      <c r="K33" s="215">
        <v>0</v>
      </c>
      <c r="L33" s="146">
        <v>9813</v>
      </c>
    </row>
    <row r="34" spans="1:12" ht="14.45" customHeight="1" outlineLevel="2" x14ac:dyDescent="0.25">
      <c r="A34" s="216" t="s">
        <v>202</v>
      </c>
      <c r="B34" s="184" t="s">
        <v>500</v>
      </c>
      <c r="C34" s="74" t="s">
        <v>500</v>
      </c>
      <c r="D34" s="180" t="s">
        <v>500</v>
      </c>
      <c r="E34" s="78">
        <f>SUBTOTAL(109,school201819[Program
Costs])</f>
        <v>4130891</v>
      </c>
      <c r="F34" s="78">
        <f>SUBTOTAL(109,school201819[Less: Net Payments and Offsets 10])</f>
        <v>31000</v>
      </c>
      <c r="G34" s="74" t="s">
        <v>500</v>
      </c>
      <c r="H34" s="78">
        <f>SUBTOTAL(109,school201819[Accounts Payable
Balance])</f>
        <v>4099891</v>
      </c>
      <c r="I34" s="179">
        <f>SUBTOTAL(109,school201819[Established
Accounts Receivable])</f>
        <v>0</v>
      </c>
      <c r="J34" s="179">
        <f>SUBTOTAL(109,school201819[Less: Recovered Amount])</f>
        <v>0</v>
      </c>
      <c r="K34" s="179">
        <f>SUBTOTAL(109,school201819[Accounts Receivable
Balance])</f>
        <v>0</v>
      </c>
      <c r="L34" s="78">
        <f>SUBTOTAL(109,school201819[Net
Balance])</f>
        <v>4099891</v>
      </c>
    </row>
    <row r="35" spans="1:12" s="3" customFormat="1" ht="15.6" customHeight="1" outlineLevel="1" x14ac:dyDescent="0.2">
      <c r="A35" s="214" t="s">
        <v>508</v>
      </c>
      <c r="B35" s="196"/>
      <c r="D35" s="40"/>
      <c r="E35" s="146"/>
      <c r="F35" s="146"/>
      <c r="G35" s="146"/>
      <c r="H35" s="146"/>
      <c r="I35" s="146"/>
      <c r="J35" s="146"/>
      <c r="K35" s="146"/>
      <c r="L35" s="146"/>
    </row>
    <row r="36" spans="1:12" ht="50.1" customHeight="1" outlineLevel="2" x14ac:dyDescent="0.25">
      <c r="A36" s="204" t="s">
        <v>98</v>
      </c>
      <c r="B36" s="204" t="s">
        <v>99</v>
      </c>
      <c r="C36" s="176" t="s">
        <v>1</v>
      </c>
      <c r="D36" s="204" t="s">
        <v>195</v>
      </c>
      <c r="E36" s="238" t="s">
        <v>188</v>
      </c>
      <c r="F36" s="239" t="s">
        <v>533</v>
      </c>
      <c r="G36" s="212" t="s">
        <v>532</v>
      </c>
      <c r="H36" s="210" t="s">
        <v>528</v>
      </c>
      <c r="I36" s="210" t="s">
        <v>529</v>
      </c>
      <c r="J36" s="238" t="s">
        <v>197</v>
      </c>
      <c r="K36" s="210" t="s">
        <v>530</v>
      </c>
      <c r="L36" s="238" t="s">
        <v>196</v>
      </c>
    </row>
    <row r="37" spans="1:12" ht="30.75" outlineLevel="2" x14ac:dyDescent="0.25">
      <c r="A37" s="40" t="s">
        <v>16</v>
      </c>
      <c r="B37" s="196" t="s">
        <v>101</v>
      </c>
      <c r="C37" s="3" t="s">
        <v>102</v>
      </c>
      <c r="D37" s="40">
        <v>250</v>
      </c>
      <c r="E37" s="146">
        <v>18960</v>
      </c>
      <c r="F37" s="146">
        <v>1000</v>
      </c>
      <c r="G37" s="213" t="s">
        <v>500</v>
      </c>
      <c r="H37" s="146">
        <v>17960</v>
      </c>
      <c r="I37" s="215">
        <v>0</v>
      </c>
      <c r="J37" s="215">
        <v>0</v>
      </c>
      <c r="K37" s="215">
        <v>0</v>
      </c>
      <c r="L37" s="146">
        <v>17960</v>
      </c>
    </row>
    <row r="38" spans="1:12" ht="30.75" outlineLevel="2" x14ac:dyDescent="0.25">
      <c r="A38" s="40" t="s">
        <v>16</v>
      </c>
      <c r="B38" s="196" t="s">
        <v>107</v>
      </c>
      <c r="C38" s="3" t="s">
        <v>108</v>
      </c>
      <c r="D38" s="40">
        <v>370</v>
      </c>
      <c r="E38" s="146">
        <v>206525</v>
      </c>
      <c r="F38" s="146">
        <v>1000</v>
      </c>
      <c r="G38" s="213" t="s">
        <v>500</v>
      </c>
      <c r="H38" s="146">
        <v>205525</v>
      </c>
      <c r="I38" s="215">
        <v>0</v>
      </c>
      <c r="J38" s="215">
        <v>0</v>
      </c>
      <c r="K38" s="215">
        <v>0</v>
      </c>
      <c r="L38" s="146">
        <v>205525</v>
      </c>
    </row>
    <row r="39" spans="1:12" ht="30.75" outlineLevel="2" x14ac:dyDescent="0.25">
      <c r="A39" s="40" t="s">
        <v>16</v>
      </c>
      <c r="B39" s="196" t="s">
        <v>105</v>
      </c>
      <c r="C39" s="3" t="s">
        <v>106</v>
      </c>
      <c r="D39" s="40">
        <v>369</v>
      </c>
      <c r="E39" s="146">
        <v>92251</v>
      </c>
      <c r="F39" s="146">
        <v>1000</v>
      </c>
      <c r="G39" s="213" t="s">
        <v>500</v>
      </c>
      <c r="H39" s="146">
        <v>91251</v>
      </c>
      <c r="I39" s="215">
        <v>0</v>
      </c>
      <c r="J39" s="215">
        <v>0</v>
      </c>
      <c r="K39" s="215">
        <v>0</v>
      </c>
      <c r="L39" s="146">
        <v>91251</v>
      </c>
    </row>
    <row r="40" spans="1:12" ht="30.75" outlineLevel="2" x14ac:dyDescent="0.25">
      <c r="A40" s="40" t="s">
        <v>16</v>
      </c>
      <c r="B40" s="196" t="s">
        <v>109</v>
      </c>
      <c r="C40" s="3" t="s">
        <v>110</v>
      </c>
      <c r="D40" s="40">
        <v>172</v>
      </c>
      <c r="E40" s="146">
        <v>2572</v>
      </c>
      <c r="F40" s="146">
        <v>1000</v>
      </c>
      <c r="G40" s="213" t="s">
        <v>500</v>
      </c>
      <c r="H40" s="146">
        <v>1572</v>
      </c>
      <c r="I40" s="215">
        <v>0</v>
      </c>
      <c r="J40" s="215">
        <v>0</v>
      </c>
      <c r="K40" s="215">
        <v>0</v>
      </c>
      <c r="L40" s="146">
        <v>1572</v>
      </c>
    </row>
    <row r="41" spans="1:12" outlineLevel="2" x14ac:dyDescent="0.25">
      <c r="A41" s="40" t="s">
        <v>16</v>
      </c>
      <c r="B41" s="196" t="s">
        <v>309</v>
      </c>
      <c r="C41" s="3" t="s">
        <v>310</v>
      </c>
      <c r="D41" s="40">
        <v>278</v>
      </c>
      <c r="E41" s="146">
        <v>7603</v>
      </c>
      <c r="F41" s="146">
        <v>1000</v>
      </c>
      <c r="G41" s="213" t="s">
        <v>500</v>
      </c>
      <c r="H41" s="146">
        <v>6603</v>
      </c>
      <c r="I41" s="215">
        <v>0</v>
      </c>
      <c r="J41" s="215">
        <v>0</v>
      </c>
      <c r="K41" s="215">
        <v>0</v>
      </c>
      <c r="L41" s="146">
        <v>6603</v>
      </c>
    </row>
    <row r="42" spans="1:12" ht="14.45" customHeight="1" outlineLevel="2" x14ac:dyDescent="0.25">
      <c r="A42" s="40" t="s">
        <v>16</v>
      </c>
      <c r="B42" s="196" t="s">
        <v>115</v>
      </c>
      <c r="C42" s="3" t="s">
        <v>116</v>
      </c>
      <c r="D42" s="40">
        <v>11</v>
      </c>
      <c r="E42" s="146">
        <v>185663</v>
      </c>
      <c r="F42" s="146">
        <v>1000</v>
      </c>
      <c r="G42" s="213" t="s">
        <v>500</v>
      </c>
      <c r="H42" s="146">
        <v>184663</v>
      </c>
      <c r="I42" s="215">
        <v>0</v>
      </c>
      <c r="J42" s="215">
        <v>0</v>
      </c>
      <c r="K42" s="215">
        <v>0</v>
      </c>
      <c r="L42" s="146">
        <v>184663</v>
      </c>
    </row>
    <row r="43" spans="1:12" ht="15.6" customHeight="1" outlineLevel="2" x14ac:dyDescent="0.25">
      <c r="A43" s="40" t="s">
        <v>16</v>
      </c>
      <c r="B43" s="196" t="s">
        <v>117</v>
      </c>
      <c r="C43" s="3" t="s">
        <v>118</v>
      </c>
      <c r="D43" s="40">
        <v>313</v>
      </c>
      <c r="E43" s="146">
        <v>52448</v>
      </c>
      <c r="F43" s="146">
        <v>1000</v>
      </c>
      <c r="G43" s="213" t="s">
        <v>500</v>
      </c>
      <c r="H43" s="146">
        <v>51448</v>
      </c>
      <c r="I43" s="215">
        <v>0</v>
      </c>
      <c r="J43" s="215">
        <v>0</v>
      </c>
      <c r="K43" s="215">
        <v>0</v>
      </c>
      <c r="L43" s="146">
        <v>51448</v>
      </c>
    </row>
    <row r="44" spans="1:12" ht="30.75" outlineLevel="2" x14ac:dyDescent="0.25">
      <c r="A44" s="40" t="s">
        <v>16</v>
      </c>
      <c r="B44" s="196" t="s">
        <v>111</v>
      </c>
      <c r="C44" s="3" t="s">
        <v>112</v>
      </c>
      <c r="D44" s="40">
        <v>330</v>
      </c>
      <c r="E44" s="146">
        <v>50776</v>
      </c>
      <c r="F44" s="146">
        <v>1000</v>
      </c>
      <c r="G44" s="213" t="s">
        <v>500</v>
      </c>
      <c r="H44" s="146">
        <v>49776</v>
      </c>
      <c r="I44" s="215">
        <v>0</v>
      </c>
      <c r="J44" s="215">
        <v>0</v>
      </c>
      <c r="K44" s="215">
        <v>0</v>
      </c>
      <c r="L44" s="146">
        <v>49776</v>
      </c>
    </row>
    <row r="45" spans="1:12" ht="45.75" outlineLevel="2" x14ac:dyDescent="0.25">
      <c r="A45" s="40" t="s">
        <v>16</v>
      </c>
      <c r="B45" s="196" t="s">
        <v>103</v>
      </c>
      <c r="C45" s="3" t="s">
        <v>104</v>
      </c>
      <c r="D45" s="40">
        <v>272</v>
      </c>
      <c r="E45" s="146">
        <v>37266</v>
      </c>
      <c r="F45" s="146">
        <v>1000</v>
      </c>
      <c r="G45" s="213" t="s">
        <v>500</v>
      </c>
      <c r="H45" s="146">
        <v>36266</v>
      </c>
      <c r="I45" s="215">
        <v>0</v>
      </c>
      <c r="J45" s="215">
        <v>0</v>
      </c>
      <c r="K45" s="215">
        <v>0</v>
      </c>
      <c r="L45" s="146">
        <v>36266</v>
      </c>
    </row>
    <row r="46" spans="1:12" ht="46.5" customHeight="1" outlineLevel="2" x14ac:dyDescent="0.25">
      <c r="A46" s="40" t="s">
        <v>16</v>
      </c>
      <c r="B46" s="196" t="s">
        <v>139</v>
      </c>
      <c r="C46" s="3" t="s">
        <v>140</v>
      </c>
      <c r="D46" s="40">
        <v>276</v>
      </c>
      <c r="E46" s="146">
        <v>5401</v>
      </c>
      <c r="F46" s="146">
        <v>1000</v>
      </c>
      <c r="G46" s="213" t="s">
        <v>500</v>
      </c>
      <c r="H46" s="146">
        <v>4401</v>
      </c>
      <c r="I46" s="215">
        <v>0</v>
      </c>
      <c r="J46" s="215">
        <v>0</v>
      </c>
      <c r="K46" s="215">
        <v>0</v>
      </c>
      <c r="L46" s="146">
        <v>4401</v>
      </c>
    </row>
    <row r="47" spans="1:12" ht="78" customHeight="1" outlineLevel="2" x14ac:dyDescent="0.25">
      <c r="A47" s="40" t="s">
        <v>16</v>
      </c>
      <c r="B47" s="196" t="s">
        <v>142</v>
      </c>
      <c r="C47" s="3" t="s">
        <v>143</v>
      </c>
      <c r="D47" s="40">
        <v>292</v>
      </c>
      <c r="E47" s="146">
        <v>68320</v>
      </c>
      <c r="F47" s="146">
        <v>1000</v>
      </c>
      <c r="G47" s="213" t="s">
        <v>500</v>
      </c>
      <c r="H47" s="146">
        <v>67320</v>
      </c>
      <c r="I47" s="215">
        <v>0</v>
      </c>
      <c r="J47" s="215">
        <v>0</v>
      </c>
      <c r="K47" s="215">
        <v>0</v>
      </c>
      <c r="L47" s="146">
        <v>67320</v>
      </c>
    </row>
    <row r="48" spans="1:12" ht="30.75" outlineLevel="2" x14ac:dyDescent="0.25">
      <c r="A48" s="40" t="s">
        <v>16</v>
      </c>
      <c r="B48" s="196" t="s">
        <v>113</v>
      </c>
      <c r="C48" s="3" t="s">
        <v>114</v>
      </c>
      <c r="D48" s="40">
        <v>209</v>
      </c>
      <c r="E48" s="146">
        <v>52760</v>
      </c>
      <c r="F48" s="146">
        <v>1000</v>
      </c>
      <c r="G48" s="213" t="s">
        <v>500</v>
      </c>
      <c r="H48" s="146">
        <v>51760</v>
      </c>
      <c r="I48" s="215">
        <v>0</v>
      </c>
      <c r="J48" s="215">
        <v>0</v>
      </c>
      <c r="K48" s="215">
        <v>0</v>
      </c>
      <c r="L48" s="146">
        <v>51760</v>
      </c>
    </row>
    <row r="49" spans="1:12" outlineLevel="2" x14ac:dyDescent="0.25">
      <c r="A49" s="40" t="s">
        <v>16</v>
      </c>
      <c r="B49" s="196" t="s">
        <v>119</v>
      </c>
      <c r="C49" s="3" t="s">
        <v>120</v>
      </c>
      <c r="D49" s="40">
        <v>183</v>
      </c>
      <c r="E49" s="146">
        <v>16550</v>
      </c>
      <c r="F49" s="146">
        <v>1000</v>
      </c>
      <c r="G49" s="213" t="s">
        <v>500</v>
      </c>
      <c r="H49" s="146">
        <v>15550</v>
      </c>
      <c r="I49" s="215">
        <v>0</v>
      </c>
      <c r="J49" s="215">
        <v>0</v>
      </c>
      <c r="K49" s="215">
        <v>0</v>
      </c>
      <c r="L49" s="146">
        <v>15550</v>
      </c>
    </row>
    <row r="50" spans="1:12" outlineLevel="2" x14ac:dyDescent="0.25">
      <c r="A50" s="40" t="s">
        <v>16</v>
      </c>
      <c r="B50" s="196" t="s">
        <v>121</v>
      </c>
      <c r="C50" s="3" t="s">
        <v>122</v>
      </c>
      <c r="D50" s="40">
        <v>251</v>
      </c>
      <c r="E50" s="146">
        <v>3144</v>
      </c>
      <c r="F50" s="146">
        <v>1000</v>
      </c>
      <c r="G50" s="213" t="s">
        <v>500</v>
      </c>
      <c r="H50" s="146">
        <v>2144</v>
      </c>
      <c r="I50" s="215">
        <v>0</v>
      </c>
      <c r="J50" s="215">
        <v>0</v>
      </c>
      <c r="K50" s="215">
        <v>0</v>
      </c>
      <c r="L50" s="146">
        <v>2144</v>
      </c>
    </row>
    <row r="51" spans="1:12" outlineLevel="2" x14ac:dyDescent="0.25">
      <c r="A51" s="40" t="s">
        <v>16</v>
      </c>
      <c r="B51" s="196" t="s">
        <v>123</v>
      </c>
      <c r="C51" s="3" t="s">
        <v>124</v>
      </c>
      <c r="D51" s="40">
        <v>192</v>
      </c>
      <c r="E51" s="146">
        <v>13420</v>
      </c>
      <c r="F51" s="146">
        <v>1000</v>
      </c>
      <c r="G51" s="213" t="s">
        <v>500</v>
      </c>
      <c r="H51" s="146">
        <v>12420</v>
      </c>
      <c r="I51" s="215">
        <v>0</v>
      </c>
      <c r="J51" s="215">
        <v>0</v>
      </c>
      <c r="K51" s="215">
        <v>0</v>
      </c>
      <c r="L51" s="146">
        <v>12420</v>
      </c>
    </row>
    <row r="52" spans="1:12" ht="30.75" outlineLevel="2" x14ac:dyDescent="0.25">
      <c r="A52" s="40" t="s">
        <v>16</v>
      </c>
      <c r="B52" s="196" t="s">
        <v>125</v>
      </c>
      <c r="C52" s="3" t="s">
        <v>126</v>
      </c>
      <c r="D52" s="40">
        <v>297</v>
      </c>
      <c r="E52" s="146">
        <v>3674720</v>
      </c>
      <c r="F52" s="146">
        <v>1000</v>
      </c>
      <c r="G52" s="213" t="s">
        <v>500</v>
      </c>
      <c r="H52" s="146">
        <v>3673720</v>
      </c>
      <c r="I52" s="215">
        <v>0</v>
      </c>
      <c r="J52" s="215">
        <v>0</v>
      </c>
      <c r="K52" s="215">
        <v>0</v>
      </c>
      <c r="L52" s="146">
        <v>3673720</v>
      </c>
    </row>
    <row r="53" spans="1:12" outlineLevel="2" x14ac:dyDescent="0.25">
      <c r="A53" s="40" t="s">
        <v>16</v>
      </c>
      <c r="B53" s="196" t="s">
        <v>127</v>
      </c>
      <c r="C53" s="3" t="s">
        <v>128</v>
      </c>
      <c r="D53" s="40">
        <v>166</v>
      </c>
      <c r="E53" s="146">
        <v>138292</v>
      </c>
      <c r="F53" s="146">
        <v>1000</v>
      </c>
      <c r="G53" s="213" t="s">
        <v>500</v>
      </c>
      <c r="H53" s="146">
        <v>137292</v>
      </c>
      <c r="I53" s="215">
        <v>0</v>
      </c>
      <c r="J53" s="215">
        <v>0</v>
      </c>
      <c r="K53" s="215">
        <v>0</v>
      </c>
      <c r="L53" s="146">
        <v>137292</v>
      </c>
    </row>
    <row r="54" spans="1:12" outlineLevel="2" x14ac:dyDescent="0.25">
      <c r="A54" s="40" t="s">
        <v>16</v>
      </c>
      <c r="B54" s="196" t="s">
        <v>133</v>
      </c>
      <c r="C54" s="3" t="s">
        <v>134</v>
      </c>
      <c r="D54" s="40">
        <v>32</v>
      </c>
      <c r="E54" s="146">
        <v>18488</v>
      </c>
      <c r="F54" s="146">
        <v>1000</v>
      </c>
      <c r="G54" s="213" t="s">
        <v>500</v>
      </c>
      <c r="H54" s="146">
        <v>17488</v>
      </c>
      <c r="I54" s="215">
        <v>0</v>
      </c>
      <c r="J54" s="215">
        <v>0</v>
      </c>
      <c r="K54" s="215">
        <v>0</v>
      </c>
      <c r="L54" s="146">
        <v>17488</v>
      </c>
    </row>
    <row r="55" spans="1:12" ht="30.75" outlineLevel="2" x14ac:dyDescent="0.25">
      <c r="A55" s="40" t="s">
        <v>16</v>
      </c>
      <c r="B55" s="196" t="s">
        <v>129</v>
      </c>
      <c r="C55" s="3" t="s">
        <v>130</v>
      </c>
      <c r="D55" s="40">
        <v>368</v>
      </c>
      <c r="E55" s="146">
        <v>21734</v>
      </c>
      <c r="F55" s="146">
        <v>1000</v>
      </c>
      <c r="G55" s="213" t="s">
        <v>500</v>
      </c>
      <c r="H55" s="146">
        <v>20734</v>
      </c>
      <c r="I55" s="215">
        <v>0</v>
      </c>
      <c r="J55" s="215">
        <v>0</v>
      </c>
      <c r="K55" s="215">
        <v>0</v>
      </c>
      <c r="L55" s="146">
        <v>20734</v>
      </c>
    </row>
    <row r="56" spans="1:12" outlineLevel="2" x14ac:dyDescent="0.25">
      <c r="A56" s="40" t="s">
        <v>16</v>
      </c>
      <c r="B56" s="196" t="s">
        <v>131</v>
      </c>
      <c r="C56" s="3" t="s">
        <v>132</v>
      </c>
      <c r="D56" s="40">
        <v>357</v>
      </c>
      <c r="E56" s="146">
        <v>15235</v>
      </c>
      <c r="F56" s="146">
        <v>1000</v>
      </c>
      <c r="G56" s="213" t="s">
        <v>500</v>
      </c>
      <c r="H56" s="146">
        <v>14235</v>
      </c>
      <c r="I56" s="215">
        <v>0</v>
      </c>
      <c r="J56" s="215">
        <v>0</v>
      </c>
      <c r="K56" s="215">
        <v>0</v>
      </c>
      <c r="L56" s="146">
        <v>14235</v>
      </c>
    </row>
    <row r="57" spans="1:12" outlineLevel="2" x14ac:dyDescent="0.25">
      <c r="A57" s="40" t="s">
        <v>16</v>
      </c>
      <c r="B57" s="196" t="s">
        <v>135</v>
      </c>
      <c r="C57" s="3" t="s">
        <v>136</v>
      </c>
      <c r="D57" s="40">
        <v>153</v>
      </c>
      <c r="E57" s="146">
        <v>7120</v>
      </c>
      <c r="F57" s="146">
        <v>1000</v>
      </c>
      <c r="G57" s="213" t="s">
        <v>500</v>
      </c>
      <c r="H57" s="146">
        <v>6120</v>
      </c>
      <c r="I57" s="215">
        <v>0</v>
      </c>
      <c r="J57" s="215">
        <v>0</v>
      </c>
      <c r="K57" s="215">
        <v>0</v>
      </c>
      <c r="L57" s="146">
        <v>6120</v>
      </c>
    </row>
    <row r="58" spans="1:12" outlineLevel="2" x14ac:dyDescent="0.25">
      <c r="A58" s="40" t="s">
        <v>16</v>
      </c>
      <c r="B58" s="196" t="s">
        <v>137</v>
      </c>
      <c r="C58" s="3" t="s">
        <v>138</v>
      </c>
      <c r="D58" s="40">
        <v>155</v>
      </c>
      <c r="E58" s="146">
        <v>3677</v>
      </c>
      <c r="F58" s="146">
        <v>1000</v>
      </c>
      <c r="G58" s="213" t="s">
        <v>500</v>
      </c>
      <c r="H58" s="146">
        <v>2677</v>
      </c>
      <c r="I58" s="215">
        <v>0</v>
      </c>
      <c r="J58" s="215">
        <v>0</v>
      </c>
      <c r="K58" s="215">
        <v>0</v>
      </c>
      <c r="L58" s="146">
        <v>2677</v>
      </c>
    </row>
    <row r="59" spans="1:12" outlineLevel="2" x14ac:dyDescent="0.25">
      <c r="A59" s="40" t="s">
        <v>16</v>
      </c>
      <c r="B59" s="196" t="s">
        <v>141</v>
      </c>
      <c r="C59" s="3" t="s">
        <v>126</v>
      </c>
      <c r="D59" s="40">
        <v>48</v>
      </c>
      <c r="E59" s="146">
        <v>161660</v>
      </c>
      <c r="F59" s="146">
        <v>1000</v>
      </c>
      <c r="G59" s="213" t="s">
        <v>500</v>
      </c>
      <c r="H59" s="146">
        <v>160660</v>
      </c>
      <c r="I59" s="215">
        <v>0</v>
      </c>
      <c r="J59" s="215">
        <v>0</v>
      </c>
      <c r="K59" s="215">
        <v>0</v>
      </c>
      <c r="L59" s="146">
        <v>160660</v>
      </c>
    </row>
    <row r="60" spans="1:12" outlineLevel="2" x14ac:dyDescent="0.25">
      <c r="A60" s="40" t="s">
        <v>16</v>
      </c>
      <c r="B60" s="196" t="s">
        <v>144</v>
      </c>
      <c r="C60" s="3" t="s">
        <v>145</v>
      </c>
      <c r="D60" s="40">
        <v>350</v>
      </c>
      <c r="E60" s="146">
        <v>5051</v>
      </c>
      <c r="F60" s="146">
        <v>1000</v>
      </c>
      <c r="G60" s="213" t="s">
        <v>500</v>
      </c>
      <c r="H60" s="146">
        <v>4051</v>
      </c>
      <c r="I60" s="215">
        <v>0</v>
      </c>
      <c r="J60" s="215">
        <v>0</v>
      </c>
      <c r="K60" s="215">
        <v>0</v>
      </c>
      <c r="L60" s="146">
        <v>4051</v>
      </c>
    </row>
    <row r="61" spans="1:12" outlineLevel="2" x14ac:dyDescent="0.25">
      <c r="A61" s="40" t="s">
        <v>16</v>
      </c>
      <c r="B61" s="196" t="s">
        <v>146</v>
      </c>
      <c r="C61" s="3" t="s">
        <v>147</v>
      </c>
      <c r="D61" s="40">
        <v>173</v>
      </c>
      <c r="E61" s="146">
        <v>19997</v>
      </c>
      <c r="F61" s="146">
        <v>1000</v>
      </c>
      <c r="G61" s="213" t="s">
        <v>500</v>
      </c>
      <c r="H61" s="146">
        <v>18997</v>
      </c>
      <c r="I61" s="215">
        <v>0</v>
      </c>
      <c r="J61" s="215">
        <v>0</v>
      </c>
      <c r="K61" s="215">
        <v>0</v>
      </c>
      <c r="L61" s="146">
        <v>18997</v>
      </c>
    </row>
    <row r="62" spans="1:12" ht="30.95" customHeight="1" outlineLevel="2" x14ac:dyDescent="0.25">
      <c r="A62" s="40" t="s">
        <v>16</v>
      </c>
      <c r="B62" s="196" t="s">
        <v>311</v>
      </c>
      <c r="C62" s="3" t="s">
        <v>312</v>
      </c>
      <c r="D62" s="40">
        <v>261</v>
      </c>
      <c r="E62" s="146">
        <v>4052</v>
      </c>
      <c r="F62" s="146">
        <v>1000</v>
      </c>
      <c r="G62" s="213" t="s">
        <v>500</v>
      </c>
      <c r="H62" s="146">
        <v>3052</v>
      </c>
      <c r="I62" s="215">
        <v>0</v>
      </c>
      <c r="J62" s="215">
        <v>0</v>
      </c>
      <c r="K62" s="215">
        <v>0</v>
      </c>
      <c r="L62" s="146">
        <v>3052</v>
      </c>
    </row>
    <row r="63" spans="1:12" outlineLevel="2" x14ac:dyDescent="0.25">
      <c r="A63" s="40" t="s">
        <v>16</v>
      </c>
      <c r="B63" s="196" t="s">
        <v>148</v>
      </c>
      <c r="C63" s="3" t="s">
        <v>149</v>
      </c>
      <c r="D63" s="40">
        <v>244</v>
      </c>
      <c r="E63" s="146">
        <v>16313</v>
      </c>
      <c r="F63" s="146">
        <v>1000</v>
      </c>
      <c r="G63" s="213" t="s">
        <v>500</v>
      </c>
      <c r="H63" s="146">
        <v>15313</v>
      </c>
      <c r="I63" s="215">
        <v>0</v>
      </c>
      <c r="J63" s="215">
        <v>0</v>
      </c>
      <c r="K63" s="215">
        <v>0</v>
      </c>
      <c r="L63" s="146">
        <v>15313</v>
      </c>
    </row>
    <row r="64" spans="1:12" ht="15.6" customHeight="1" outlineLevel="2" x14ac:dyDescent="0.25">
      <c r="A64" s="40" t="s">
        <v>16</v>
      </c>
      <c r="B64" s="196" t="s">
        <v>150</v>
      </c>
      <c r="C64" s="3" t="s">
        <v>151</v>
      </c>
      <c r="D64" s="40">
        <v>171</v>
      </c>
      <c r="E64" s="146">
        <v>18422</v>
      </c>
      <c r="F64" s="146">
        <v>1000</v>
      </c>
      <c r="G64" s="213" t="s">
        <v>500</v>
      </c>
      <c r="H64" s="146">
        <v>17422</v>
      </c>
      <c r="I64" s="215">
        <v>0</v>
      </c>
      <c r="J64" s="215">
        <v>0</v>
      </c>
      <c r="K64" s="215">
        <v>0</v>
      </c>
      <c r="L64" s="146">
        <v>17422</v>
      </c>
    </row>
    <row r="65" spans="1:12" ht="45.75" outlineLevel="2" x14ac:dyDescent="0.25">
      <c r="A65" s="40" t="s">
        <v>16</v>
      </c>
      <c r="B65" s="196" t="s">
        <v>152</v>
      </c>
      <c r="C65" s="3" t="s">
        <v>149</v>
      </c>
      <c r="D65" s="40">
        <v>258</v>
      </c>
      <c r="E65" s="146">
        <v>68578</v>
      </c>
      <c r="F65" s="146">
        <v>1000</v>
      </c>
      <c r="G65" s="213" t="s">
        <v>500</v>
      </c>
      <c r="H65" s="146">
        <v>67578</v>
      </c>
      <c r="I65" s="215">
        <v>0</v>
      </c>
      <c r="J65" s="215">
        <v>0</v>
      </c>
      <c r="K65" s="215">
        <v>0</v>
      </c>
      <c r="L65" s="146">
        <v>67578</v>
      </c>
    </row>
    <row r="66" spans="1:12" outlineLevel="2" x14ac:dyDescent="0.25">
      <c r="A66" s="40" t="s">
        <v>16</v>
      </c>
      <c r="B66" s="196" t="s">
        <v>153</v>
      </c>
      <c r="C66" s="3" t="s">
        <v>126</v>
      </c>
      <c r="D66" s="40">
        <v>260</v>
      </c>
      <c r="E66" s="146">
        <v>192758</v>
      </c>
      <c r="F66" s="146">
        <v>1000</v>
      </c>
      <c r="G66" s="213" t="s">
        <v>500</v>
      </c>
      <c r="H66" s="146">
        <v>191758</v>
      </c>
      <c r="I66" s="215">
        <v>0</v>
      </c>
      <c r="J66" s="215">
        <v>0</v>
      </c>
      <c r="K66" s="215">
        <v>0</v>
      </c>
      <c r="L66" s="146">
        <v>191758</v>
      </c>
    </row>
    <row r="67" spans="1:12" ht="14.45" customHeight="1" outlineLevel="2" x14ac:dyDescent="0.25">
      <c r="A67" s="40" t="s">
        <v>16</v>
      </c>
      <c r="B67" s="196" t="s">
        <v>154</v>
      </c>
      <c r="C67" s="3" t="s">
        <v>155</v>
      </c>
      <c r="D67" s="40">
        <v>367</v>
      </c>
      <c r="E67" s="146">
        <v>163922</v>
      </c>
      <c r="F67" s="146">
        <v>1000</v>
      </c>
      <c r="G67" s="213" t="s">
        <v>500</v>
      </c>
      <c r="H67" s="146">
        <v>162922</v>
      </c>
      <c r="I67" s="215">
        <v>0</v>
      </c>
      <c r="J67" s="215">
        <v>0</v>
      </c>
      <c r="K67" s="215">
        <v>0</v>
      </c>
      <c r="L67" s="146">
        <v>162922</v>
      </c>
    </row>
    <row r="68" spans="1:12" ht="15.6" customHeight="1" outlineLevel="1" x14ac:dyDescent="0.25">
      <c r="A68" s="40" t="s">
        <v>16</v>
      </c>
      <c r="B68" s="196" t="s">
        <v>156</v>
      </c>
      <c r="C68" s="3" t="s">
        <v>157</v>
      </c>
      <c r="D68" s="40">
        <v>351</v>
      </c>
      <c r="E68" s="146">
        <v>14783</v>
      </c>
      <c r="F68" s="146">
        <v>1000</v>
      </c>
      <c r="G68" s="213" t="s">
        <v>500</v>
      </c>
      <c r="H68" s="146">
        <v>13783</v>
      </c>
      <c r="I68" s="215">
        <v>0</v>
      </c>
      <c r="J68" s="215">
        <v>0</v>
      </c>
      <c r="K68" s="215">
        <v>0</v>
      </c>
      <c r="L68" s="146">
        <v>13783</v>
      </c>
    </row>
    <row r="69" spans="1:12" outlineLevel="1" x14ac:dyDescent="0.25">
      <c r="A69" s="216" t="s">
        <v>203</v>
      </c>
      <c r="B69" s="184" t="s">
        <v>500</v>
      </c>
      <c r="C69" s="74" t="s">
        <v>500</v>
      </c>
      <c r="D69" s="180" t="s">
        <v>500</v>
      </c>
      <c r="E69" s="78">
        <f>SUBTOTAL(109,Table46[Program
Costs])</f>
        <v>5358461</v>
      </c>
      <c r="F69" s="78">
        <f>SUBTOTAL(109,Table46[Less: Net Payments and Offsets 10])</f>
        <v>32000</v>
      </c>
      <c r="G69" s="74" t="s">
        <v>500</v>
      </c>
      <c r="H69" s="78">
        <f>SUBTOTAL(109,Table46[Accounts Payable
Balance])</f>
        <v>5326461</v>
      </c>
      <c r="I69" s="179">
        <f>SUBTOTAL(109,Table46[Established
Accounts Receivable])</f>
        <v>0</v>
      </c>
      <c r="J69" s="179">
        <f>SUBTOTAL(109,Table46[Less: Recovered Amount])</f>
        <v>0</v>
      </c>
      <c r="K69" s="179">
        <f>SUBTOTAL(109,Table46[Accounts Receivable
Balance])</f>
        <v>0</v>
      </c>
      <c r="L69" s="78">
        <f>SUBTOTAL(109,Table46[Net
Balance])</f>
        <v>5326461</v>
      </c>
    </row>
    <row r="70" spans="1:12" s="3" customFormat="1" ht="15" outlineLevel="2" x14ac:dyDescent="0.2">
      <c r="A70" s="214" t="s">
        <v>508</v>
      </c>
      <c r="B70" s="196"/>
      <c r="D70" s="40"/>
      <c r="E70" s="146"/>
      <c r="F70" s="146"/>
      <c r="G70" s="146"/>
      <c r="H70" s="146"/>
      <c r="I70" s="146"/>
      <c r="J70" s="146"/>
      <c r="K70" s="146"/>
      <c r="L70" s="146"/>
    </row>
    <row r="71" spans="1:12" ht="50.1" customHeight="1" outlineLevel="2" x14ac:dyDescent="0.25">
      <c r="A71" s="204" t="s">
        <v>98</v>
      </c>
      <c r="B71" s="204" t="s">
        <v>99</v>
      </c>
      <c r="C71" s="176" t="s">
        <v>1</v>
      </c>
      <c r="D71" s="204" t="s">
        <v>195</v>
      </c>
      <c r="E71" s="238" t="s">
        <v>188</v>
      </c>
      <c r="F71" s="239" t="s">
        <v>533</v>
      </c>
      <c r="G71" s="212" t="s">
        <v>532</v>
      </c>
      <c r="H71" s="210" t="s">
        <v>528</v>
      </c>
      <c r="I71" s="210" t="s">
        <v>529</v>
      </c>
      <c r="J71" s="238" t="s">
        <v>197</v>
      </c>
      <c r="K71" s="210" t="s">
        <v>530</v>
      </c>
      <c r="L71" s="238" t="s">
        <v>196</v>
      </c>
    </row>
    <row r="72" spans="1:12" outlineLevel="2" x14ac:dyDescent="0.25">
      <c r="A72" s="40" t="s">
        <v>18</v>
      </c>
      <c r="B72" s="196" t="s">
        <v>313</v>
      </c>
      <c r="C72" s="3" t="s">
        <v>314</v>
      </c>
      <c r="D72" s="40">
        <v>305</v>
      </c>
      <c r="E72" s="146">
        <v>1203</v>
      </c>
      <c r="F72" s="146">
        <v>1000</v>
      </c>
      <c r="G72" s="213" t="s">
        <v>500</v>
      </c>
      <c r="H72" s="146">
        <v>203</v>
      </c>
      <c r="I72" s="215">
        <v>0</v>
      </c>
      <c r="J72" s="215">
        <v>0</v>
      </c>
      <c r="K72" s="215">
        <v>0</v>
      </c>
      <c r="L72" s="146">
        <v>203</v>
      </c>
    </row>
    <row r="73" spans="1:12" ht="30.75" outlineLevel="2" x14ac:dyDescent="0.25">
      <c r="A73" s="40" t="s">
        <v>18</v>
      </c>
      <c r="B73" s="196" t="s">
        <v>101</v>
      </c>
      <c r="C73" s="3" t="s">
        <v>102</v>
      </c>
      <c r="D73" s="40">
        <v>250</v>
      </c>
      <c r="E73" s="146">
        <v>45017</v>
      </c>
      <c r="F73" s="146">
        <v>1000</v>
      </c>
      <c r="G73" s="213" t="s">
        <v>500</v>
      </c>
      <c r="H73" s="146">
        <v>44017</v>
      </c>
      <c r="I73" s="215">
        <v>0</v>
      </c>
      <c r="J73" s="215">
        <v>0</v>
      </c>
      <c r="K73" s="215">
        <v>0</v>
      </c>
      <c r="L73" s="146">
        <v>44017</v>
      </c>
    </row>
    <row r="74" spans="1:12" ht="30.75" outlineLevel="2" x14ac:dyDescent="0.25">
      <c r="A74" s="40" t="s">
        <v>18</v>
      </c>
      <c r="B74" s="196" t="s">
        <v>107</v>
      </c>
      <c r="C74" s="3" t="s">
        <v>108</v>
      </c>
      <c r="D74" s="40">
        <v>370</v>
      </c>
      <c r="E74" s="146">
        <v>227908</v>
      </c>
      <c r="F74" s="215">
        <v>0</v>
      </c>
      <c r="G74" s="213" t="s">
        <v>500</v>
      </c>
      <c r="H74" s="146">
        <v>227908</v>
      </c>
      <c r="I74" s="215">
        <v>0</v>
      </c>
      <c r="J74" s="215">
        <v>0</v>
      </c>
      <c r="K74" s="215">
        <v>0</v>
      </c>
      <c r="L74" s="146">
        <v>227908</v>
      </c>
    </row>
    <row r="75" spans="1:12" ht="30.75" outlineLevel="2" x14ac:dyDescent="0.25">
      <c r="A75" s="40" t="s">
        <v>18</v>
      </c>
      <c r="B75" s="196" t="s">
        <v>105</v>
      </c>
      <c r="C75" s="3" t="s">
        <v>106</v>
      </c>
      <c r="D75" s="40">
        <v>369</v>
      </c>
      <c r="E75" s="146">
        <v>10019965</v>
      </c>
      <c r="F75" s="146">
        <v>5682816</v>
      </c>
      <c r="G75" s="213" t="s">
        <v>500</v>
      </c>
      <c r="H75" s="146">
        <v>4337149</v>
      </c>
      <c r="I75" s="215">
        <v>0</v>
      </c>
      <c r="J75" s="215">
        <v>0</v>
      </c>
      <c r="K75" s="215">
        <v>0</v>
      </c>
      <c r="L75" s="146">
        <v>4337149</v>
      </c>
    </row>
    <row r="76" spans="1:12" ht="30.75" outlineLevel="2" x14ac:dyDescent="0.25">
      <c r="A76" s="40" t="s">
        <v>18</v>
      </c>
      <c r="B76" s="196" t="s">
        <v>109</v>
      </c>
      <c r="C76" s="3" t="s">
        <v>110</v>
      </c>
      <c r="D76" s="40">
        <v>172</v>
      </c>
      <c r="E76" s="146">
        <v>3190</v>
      </c>
      <c r="F76" s="146">
        <v>1000</v>
      </c>
      <c r="G76" s="213" t="s">
        <v>500</v>
      </c>
      <c r="H76" s="146">
        <v>2190</v>
      </c>
      <c r="I76" s="215">
        <v>0</v>
      </c>
      <c r="J76" s="215">
        <v>0</v>
      </c>
      <c r="K76" s="215">
        <v>0</v>
      </c>
      <c r="L76" s="146">
        <v>2190</v>
      </c>
    </row>
    <row r="77" spans="1:12" ht="14.45" customHeight="1" outlineLevel="2" x14ac:dyDescent="0.25">
      <c r="A77" s="40" t="s">
        <v>18</v>
      </c>
      <c r="B77" s="196" t="s">
        <v>309</v>
      </c>
      <c r="C77" s="3" t="s">
        <v>310</v>
      </c>
      <c r="D77" s="40">
        <v>278</v>
      </c>
      <c r="E77" s="146">
        <v>14543</v>
      </c>
      <c r="F77" s="146">
        <v>1039</v>
      </c>
      <c r="G77" s="213" t="s">
        <v>500</v>
      </c>
      <c r="H77" s="146">
        <v>13504</v>
      </c>
      <c r="I77" s="215">
        <v>0</v>
      </c>
      <c r="J77" s="215">
        <v>0</v>
      </c>
      <c r="K77" s="215">
        <v>0</v>
      </c>
      <c r="L77" s="146">
        <v>13504</v>
      </c>
    </row>
    <row r="78" spans="1:12" ht="30.75" outlineLevel="2" x14ac:dyDescent="0.25">
      <c r="A78" s="40" t="s">
        <v>18</v>
      </c>
      <c r="B78" s="196" t="s">
        <v>115</v>
      </c>
      <c r="C78" s="3" t="s">
        <v>116</v>
      </c>
      <c r="D78" s="40">
        <v>11</v>
      </c>
      <c r="E78" s="146">
        <v>204485</v>
      </c>
      <c r="F78" s="146">
        <v>22063</v>
      </c>
      <c r="G78" s="213" t="s">
        <v>500</v>
      </c>
      <c r="H78" s="146">
        <v>182422</v>
      </c>
      <c r="I78" s="215">
        <v>0</v>
      </c>
      <c r="J78" s="215">
        <v>0</v>
      </c>
      <c r="K78" s="215">
        <v>0</v>
      </c>
      <c r="L78" s="146">
        <v>182422</v>
      </c>
    </row>
    <row r="79" spans="1:12" ht="15.6" customHeight="1" outlineLevel="2" x14ac:dyDescent="0.25">
      <c r="A79" s="40" t="s">
        <v>18</v>
      </c>
      <c r="B79" s="196" t="s">
        <v>117</v>
      </c>
      <c r="C79" s="3" t="s">
        <v>118</v>
      </c>
      <c r="D79" s="40">
        <v>313</v>
      </c>
      <c r="E79" s="146">
        <v>35671</v>
      </c>
      <c r="F79" s="146">
        <v>1285</v>
      </c>
      <c r="G79" s="213" t="s">
        <v>500</v>
      </c>
      <c r="H79" s="146">
        <v>34386</v>
      </c>
      <c r="I79" s="215">
        <v>0</v>
      </c>
      <c r="J79" s="215">
        <v>0</v>
      </c>
      <c r="K79" s="215">
        <v>0</v>
      </c>
      <c r="L79" s="146">
        <v>34386</v>
      </c>
    </row>
    <row r="80" spans="1:12" ht="30.75" outlineLevel="2" x14ac:dyDescent="0.25">
      <c r="A80" s="40" t="s">
        <v>18</v>
      </c>
      <c r="B80" s="196" t="s">
        <v>111</v>
      </c>
      <c r="C80" s="3" t="s">
        <v>112</v>
      </c>
      <c r="D80" s="40">
        <v>330</v>
      </c>
      <c r="E80" s="146">
        <v>44856</v>
      </c>
      <c r="F80" s="146">
        <v>1000</v>
      </c>
      <c r="G80" s="213" t="s">
        <v>500</v>
      </c>
      <c r="H80" s="146">
        <v>43856</v>
      </c>
      <c r="I80" s="215">
        <v>0</v>
      </c>
      <c r="J80" s="215">
        <v>0</v>
      </c>
      <c r="K80" s="215">
        <v>0</v>
      </c>
      <c r="L80" s="146">
        <v>43856</v>
      </c>
    </row>
    <row r="81" spans="1:12" ht="48.6" customHeight="1" outlineLevel="2" x14ac:dyDescent="0.25">
      <c r="A81" s="40" t="s">
        <v>18</v>
      </c>
      <c r="B81" s="196" t="s">
        <v>103</v>
      </c>
      <c r="C81" s="3" t="s">
        <v>104</v>
      </c>
      <c r="D81" s="40">
        <v>272</v>
      </c>
      <c r="E81" s="146">
        <v>31110</v>
      </c>
      <c r="F81" s="146">
        <v>1000</v>
      </c>
      <c r="G81" s="213" t="s">
        <v>500</v>
      </c>
      <c r="H81" s="146">
        <v>30110</v>
      </c>
      <c r="I81" s="215">
        <v>0</v>
      </c>
      <c r="J81" s="215">
        <v>0</v>
      </c>
      <c r="K81" s="215">
        <v>0</v>
      </c>
      <c r="L81" s="146">
        <v>30110</v>
      </c>
    </row>
    <row r="82" spans="1:12" ht="45.75" outlineLevel="2" x14ac:dyDescent="0.25">
      <c r="A82" s="40" t="s">
        <v>18</v>
      </c>
      <c r="B82" s="196" t="s">
        <v>139</v>
      </c>
      <c r="C82" s="3" t="s">
        <v>140</v>
      </c>
      <c r="D82" s="40">
        <v>276</v>
      </c>
      <c r="E82" s="146">
        <v>1065</v>
      </c>
      <c r="F82" s="146">
        <v>1000</v>
      </c>
      <c r="G82" s="213" t="s">
        <v>500</v>
      </c>
      <c r="H82" s="146">
        <v>65</v>
      </c>
      <c r="I82" s="215">
        <v>0</v>
      </c>
      <c r="J82" s="215">
        <v>0</v>
      </c>
      <c r="K82" s="215">
        <v>0</v>
      </c>
      <c r="L82" s="146">
        <v>65</v>
      </c>
    </row>
    <row r="83" spans="1:12" ht="78" customHeight="1" outlineLevel="2" x14ac:dyDescent="0.25">
      <c r="A83" s="40" t="s">
        <v>18</v>
      </c>
      <c r="B83" s="196" t="s">
        <v>142</v>
      </c>
      <c r="C83" s="3" t="s">
        <v>143</v>
      </c>
      <c r="D83" s="40">
        <v>292</v>
      </c>
      <c r="E83" s="146">
        <v>55727</v>
      </c>
      <c r="F83" s="146">
        <v>10004</v>
      </c>
      <c r="G83" s="213" t="s">
        <v>500</v>
      </c>
      <c r="H83" s="146">
        <v>45723</v>
      </c>
      <c r="I83" s="215">
        <v>0</v>
      </c>
      <c r="J83" s="215">
        <v>0</v>
      </c>
      <c r="K83" s="215">
        <v>0</v>
      </c>
      <c r="L83" s="146">
        <v>45723</v>
      </c>
    </row>
    <row r="84" spans="1:12" ht="30.75" outlineLevel="2" x14ac:dyDescent="0.25">
      <c r="A84" s="40" t="s">
        <v>18</v>
      </c>
      <c r="B84" s="196" t="s">
        <v>113</v>
      </c>
      <c r="C84" s="3" t="s">
        <v>114</v>
      </c>
      <c r="D84" s="40">
        <v>209</v>
      </c>
      <c r="E84" s="146">
        <v>65899</v>
      </c>
      <c r="F84" s="146">
        <v>1000</v>
      </c>
      <c r="G84" s="213" t="s">
        <v>500</v>
      </c>
      <c r="H84" s="146">
        <v>64899</v>
      </c>
      <c r="I84" s="215">
        <v>0</v>
      </c>
      <c r="J84" s="215">
        <v>0</v>
      </c>
      <c r="K84" s="215">
        <v>0</v>
      </c>
      <c r="L84" s="146">
        <v>64899</v>
      </c>
    </row>
    <row r="85" spans="1:12" outlineLevel="2" x14ac:dyDescent="0.25">
      <c r="A85" s="40" t="s">
        <v>18</v>
      </c>
      <c r="B85" s="196" t="s">
        <v>119</v>
      </c>
      <c r="C85" s="3" t="s">
        <v>120</v>
      </c>
      <c r="D85" s="40">
        <v>183</v>
      </c>
      <c r="E85" s="146">
        <v>6458</v>
      </c>
      <c r="F85" s="146">
        <v>1000</v>
      </c>
      <c r="G85" s="213" t="s">
        <v>500</v>
      </c>
      <c r="H85" s="146">
        <v>5458</v>
      </c>
      <c r="I85" s="215">
        <v>0</v>
      </c>
      <c r="J85" s="215">
        <v>0</v>
      </c>
      <c r="K85" s="215">
        <v>0</v>
      </c>
      <c r="L85" s="146">
        <v>5458</v>
      </c>
    </row>
    <row r="86" spans="1:12" outlineLevel="2" x14ac:dyDescent="0.25">
      <c r="A86" s="40" t="s">
        <v>18</v>
      </c>
      <c r="B86" s="196" t="s">
        <v>121</v>
      </c>
      <c r="C86" s="3" t="s">
        <v>122</v>
      </c>
      <c r="D86" s="40">
        <v>251</v>
      </c>
      <c r="E86" s="146">
        <v>3050</v>
      </c>
      <c r="F86" s="146">
        <v>1000</v>
      </c>
      <c r="G86" s="213" t="s">
        <v>500</v>
      </c>
      <c r="H86" s="146">
        <v>2050</v>
      </c>
      <c r="I86" s="215">
        <v>0</v>
      </c>
      <c r="J86" s="215">
        <v>0</v>
      </c>
      <c r="K86" s="215">
        <v>0</v>
      </c>
      <c r="L86" s="146">
        <v>2050</v>
      </c>
    </row>
    <row r="87" spans="1:12" outlineLevel="2" x14ac:dyDescent="0.25">
      <c r="A87" s="40" t="s">
        <v>18</v>
      </c>
      <c r="B87" s="196" t="s">
        <v>123</v>
      </c>
      <c r="C87" s="3" t="s">
        <v>124</v>
      </c>
      <c r="D87" s="40">
        <v>192</v>
      </c>
      <c r="E87" s="146">
        <v>15289</v>
      </c>
      <c r="F87" s="146">
        <v>1000</v>
      </c>
      <c r="G87" s="213" t="s">
        <v>500</v>
      </c>
      <c r="H87" s="146">
        <v>14289</v>
      </c>
      <c r="I87" s="215">
        <v>0</v>
      </c>
      <c r="J87" s="215">
        <v>0</v>
      </c>
      <c r="K87" s="215">
        <v>0</v>
      </c>
      <c r="L87" s="146">
        <v>14289</v>
      </c>
    </row>
    <row r="88" spans="1:12" ht="30.75" outlineLevel="2" x14ac:dyDescent="0.25">
      <c r="A88" s="40" t="s">
        <v>18</v>
      </c>
      <c r="B88" s="196" t="s">
        <v>125</v>
      </c>
      <c r="C88" s="3" t="s">
        <v>126</v>
      </c>
      <c r="D88" s="40">
        <v>297</v>
      </c>
      <c r="E88" s="146">
        <v>3576360</v>
      </c>
      <c r="F88" s="146">
        <v>208220</v>
      </c>
      <c r="G88" s="213" t="s">
        <v>500</v>
      </c>
      <c r="H88" s="146">
        <v>3368140</v>
      </c>
      <c r="I88" s="215">
        <v>0</v>
      </c>
      <c r="J88" s="215">
        <v>0</v>
      </c>
      <c r="K88" s="215">
        <v>0</v>
      </c>
      <c r="L88" s="146">
        <v>3368140</v>
      </c>
    </row>
    <row r="89" spans="1:12" outlineLevel="2" x14ac:dyDescent="0.25">
      <c r="A89" s="40" t="s">
        <v>18</v>
      </c>
      <c r="B89" s="196" t="s">
        <v>127</v>
      </c>
      <c r="C89" s="3" t="s">
        <v>128</v>
      </c>
      <c r="D89" s="40">
        <v>166</v>
      </c>
      <c r="E89" s="146">
        <v>136467</v>
      </c>
      <c r="F89" s="146">
        <v>26708</v>
      </c>
      <c r="G89" s="213" t="s">
        <v>500</v>
      </c>
      <c r="H89" s="146">
        <v>109759</v>
      </c>
      <c r="I89" s="215">
        <v>0</v>
      </c>
      <c r="J89" s="215">
        <v>0</v>
      </c>
      <c r="K89" s="215">
        <v>0</v>
      </c>
      <c r="L89" s="146">
        <v>109759</v>
      </c>
    </row>
    <row r="90" spans="1:12" outlineLevel="2" x14ac:dyDescent="0.25">
      <c r="A90" s="40" t="s">
        <v>18</v>
      </c>
      <c r="B90" s="196" t="s">
        <v>133</v>
      </c>
      <c r="C90" s="3" t="s">
        <v>134</v>
      </c>
      <c r="D90" s="40">
        <v>32</v>
      </c>
      <c r="E90" s="146">
        <v>23524</v>
      </c>
      <c r="F90" s="146">
        <v>5404</v>
      </c>
      <c r="G90" s="213" t="s">
        <v>500</v>
      </c>
      <c r="H90" s="146">
        <v>18120</v>
      </c>
      <c r="I90" s="215">
        <v>0</v>
      </c>
      <c r="J90" s="215">
        <v>0</v>
      </c>
      <c r="K90" s="215">
        <v>0</v>
      </c>
      <c r="L90" s="146">
        <v>18120</v>
      </c>
    </row>
    <row r="91" spans="1:12" ht="30.75" outlineLevel="2" x14ac:dyDescent="0.25">
      <c r="A91" s="40" t="s">
        <v>18</v>
      </c>
      <c r="B91" s="196" t="s">
        <v>129</v>
      </c>
      <c r="C91" s="3" t="s">
        <v>130</v>
      </c>
      <c r="D91" s="40">
        <v>368</v>
      </c>
      <c r="E91" s="146">
        <v>21279</v>
      </c>
      <c r="F91" s="146">
        <v>2085</v>
      </c>
      <c r="G91" s="213" t="s">
        <v>500</v>
      </c>
      <c r="H91" s="146">
        <v>19194</v>
      </c>
      <c r="I91" s="215">
        <v>0</v>
      </c>
      <c r="J91" s="215">
        <v>0</v>
      </c>
      <c r="K91" s="215">
        <v>0</v>
      </c>
      <c r="L91" s="146">
        <v>19194</v>
      </c>
    </row>
    <row r="92" spans="1:12" outlineLevel="2" x14ac:dyDescent="0.25">
      <c r="A92" s="40" t="s">
        <v>18</v>
      </c>
      <c r="B92" s="196" t="s">
        <v>131</v>
      </c>
      <c r="C92" s="3" t="s">
        <v>132</v>
      </c>
      <c r="D92" s="40">
        <v>357</v>
      </c>
      <c r="E92" s="146">
        <v>16772</v>
      </c>
      <c r="F92" s="146">
        <v>1000</v>
      </c>
      <c r="G92" s="213" t="s">
        <v>500</v>
      </c>
      <c r="H92" s="146">
        <v>15772</v>
      </c>
      <c r="I92" s="215">
        <v>0</v>
      </c>
      <c r="J92" s="215">
        <v>0</v>
      </c>
      <c r="K92" s="215">
        <v>0</v>
      </c>
      <c r="L92" s="146">
        <v>15772</v>
      </c>
    </row>
    <row r="93" spans="1:12" outlineLevel="2" x14ac:dyDescent="0.25">
      <c r="A93" s="40" t="s">
        <v>18</v>
      </c>
      <c r="B93" s="196" t="s">
        <v>135</v>
      </c>
      <c r="C93" s="3" t="s">
        <v>136</v>
      </c>
      <c r="D93" s="40">
        <v>153</v>
      </c>
      <c r="E93" s="146">
        <v>3284</v>
      </c>
      <c r="F93" s="146">
        <v>1000</v>
      </c>
      <c r="G93" s="213" t="s">
        <v>500</v>
      </c>
      <c r="H93" s="146">
        <v>2284</v>
      </c>
      <c r="I93" s="215">
        <v>0</v>
      </c>
      <c r="J93" s="215">
        <v>0</v>
      </c>
      <c r="K93" s="215">
        <v>0</v>
      </c>
      <c r="L93" s="146">
        <v>2284</v>
      </c>
    </row>
    <row r="94" spans="1:12" outlineLevel="2" x14ac:dyDescent="0.25">
      <c r="A94" s="40" t="s">
        <v>18</v>
      </c>
      <c r="B94" s="196" t="s">
        <v>141</v>
      </c>
      <c r="C94" s="3" t="s">
        <v>126</v>
      </c>
      <c r="D94" s="40">
        <v>48</v>
      </c>
      <c r="E94" s="146">
        <v>168734</v>
      </c>
      <c r="F94" s="146">
        <v>46317</v>
      </c>
      <c r="G94" s="213" t="s">
        <v>500</v>
      </c>
      <c r="H94" s="146">
        <v>122417</v>
      </c>
      <c r="I94" s="215">
        <v>0</v>
      </c>
      <c r="J94" s="215">
        <v>0</v>
      </c>
      <c r="K94" s="215">
        <v>0</v>
      </c>
      <c r="L94" s="146">
        <v>122417</v>
      </c>
    </row>
    <row r="95" spans="1:12" outlineLevel="2" x14ac:dyDescent="0.25">
      <c r="A95" s="40" t="s">
        <v>18</v>
      </c>
      <c r="B95" s="196" t="s">
        <v>144</v>
      </c>
      <c r="C95" s="3" t="s">
        <v>145</v>
      </c>
      <c r="D95" s="40">
        <v>350</v>
      </c>
      <c r="E95" s="146">
        <v>5687</v>
      </c>
      <c r="F95" s="146">
        <v>2260</v>
      </c>
      <c r="G95" s="213" t="s">
        <v>500</v>
      </c>
      <c r="H95" s="146">
        <v>3427</v>
      </c>
      <c r="I95" s="215">
        <v>0</v>
      </c>
      <c r="J95" s="215">
        <v>0</v>
      </c>
      <c r="K95" s="215">
        <v>0</v>
      </c>
      <c r="L95" s="146">
        <v>3427</v>
      </c>
    </row>
    <row r="96" spans="1:12" outlineLevel="2" x14ac:dyDescent="0.25">
      <c r="A96" s="40" t="s">
        <v>18</v>
      </c>
      <c r="B96" s="196" t="s">
        <v>146</v>
      </c>
      <c r="C96" s="3" t="s">
        <v>147</v>
      </c>
      <c r="D96" s="40">
        <v>173</v>
      </c>
      <c r="E96" s="146">
        <v>21944</v>
      </c>
      <c r="F96" s="146">
        <v>5333</v>
      </c>
      <c r="G96" s="213" t="s">
        <v>500</v>
      </c>
      <c r="H96" s="146">
        <v>16611</v>
      </c>
      <c r="I96" s="215">
        <v>0</v>
      </c>
      <c r="J96" s="215">
        <v>0</v>
      </c>
      <c r="K96" s="215">
        <v>0</v>
      </c>
      <c r="L96" s="146">
        <v>16611</v>
      </c>
    </row>
    <row r="97" spans="1:12" ht="30.95" customHeight="1" outlineLevel="2" x14ac:dyDescent="0.25">
      <c r="A97" s="40" t="s">
        <v>18</v>
      </c>
      <c r="B97" s="196" t="s">
        <v>311</v>
      </c>
      <c r="C97" s="3" t="s">
        <v>312</v>
      </c>
      <c r="D97" s="40">
        <v>261</v>
      </c>
      <c r="E97" s="146">
        <v>2385</v>
      </c>
      <c r="F97" s="146">
        <v>1000</v>
      </c>
      <c r="G97" s="213" t="s">
        <v>500</v>
      </c>
      <c r="H97" s="146">
        <v>1385</v>
      </c>
      <c r="I97" s="215">
        <v>0</v>
      </c>
      <c r="J97" s="215">
        <v>0</v>
      </c>
      <c r="K97" s="215">
        <v>0</v>
      </c>
      <c r="L97" s="146">
        <v>1385</v>
      </c>
    </row>
    <row r="98" spans="1:12" ht="15.6" customHeight="1" outlineLevel="2" x14ac:dyDescent="0.25">
      <c r="A98" s="40" t="s">
        <v>18</v>
      </c>
      <c r="B98" s="196" t="s">
        <v>148</v>
      </c>
      <c r="C98" s="3" t="s">
        <v>149</v>
      </c>
      <c r="D98" s="40">
        <v>244</v>
      </c>
      <c r="E98" s="146">
        <v>18055</v>
      </c>
      <c r="F98" s="146">
        <v>2017</v>
      </c>
      <c r="G98" s="213" t="s">
        <v>500</v>
      </c>
      <c r="H98" s="146">
        <v>16038</v>
      </c>
      <c r="I98" s="215">
        <v>0</v>
      </c>
      <c r="J98" s="215">
        <v>0</v>
      </c>
      <c r="K98" s="215">
        <v>0</v>
      </c>
      <c r="L98" s="146">
        <v>16038</v>
      </c>
    </row>
    <row r="99" spans="1:12" outlineLevel="2" x14ac:dyDescent="0.25">
      <c r="A99" s="40" t="s">
        <v>18</v>
      </c>
      <c r="B99" s="196" t="s">
        <v>150</v>
      </c>
      <c r="C99" s="3" t="s">
        <v>151</v>
      </c>
      <c r="D99" s="40">
        <v>171</v>
      </c>
      <c r="E99" s="146">
        <v>18873</v>
      </c>
      <c r="F99" s="146">
        <v>3510</v>
      </c>
      <c r="G99" s="213" t="s">
        <v>500</v>
      </c>
      <c r="H99" s="146">
        <v>15363</v>
      </c>
      <c r="I99" s="215">
        <v>0</v>
      </c>
      <c r="J99" s="215">
        <v>0</v>
      </c>
      <c r="K99" s="215">
        <v>0</v>
      </c>
      <c r="L99" s="146">
        <v>15363</v>
      </c>
    </row>
    <row r="100" spans="1:12" ht="45.75" outlineLevel="2" x14ac:dyDescent="0.25">
      <c r="A100" s="40" t="s">
        <v>18</v>
      </c>
      <c r="B100" s="196" t="s">
        <v>152</v>
      </c>
      <c r="C100" s="3" t="s">
        <v>149</v>
      </c>
      <c r="D100" s="40">
        <v>258</v>
      </c>
      <c r="E100" s="146">
        <v>62743</v>
      </c>
      <c r="F100" s="146">
        <v>4325</v>
      </c>
      <c r="G100" s="213" t="s">
        <v>500</v>
      </c>
      <c r="H100" s="146">
        <v>58418</v>
      </c>
      <c r="I100" s="215">
        <v>0</v>
      </c>
      <c r="J100" s="215">
        <v>0</v>
      </c>
      <c r="K100" s="215">
        <v>0</v>
      </c>
      <c r="L100" s="146">
        <v>58418</v>
      </c>
    </row>
    <row r="101" spans="1:12" outlineLevel="2" x14ac:dyDescent="0.25">
      <c r="A101" s="40" t="s">
        <v>18</v>
      </c>
      <c r="B101" s="196" t="s">
        <v>153</v>
      </c>
      <c r="C101" s="3" t="s">
        <v>126</v>
      </c>
      <c r="D101" s="40">
        <v>260</v>
      </c>
      <c r="E101" s="146">
        <v>220329</v>
      </c>
      <c r="F101" s="146">
        <v>38220</v>
      </c>
      <c r="G101" s="213" t="s">
        <v>500</v>
      </c>
      <c r="H101" s="146">
        <v>182109</v>
      </c>
      <c r="I101" s="215">
        <v>0</v>
      </c>
      <c r="J101" s="215">
        <v>0</v>
      </c>
      <c r="K101" s="215">
        <v>0</v>
      </c>
      <c r="L101" s="146">
        <v>182109</v>
      </c>
    </row>
    <row r="102" spans="1:12" ht="14.45" customHeight="1" outlineLevel="2" x14ac:dyDescent="0.25">
      <c r="A102" s="40" t="s">
        <v>18</v>
      </c>
      <c r="B102" s="196" t="s">
        <v>154</v>
      </c>
      <c r="C102" s="3" t="s">
        <v>155</v>
      </c>
      <c r="D102" s="40">
        <v>367</v>
      </c>
      <c r="E102" s="146">
        <v>7856933</v>
      </c>
      <c r="F102" s="146">
        <v>4890918</v>
      </c>
      <c r="G102" s="213" t="s">
        <v>500</v>
      </c>
      <c r="H102" s="146">
        <v>2966015</v>
      </c>
      <c r="I102" s="215">
        <v>0</v>
      </c>
      <c r="J102" s="215">
        <v>0</v>
      </c>
      <c r="K102" s="215">
        <v>0</v>
      </c>
      <c r="L102" s="146">
        <v>2966015</v>
      </c>
    </row>
    <row r="103" spans="1:12" outlineLevel="1" x14ac:dyDescent="0.25">
      <c r="A103" s="40" t="s">
        <v>18</v>
      </c>
      <c r="B103" s="196" t="s">
        <v>180</v>
      </c>
      <c r="C103" s="3" t="s">
        <v>181</v>
      </c>
      <c r="D103" s="40">
        <v>346</v>
      </c>
      <c r="E103" s="146">
        <v>17010</v>
      </c>
      <c r="F103" s="146">
        <v>1000</v>
      </c>
      <c r="G103" s="213" t="s">
        <v>500</v>
      </c>
      <c r="H103" s="146">
        <v>16010</v>
      </c>
      <c r="I103" s="215">
        <v>0</v>
      </c>
      <c r="J103" s="215">
        <v>0</v>
      </c>
      <c r="K103" s="215">
        <v>0</v>
      </c>
      <c r="L103" s="146">
        <v>16010</v>
      </c>
    </row>
    <row r="104" spans="1:12" ht="15.6" customHeight="1" outlineLevel="2" x14ac:dyDescent="0.25">
      <c r="A104" s="40" t="s">
        <v>18</v>
      </c>
      <c r="B104" s="196" t="s">
        <v>156</v>
      </c>
      <c r="C104" s="3" t="s">
        <v>157</v>
      </c>
      <c r="D104" s="40">
        <v>351</v>
      </c>
      <c r="E104" s="146">
        <v>11236</v>
      </c>
      <c r="F104" s="146">
        <v>1000</v>
      </c>
      <c r="G104" s="213" t="s">
        <v>500</v>
      </c>
      <c r="H104" s="146">
        <v>10236</v>
      </c>
      <c r="I104" s="215">
        <v>0</v>
      </c>
      <c r="J104" s="215">
        <v>0</v>
      </c>
      <c r="K104" s="215">
        <v>0</v>
      </c>
      <c r="L104" s="146">
        <v>10236</v>
      </c>
    </row>
    <row r="105" spans="1:12" outlineLevel="2" x14ac:dyDescent="0.25">
      <c r="A105" s="216" t="s">
        <v>204</v>
      </c>
      <c r="B105" s="184" t="s">
        <v>500</v>
      </c>
      <c r="C105" s="74" t="s">
        <v>500</v>
      </c>
      <c r="D105" s="180" t="s">
        <v>500</v>
      </c>
      <c r="E105" s="78">
        <f>SUBTOTAL(109,school201617[Program
Costs])</f>
        <v>22957051</v>
      </c>
      <c r="F105" s="78">
        <f>SUBTOTAL(109,school201617[Less: Net Payments and Offsets 10])</f>
        <v>10967524</v>
      </c>
      <c r="G105" s="74" t="s">
        <v>500</v>
      </c>
      <c r="H105" s="78">
        <f>SUBTOTAL(109,school201617[Accounts Payable
Balance])</f>
        <v>11989527</v>
      </c>
      <c r="I105" s="179">
        <f>SUBTOTAL(109,school201617[Established
Accounts Receivable])</f>
        <v>0</v>
      </c>
      <c r="J105" s="179">
        <f>SUBTOTAL(109,school201617[Less: Recovered Amount])</f>
        <v>0</v>
      </c>
      <c r="K105" s="179">
        <f>SUBTOTAL(109,school201617[Accounts Receivable
Balance])</f>
        <v>0</v>
      </c>
      <c r="L105" s="78">
        <f>SUBTOTAL(109,school201617[Net
Balance])</f>
        <v>11989527</v>
      </c>
    </row>
    <row r="106" spans="1:12" s="3" customFormat="1" ht="15" outlineLevel="2" x14ac:dyDescent="0.2">
      <c r="A106" s="214" t="s">
        <v>508</v>
      </c>
      <c r="B106" s="196"/>
      <c r="D106" s="40"/>
      <c r="E106" s="146"/>
      <c r="F106" s="146"/>
      <c r="G106" s="146"/>
      <c r="H106" s="146"/>
      <c r="I106" s="146"/>
      <c r="J106" s="146"/>
      <c r="K106" s="146"/>
      <c r="L106" s="146"/>
    </row>
    <row r="107" spans="1:12" ht="50.1" customHeight="1" outlineLevel="2" x14ac:dyDescent="0.25">
      <c r="A107" s="204" t="s">
        <v>98</v>
      </c>
      <c r="B107" s="204" t="s">
        <v>99</v>
      </c>
      <c r="C107" s="176" t="s">
        <v>1</v>
      </c>
      <c r="D107" s="204" t="s">
        <v>195</v>
      </c>
      <c r="E107" s="238" t="s">
        <v>188</v>
      </c>
      <c r="F107" s="239" t="s">
        <v>533</v>
      </c>
      <c r="G107" s="212" t="s">
        <v>532</v>
      </c>
      <c r="H107" s="210" t="s">
        <v>528</v>
      </c>
      <c r="I107" s="210" t="s">
        <v>529</v>
      </c>
      <c r="J107" s="238" t="s">
        <v>197</v>
      </c>
      <c r="K107" s="210" t="s">
        <v>530</v>
      </c>
      <c r="L107" s="238" t="s">
        <v>196</v>
      </c>
    </row>
    <row r="108" spans="1:12" outlineLevel="2" x14ac:dyDescent="0.25">
      <c r="A108" s="40" t="s">
        <v>14</v>
      </c>
      <c r="B108" s="196" t="s">
        <v>313</v>
      </c>
      <c r="C108" s="3" t="s">
        <v>314</v>
      </c>
      <c r="D108" s="40">
        <v>305</v>
      </c>
      <c r="E108" s="146">
        <v>1090</v>
      </c>
      <c r="F108" s="146">
        <v>1000</v>
      </c>
      <c r="G108" s="213" t="s">
        <v>500</v>
      </c>
      <c r="H108" s="146">
        <v>90</v>
      </c>
      <c r="I108" s="215">
        <v>0</v>
      </c>
      <c r="J108" s="215">
        <v>0</v>
      </c>
      <c r="K108" s="215">
        <v>0</v>
      </c>
      <c r="L108" s="146">
        <v>90</v>
      </c>
    </row>
    <row r="109" spans="1:12" ht="30.75" outlineLevel="2" x14ac:dyDescent="0.25">
      <c r="A109" s="40" t="s">
        <v>14</v>
      </c>
      <c r="B109" s="196" t="s">
        <v>101</v>
      </c>
      <c r="C109" s="3" t="s">
        <v>102</v>
      </c>
      <c r="D109" s="40">
        <v>250</v>
      </c>
      <c r="E109" s="146">
        <v>77440</v>
      </c>
      <c r="F109" s="146">
        <v>1000</v>
      </c>
      <c r="G109" s="213" t="s">
        <v>500</v>
      </c>
      <c r="H109" s="146">
        <v>76440</v>
      </c>
      <c r="I109" s="215">
        <v>0</v>
      </c>
      <c r="J109" s="215">
        <v>0</v>
      </c>
      <c r="K109" s="215">
        <v>0</v>
      </c>
      <c r="L109" s="146">
        <v>76440</v>
      </c>
    </row>
    <row r="110" spans="1:12" ht="30.75" outlineLevel="2" x14ac:dyDescent="0.25">
      <c r="A110" s="40" t="s">
        <v>14</v>
      </c>
      <c r="B110" s="196" t="s">
        <v>107</v>
      </c>
      <c r="C110" s="3" t="s">
        <v>108</v>
      </c>
      <c r="D110" s="40">
        <v>370</v>
      </c>
      <c r="E110" s="146">
        <v>182254</v>
      </c>
      <c r="F110" s="215">
        <v>0</v>
      </c>
      <c r="G110" s="213" t="s">
        <v>500</v>
      </c>
      <c r="H110" s="146">
        <v>182254</v>
      </c>
      <c r="I110" s="215">
        <v>0</v>
      </c>
      <c r="J110" s="215">
        <v>0</v>
      </c>
      <c r="K110" s="215">
        <v>0</v>
      </c>
      <c r="L110" s="146">
        <v>182254</v>
      </c>
    </row>
    <row r="111" spans="1:12" ht="30.75" outlineLevel="2" x14ac:dyDescent="0.25">
      <c r="A111" s="40" t="s">
        <v>14</v>
      </c>
      <c r="B111" s="196" t="s">
        <v>105</v>
      </c>
      <c r="C111" s="3" t="s">
        <v>106</v>
      </c>
      <c r="D111" s="40">
        <v>369</v>
      </c>
      <c r="E111" s="146">
        <v>28105073</v>
      </c>
      <c r="F111" s="146">
        <v>20251630</v>
      </c>
      <c r="G111" s="213" t="s">
        <v>500</v>
      </c>
      <c r="H111" s="146">
        <v>7853443</v>
      </c>
      <c r="I111" s="146">
        <v>1000</v>
      </c>
      <c r="J111" s="215">
        <v>0</v>
      </c>
      <c r="K111" s="146">
        <v>1000</v>
      </c>
      <c r="L111" s="146">
        <v>7852443</v>
      </c>
    </row>
    <row r="112" spans="1:12" ht="14.45" customHeight="1" outlineLevel="2" x14ac:dyDescent="0.25">
      <c r="A112" s="40" t="s">
        <v>14</v>
      </c>
      <c r="B112" s="196" t="s">
        <v>109</v>
      </c>
      <c r="C112" s="3" t="s">
        <v>110</v>
      </c>
      <c r="D112" s="40">
        <v>172</v>
      </c>
      <c r="E112" s="146">
        <v>8527</v>
      </c>
      <c r="F112" s="146">
        <v>1000</v>
      </c>
      <c r="G112" s="213" t="s">
        <v>500</v>
      </c>
      <c r="H112" s="146">
        <v>7527</v>
      </c>
      <c r="I112" s="215">
        <v>0</v>
      </c>
      <c r="J112" s="215">
        <v>0</v>
      </c>
      <c r="K112" s="215">
        <v>0</v>
      </c>
      <c r="L112" s="146">
        <v>7527</v>
      </c>
    </row>
    <row r="113" spans="1:12" outlineLevel="2" x14ac:dyDescent="0.25">
      <c r="A113" s="40" t="s">
        <v>14</v>
      </c>
      <c r="B113" s="196" t="s">
        <v>315</v>
      </c>
      <c r="C113" s="3" t="s">
        <v>316</v>
      </c>
      <c r="D113" s="40">
        <v>309</v>
      </c>
      <c r="E113" s="146">
        <v>1289</v>
      </c>
      <c r="F113" s="146">
        <v>1000</v>
      </c>
      <c r="G113" s="213" t="s">
        <v>500</v>
      </c>
      <c r="H113" s="146">
        <v>289</v>
      </c>
      <c r="I113" s="215">
        <v>0</v>
      </c>
      <c r="J113" s="215">
        <v>0</v>
      </c>
      <c r="K113" s="215">
        <v>0</v>
      </c>
      <c r="L113" s="146">
        <v>289</v>
      </c>
    </row>
    <row r="114" spans="1:12" ht="30.75" outlineLevel="2" x14ac:dyDescent="0.25">
      <c r="A114" s="40" t="s">
        <v>14</v>
      </c>
      <c r="B114" s="196" t="s">
        <v>115</v>
      </c>
      <c r="C114" s="3" t="s">
        <v>116</v>
      </c>
      <c r="D114" s="40">
        <v>11</v>
      </c>
      <c r="E114" s="146">
        <v>327239</v>
      </c>
      <c r="F114" s="146">
        <v>76959</v>
      </c>
      <c r="G114" s="213" t="s">
        <v>500</v>
      </c>
      <c r="H114" s="146">
        <v>250280</v>
      </c>
      <c r="I114" s="215">
        <v>0</v>
      </c>
      <c r="J114" s="215">
        <v>0</v>
      </c>
      <c r="K114" s="215">
        <v>0</v>
      </c>
      <c r="L114" s="146">
        <v>250280</v>
      </c>
    </row>
    <row r="115" spans="1:12" ht="15.6" customHeight="1" outlineLevel="2" x14ac:dyDescent="0.25">
      <c r="A115" s="40" t="s">
        <v>14</v>
      </c>
      <c r="B115" s="196" t="s">
        <v>117</v>
      </c>
      <c r="C115" s="3" t="s">
        <v>118</v>
      </c>
      <c r="D115" s="40">
        <v>313</v>
      </c>
      <c r="E115" s="146">
        <v>39319</v>
      </c>
      <c r="F115" s="146">
        <v>7612</v>
      </c>
      <c r="G115" s="213" t="s">
        <v>500</v>
      </c>
      <c r="H115" s="146">
        <v>31707</v>
      </c>
      <c r="I115" s="215">
        <v>0</v>
      </c>
      <c r="J115" s="215">
        <v>0</v>
      </c>
      <c r="K115" s="215">
        <v>0</v>
      </c>
      <c r="L115" s="146">
        <v>31707</v>
      </c>
    </row>
    <row r="116" spans="1:12" ht="30.95" customHeight="1" outlineLevel="2" x14ac:dyDescent="0.25">
      <c r="A116" s="40" t="s">
        <v>14</v>
      </c>
      <c r="B116" s="196" t="s">
        <v>111</v>
      </c>
      <c r="C116" s="3" t="s">
        <v>112</v>
      </c>
      <c r="D116" s="40">
        <v>330</v>
      </c>
      <c r="E116" s="146">
        <v>69675</v>
      </c>
      <c r="F116" s="146">
        <v>9406</v>
      </c>
      <c r="G116" s="213" t="s">
        <v>500</v>
      </c>
      <c r="H116" s="146">
        <v>60269</v>
      </c>
      <c r="I116" s="215">
        <v>0</v>
      </c>
      <c r="J116" s="215">
        <v>0</v>
      </c>
      <c r="K116" s="215">
        <v>0</v>
      </c>
      <c r="L116" s="146">
        <v>60269</v>
      </c>
    </row>
    <row r="117" spans="1:12" ht="45.75" outlineLevel="2" x14ac:dyDescent="0.25">
      <c r="A117" s="40" t="s">
        <v>14</v>
      </c>
      <c r="B117" s="196" t="s">
        <v>103</v>
      </c>
      <c r="C117" s="3" t="s">
        <v>104</v>
      </c>
      <c r="D117" s="40">
        <v>272</v>
      </c>
      <c r="E117" s="146">
        <v>39610</v>
      </c>
      <c r="F117" s="146">
        <v>2379</v>
      </c>
      <c r="G117" s="213" t="s">
        <v>500</v>
      </c>
      <c r="H117" s="146">
        <v>37231</v>
      </c>
      <c r="I117" s="215">
        <v>0</v>
      </c>
      <c r="J117" s="215">
        <v>0</v>
      </c>
      <c r="K117" s="215">
        <v>0</v>
      </c>
      <c r="L117" s="146">
        <v>37231</v>
      </c>
    </row>
    <row r="118" spans="1:12" ht="45.75" outlineLevel="2" x14ac:dyDescent="0.25">
      <c r="A118" s="40" t="s">
        <v>14</v>
      </c>
      <c r="B118" s="196" t="s">
        <v>139</v>
      </c>
      <c r="C118" s="3" t="s">
        <v>140</v>
      </c>
      <c r="D118" s="40">
        <v>276</v>
      </c>
      <c r="E118" s="146">
        <v>8772</v>
      </c>
      <c r="F118" s="146">
        <v>2009</v>
      </c>
      <c r="G118" s="213" t="s">
        <v>500</v>
      </c>
      <c r="H118" s="146">
        <v>6763</v>
      </c>
      <c r="I118" s="215">
        <v>0</v>
      </c>
      <c r="J118" s="215">
        <v>0</v>
      </c>
      <c r="K118" s="215">
        <v>0</v>
      </c>
      <c r="L118" s="146">
        <v>6763</v>
      </c>
    </row>
    <row r="119" spans="1:12" ht="78" customHeight="1" outlineLevel="2" x14ac:dyDescent="0.25">
      <c r="A119" s="40" t="s">
        <v>14</v>
      </c>
      <c r="B119" s="196" t="s">
        <v>142</v>
      </c>
      <c r="C119" s="3" t="s">
        <v>143</v>
      </c>
      <c r="D119" s="40">
        <v>292</v>
      </c>
      <c r="E119" s="146">
        <v>84568</v>
      </c>
      <c r="F119" s="146">
        <v>18907</v>
      </c>
      <c r="G119" s="213" t="s">
        <v>500</v>
      </c>
      <c r="H119" s="146">
        <v>65661</v>
      </c>
      <c r="I119" s="215">
        <v>0</v>
      </c>
      <c r="J119" s="215">
        <v>0</v>
      </c>
      <c r="K119" s="215">
        <v>0</v>
      </c>
      <c r="L119" s="146">
        <v>65661</v>
      </c>
    </row>
    <row r="120" spans="1:12" ht="30.75" outlineLevel="2" x14ac:dyDescent="0.25">
      <c r="A120" s="40" t="s">
        <v>14</v>
      </c>
      <c r="B120" s="196" t="s">
        <v>113</v>
      </c>
      <c r="C120" s="3" t="s">
        <v>114</v>
      </c>
      <c r="D120" s="40">
        <v>209</v>
      </c>
      <c r="E120" s="146">
        <v>46239</v>
      </c>
      <c r="F120" s="146">
        <v>1000</v>
      </c>
      <c r="G120" s="213" t="s">
        <v>500</v>
      </c>
      <c r="H120" s="146">
        <v>45239</v>
      </c>
      <c r="I120" s="215">
        <v>0</v>
      </c>
      <c r="J120" s="215">
        <v>0</v>
      </c>
      <c r="K120" s="215">
        <v>0</v>
      </c>
      <c r="L120" s="146">
        <v>45239</v>
      </c>
    </row>
    <row r="121" spans="1:12" outlineLevel="2" x14ac:dyDescent="0.25">
      <c r="A121" s="40" t="s">
        <v>14</v>
      </c>
      <c r="B121" s="196" t="s">
        <v>119</v>
      </c>
      <c r="C121" s="3" t="s">
        <v>120</v>
      </c>
      <c r="D121" s="40">
        <v>183</v>
      </c>
      <c r="E121" s="146">
        <v>8422</v>
      </c>
      <c r="F121" s="146">
        <v>1000</v>
      </c>
      <c r="G121" s="213" t="s">
        <v>500</v>
      </c>
      <c r="H121" s="146">
        <v>7422</v>
      </c>
      <c r="I121" s="215">
        <v>0</v>
      </c>
      <c r="J121" s="215">
        <v>0</v>
      </c>
      <c r="K121" s="215">
        <v>0</v>
      </c>
      <c r="L121" s="146">
        <v>7422</v>
      </c>
    </row>
    <row r="122" spans="1:12" outlineLevel="2" x14ac:dyDescent="0.25">
      <c r="A122" s="40" t="s">
        <v>14</v>
      </c>
      <c r="B122" s="196" t="s">
        <v>121</v>
      </c>
      <c r="C122" s="3" t="s">
        <v>122</v>
      </c>
      <c r="D122" s="40">
        <v>251</v>
      </c>
      <c r="E122" s="146">
        <v>4049</v>
      </c>
      <c r="F122" s="146">
        <v>2448</v>
      </c>
      <c r="G122" s="213" t="s">
        <v>500</v>
      </c>
      <c r="H122" s="146">
        <v>1601</v>
      </c>
      <c r="I122" s="215">
        <v>0</v>
      </c>
      <c r="J122" s="215">
        <v>0</v>
      </c>
      <c r="K122" s="215">
        <v>0</v>
      </c>
      <c r="L122" s="146">
        <v>1601</v>
      </c>
    </row>
    <row r="123" spans="1:12" outlineLevel="2" x14ac:dyDescent="0.25">
      <c r="A123" s="40" t="s">
        <v>14</v>
      </c>
      <c r="B123" s="196" t="s">
        <v>123</v>
      </c>
      <c r="C123" s="3" t="s">
        <v>124</v>
      </c>
      <c r="D123" s="40">
        <v>192</v>
      </c>
      <c r="E123" s="146">
        <v>13092</v>
      </c>
      <c r="F123" s="146">
        <v>1000</v>
      </c>
      <c r="G123" s="213" t="s">
        <v>500</v>
      </c>
      <c r="H123" s="146">
        <v>12092</v>
      </c>
      <c r="I123" s="215">
        <v>0</v>
      </c>
      <c r="J123" s="215">
        <v>0</v>
      </c>
      <c r="K123" s="215">
        <v>0</v>
      </c>
      <c r="L123" s="146">
        <v>12092</v>
      </c>
    </row>
    <row r="124" spans="1:12" ht="30.75" outlineLevel="2" x14ac:dyDescent="0.25">
      <c r="A124" s="40" t="s">
        <v>14</v>
      </c>
      <c r="B124" s="196" t="s">
        <v>125</v>
      </c>
      <c r="C124" s="3" t="s">
        <v>126</v>
      </c>
      <c r="D124" s="40">
        <v>297</v>
      </c>
      <c r="E124" s="146">
        <v>6628149</v>
      </c>
      <c r="F124" s="146">
        <v>434927</v>
      </c>
      <c r="G124" s="213" t="s">
        <v>500</v>
      </c>
      <c r="H124" s="146">
        <v>6193222</v>
      </c>
      <c r="I124" s="215">
        <v>0</v>
      </c>
      <c r="J124" s="215">
        <v>0</v>
      </c>
      <c r="K124" s="215">
        <v>0</v>
      </c>
      <c r="L124" s="146">
        <v>6193222</v>
      </c>
    </row>
    <row r="125" spans="1:12" outlineLevel="2" x14ac:dyDescent="0.25">
      <c r="A125" s="40" t="s">
        <v>14</v>
      </c>
      <c r="B125" s="196" t="s">
        <v>127</v>
      </c>
      <c r="C125" s="3" t="s">
        <v>128</v>
      </c>
      <c r="D125" s="40">
        <v>166</v>
      </c>
      <c r="E125" s="146">
        <v>174115</v>
      </c>
      <c r="F125" s="146">
        <v>26866</v>
      </c>
      <c r="G125" s="213" t="s">
        <v>500</v>
      </c>
      <c r="H125" s="146">
        <v>147249</v>
      </c>
      <c r="I125" s="215">
        <v>0</v>
      </c>
      <c r="J125" s="215">
        <v>0</v>
      </c>
      <c r="K125" s="215">
        <v>0</v>
      </c>
      <c r="L125" s="146">
        <v>147249</v>
      </c>
    </row>
    <row r="126" spans="1:12" outlineLevel="2" x14ac:dyDescent="0.25">
      <c r="A126" s="40" t="s">
        <v>14</v>
      </c>
      <c r="B126" s="196" t="s">
        <v>133</v>
      </c>
      <c r="C126" s="3" t="s">
        <v>134</v>
      </c>
      <c r="D126" s="40">
        <v>32</v>
      </c>
      <c r="E126" s="146">
        <v>33423</v>
      </c>
      <c r="F126" s="146">
        <v>6448</v>
      </c>
      <c r="G126" s="213" t="s">
        <v>500</v>
      </c>
      <c r="H126" s="146">
        <v>26975</v>
      </c>
      <c r="I126" s="215">
        <v>0</v>
      </c>
      <c r="J126" s="215">
        <v>0</v>
      </c>
      <c r="K126" s="215">
        <v>0</v>
      </c>
      <c r="L126" s="146">
        <v>26975</v>
      </c>
    </row>
    <row r="127" spans="1:12" ht="30.75" outlineLevel="2" x14ac:dyDescent="0.25">
      <c r="A127" s="40" t="s">
        <v>14</v>
      </c>
      <c r="B127" s="196" t="s">
        <v>129</v>
      </c>
      <c r="C127" s="3" t="s">
        <v>130</v>
      </c>
      <c r="D127" s="40">
        <v>368</v>
      </c>
      <c r="E127" s="146">
        <v>27847</v>
      </c>
      <c r="F127" s="146">
        <v>9502</v>
      </c>
      <c r="G127" s="213" t="s">
        <v>500</v>
      </c>
      <c r="H127" s="146">
        <v>18345</v>
      </c>
      <c r="I127" s="215">
        <v>0</v>
      </c>
      <c r="J127" s="215">
        <v>0</v>
      </c>
      <c r="K127" s="215">
        <v>0</v>
      </c>
      <c r="L127" s="146">
        <v>18345</v>
      </c>
    </row>
    <row r="128" spans="1:12" outlineLevel="2" x14ac:dyDescent="0.25">
      <c r="A128" s="40" t="s">
        <v>14</v>
      </c>
      <c r="B128" s="196" t="s">
        <v>131</v>
      </c>
      <c r="C128" s="3" t="s">
        <v>132</v>
      </c>
      <c r="D128" s="40">
        <v>357</v>
      </c>
      <c r="E128" s="146">
        <v>16167</v>
      </c>
      <c r="F128" s="146">
        <v>7325</v>
      </c>
      <c r="G128" s="213" t="s">
        <v>500</v>
      </c>
      <c r="H128" s="146">
        <v>8842</v>
      </c>
      <c r="I128" s="215">
        <v>0</v>
      </c>
      <c r="J128" s="215">
        <v>0</v>
      </c>
      <c r="K128" s="215">
        <v>0</v>
      </c>
      <c r="L128" s="146">
        <v>8842</v>
      </c>
    </row>
    <row r="129" spans="1:12" outlineLevel="2" x14ac:dyDescent="0.25">
      <c r="A129" s="40" t="s">
        <v>14</v>
      </c>
      <c r="B129" s="196" t="s">
        <v>135</v>
      </c>
      <c r="C129" s="3" t="s">
        <v>136</v>
      </c>
      <c r="D129" s="40">
        <v>153</v>
      </c>
      <c r="E129" s="146">
        <v>13759</v>
      </c>
      <c r="F129" s="146">
        <v>1000</v>
      </c>
      <c r="G129" s="213" t="s">
        <v>500</v>
      </c>
      <c r="H129" s="146">
        <v>12759</v>
      </c>
      <c r="I129" s="215">
        <v>0</v>
      </c>
      <c r="J129" s="215">
        <v>0</v>
      </c>
      <c r="K129" s="215">
        <v>0</v>
      </c>
      <c r="L129" s="146">
        <v>12759</v>
      </c>
    </row>
    <row r="130" spans="1:12" outlineLevel="2" x14ac:dyDescent="0.25">
      <c r="A130" s="40" t="s">
        <v>14</v>
      </c>
      <c r="B130" s="196" t="s">
        <v>137</v>
      </c>
      <c r="C130" s="3" t="s">
        <v>138</v>
      </c>
      <c r="D130" s="40">
        <v>155</v>
      </c>
      <c r="E130" s="146">
        <v>3353</v>
      </c>
      <c r="F130" s="146">
        <v>1000</v>
      </c>
      <c r="G130" s="213" t="s">
        <v>500</v>
      </c>
      <c r="H130" s="146">
        <v>2353</v>
      </c>
      <c r="I130" s="215">
        <v>0</v>
      </c>
      <c r="J130" s="215">
        <v>0</v>
      </c>
      <c r="K130" s="215">
        <v>0</v>
      </c>
      <c r="L130" s="146">
        <v>2353</v>
      </c>
    </row>
    <row r="131" spans="1:12" outlineLevel="2" x14ac:dyDescent="0.25">
      <c r="A131" s="40" t="s">
        <v>14</v>
      </c>
      <c r="B131" s="196" t="s">
        <v>141</v>
      </c>
      <c r="C131" s="3" t="s">
        <v>126</v>
      </c>
      <c r="D131" s="40">
        <v>48</v>
      </c>
      <c r="E131" s="146">
        <v>231284</v>
      </c>
      <c r="F131" s="146">
        <v>38472</v>
      </c>
      <c r="G131" s="213" t="s">
        <v>500</v>
      </c>
      <c r="H131" s="146">
        <v>192812</v>
      </c>
      <c r="I131" s="215">
        <v>0</v>
      </c>
      <c r="J131" s="215">
        <v>0</v>
      </c>
      <c r="K131" s="215">
        <v>0</v>
      </c>
      <c r="L131" s="146">
        <v>192812</v>
      </c>
    </row>
    <row r="132" spans="1:12" outlineLevel="2" x14ac:dyDescent="0.25">
      <c r="A132" s="40" t="s">
        <v>14</v>
      </c>
      <c r="B132" s="196" t="s">
        <v>144</v>
      </c>
      <c r="C132" s="3" t="s">
        <v>145</v>
      </c>
      <c r="D132" s="40">
        <v>350</v>
      </c>
      <c r="E132" s="146">
        <v>1371</v>
      </c>
      <c r="F132" s="146">
        <v>1000</v>
      </c>
      <c r="G132" s="213" t="s">
        <v>500</v>
      </c>
      <c r="H132" s="146">
        <v>371</v>
      </c>
      <c r="I132" s="215">
        <v>0</v>
      </c>
      <c r="J132" s="215">
        <v>0</v>
      </c>
      <c r="K132" s="215">
        <v>0</v>
      </c>
      <c r="L132" s="146">
        <v>371</v>
      </c>
    </row>
    <row r="133" spans="1:12" outlineLevel="2" x14ac:dyDescent="0.25">
      <c r="A133" s="40" t="s">
        <v>14</v>
      </c>
      <c r="B133" s="196" t="s">
        <v>146</v>
      </c>
      <c r="C133" s="3" t="s">
        <v>147</v>
      </c>
      <c r="D133" s="40">
        <v>173</v>
      </c>
      <c r="E133" s="146">
        <v>28430</v>
      </c>
      <c r="F133" s="146">
        <v>6232</v>
      </c>
      <c r="G133" s="213" t="s">
        <v>500</v>
      </c>
      <c r="H133" s="146">
        <v>22198</v>
      </c>
      <c r="I133" s="215">
        <v>0</v>
      </c>
      <c r="J133" s="215">
        <v>0</v>
      </c>
      <c r="K133" s="215">
        <v>0</v>
      </c>
      <c r="L133" s="146">
        <v>22198</v>
      </c>
    </row>
    <row r="134" spans="1:12" ht="29.1" customHeight="1" outlineLevel="2" x14ac:dyDescent="0.25">
      <c r="A134" s="40" t="s">
        <v>14</v>
      </c>
      <c r="B134" s="196" t="s">
        <v>311</v>
      </c>
      <c r="C134" s="3" t="s">
        <v>312</v>
      </c>
      <c r="D134" s="40">
        <v>261</v>
      </c>
      <c r="E134" s="146">
        <v>3728</v>
      </c>
      <c r="F134" s="146">
        <v>2385</v>
      </c>
      <c r="G134" s="213" t="s">
        <v>500</v>
      </c>
      <c r="H134" s="146">
        <v>1343</v>
      </c>
      <c r="I134" s="215">
        <v>0</v>
      </c>
      <c r="J134" s="215">
        <v>0</v>
      </c>
      <c r="K134" s="215">
        <v>0</v>
      </c>
      <c r="L134" s="146">
        <v>1343</v>
      </c>
    </row>
    <row r="135" spans="1:12" outlineLevel="2" x14ac:dyDescent="0.25">
      <c r="A135" s="40" t="s">
        <v>14</v>
      </c>
      <c r="B135" s="196" t="s">
        <v>148</v>
      </c>
      <c r="C135" s="3" t="s">
        <v>149</v>
      </c>
      <c r="D135" s="40">
        <v>244</v>
      </c>
      <c r="E135" s="146">
        <v>21352</v>
      </c>
      <c r="F135" s="146">
        <v>2021</v>
      </c>
      <c r="G135" s="213" t="s">
        <v>500</v>
      </c>
      <c r="H135" s="146">
        <v>19331</v>
      </c>
      <c r="I135" s="215">
        <v>0</v>
      </c>
      <c r="J135" s="215">
        <v>0</v>
      </c>
      <c r="K135" s="215">
        <v>0</v>
      </c>
      <c r="L135" s="146">
        <v>19331</v>
      </c>
    </row>
    <row r="136" spans="1:12" outlineLevel="2" x14ac:dyDescent="0.25">
      <c r="A136" s="40" t="s">
        <v>14</v>
      </c>
      <c r="B136" s="196" t="s">
        <v>150</v>
      </c>
      <c r="C136" s="3" t="s">
        <v>151</v>
      </c>
      <c r="D136" s="40">
        <v>171</v>
      </c>
      <c r="E136" s="146">
        <v>32325</v>
      </c>
      <c r="F136" s="146">
        <v>7778</v>
      </c>
      <c r="G136" s="213" t="s">
        <v>500</v>
      </c>
      <c r="H136" s="146">
        <v>24547</v>
      </c>
      <c r="I136" s="215">
        <v>0</v>
      </c>
      <c r="J136" s="215">
        <v>0</v>
      </c>
      <c r="K136" s="215">
        <v>0</v>
      </c>
      <c r="L136" s="146">
        <v>24547</v>
      </c>
    </row>
    <row r="137" spans="1:12" ht="14.45" customHeight="1" outlineLevel="2" x14ac:dyDescent="0.25">
      <c r="A137" s="40" t="s">
        <v>14</v>
      </c>
      <c r="B137" s="196" t="s">
        <v>152</v>
      </c>
      <c r="C137" s="3" t="s">
        <v>149</v>
      </c>
      <c r="D137" s="40">
        <v>258</v>
      </c>
      <c r="E137" s="146">
        <v>67141</v>
      </c>
      <c r="F137" s="146">
        <v>7407</v>
      </c>
      <c r="G137" s="213" t="s">
        <v>500</v>
      </c>
      <c r="H137" s="146">
        <v>59734</v>
      </c>
      <c r="I137" s="215">
        <v>0</v>
      </c>
      <c r="J137" s="215">
        <v>0</v>
      </c>
      <c r="K137" s="215">
        <v>0</v>
      </c>
      <c r="L137" s="146">
        <v>59734</v>
      </c>
    </row>
    <row r="138" spans="1:12" outlineLevel="1" x14ac:dyDescent="0.25">
      <c r="A138" s="40" t="s">
        <v>14</v>
      </c>
      <c r="B138" s="196" t="s">
        <v>153</v>
      </c>
      <c r="C138" s="3" t="s">
        <v>126</v>
      </c>
      <c r="D138" s="40">
        <v>260</v>
      </c>
      <c r="E138" s="146">
        <v>256675</v>
      </c>
      <c r="F138" s="146">
        <v>39867</v>
      </c>
      <c r="G138" s="213" t="s">
        <v>500</v>
      </c>
      <c r="H138" s="146">
        <v>216808</v>
      </c>
      <c r="I138" s="215">
        <v>0</v>
      </c>
      <c r="J138" s="215">
        <v>0</v>
      </c>
      <c r="K138" s="215">
        <v>0</v>
      </c>
      <c r="L138" s="146">
        <v>216808</v>
      </c>
    </row>
    <row r="139" spans="1:12" ht="30.75" outlineLevel="2" x14ac:dyDescent="0.25">
      <c r="A139" s="40" t="s">
        <v>14</v>
      </c>
      <c r="B139" s="196" t="s">
        <v>154</v>
      </c>
      <c r="C139" s="3" t="s">
        <v>155</v>
      </c>
      <c r="D139" s="40">
        <v>367</v>
      </c>
      <c r="E139" s="146">
        <v>10538915</v>
      </c>
      <c r="F139" s="146">
        <v>7484936</v>
      </c>
      <c r="G139" s="213" t="s">
        <v>500</v>
      </c>
      <c r="H139" s="146">
        <v>3053979</v>
      </c>
      <c r="I139" s="215">
        <v>0</v>
      </c>
      <c r="J139" s="215">
        <v>0</v>
      </c>
      <c r="K139" s="215">
        <v>0</v>
      </c>
      <c r="L139" s="146">
        <v>3053979</v>
      </c>
    </row>
    <row r="140" spans="1:12" ht="15.6" customHeight="1" outlineLevel="2" x14ac:dyDescent="0.25">
      <c r="A140" s="40" t="s">
        <v>14</v>
      </c>
      <c r="B140" s="196" t="s">
        <v>156</v>
      </c>
      <c r="C140" s="3" t="s">
        <v>157</v>
      </c>
      <c r="D140" s="40">
        <v>351</v>
      </c>
      <c r="E140" s="146">
        <v>18910</v>
      </c>
      <c r="F140" s="146">
        <v>8205</v>
      </c>
      <c r="G140" s="213" t="s">
        <v>500</v>
      </c>
      <c r="H140" s="146">
        <v>10705</v>
      </c>
      <c r="I140" s="215">
        <v>0</v>
      </c>
      <c r="J140" s="215">
        <v>0</v>
      </c>
      <c r="K140" s="215">
        <v>0</v>
      </c>
      <c r="L140" s="146">
        <v>10705</v>
      </c>
    </row>
    <row r="141" spans="1:12" outlineLevel="2" x14ac:dyDescent="0.25">
      <c r="A141" s="216" t="s">
        <v>205</v>
      </c>
      <c r="B141" s="184" t="s">
        <v>500</v>
      </c>
      <c r="C141" s="74" t="s">
        <v>500</v>
      </c>
      <c r="D141" s="180" t="s">
        <v>500</v>
      </c>
      <c r="E141" s="78">
        <f>SUBTOTAL(109,school201516[Program
Costs])</f>
        <v>47113602</v>
      </c>
      <c r="F141" s="78">
        <f>SUBTOTAL(109,school201516[Less: Net Payments and Offsets 10])</f>
        <v>28463721</v>
      </c>
      <c r="G141" s="74" t="s">
        <v>500</v>
      </c>
      <c r="H141" s="78">
        <f>SUBTOTAL(109,school201516[Accounts Payable
Balance])</f>
        <v>18649881</v>
      </c>
      <c r="I141" s="78">
        <f>SUBTOTAL(109,school201516[Established
Accounts Receivable])</f>
        <v>1000</v>
      </c>
      <c r="J141" s="179">
        <f>SUBTOTAL(109,school201516[Less: Recovered Amount])</f>
        <v>0</v>
      </c>
      <c r="K141" s="78">
        <f>SUBTOTAL(109,school201516[Accounts Receivable
Balance])</f>
        <v>1000</v>
      </c>
      <c r="L141" s="78">
        <f>SUBTOTAL(109,school201516[Net
Balance])</f>
        <v>18648881</v>
      </c>
    </row>
    <row r="142" spans="1:12" s="3" customFormat="1" ht="15" outlineLevel="2" x14ac:dyDescent="0.2">
      <c r="A142" s="214" t="s">
        <v>508</v>
      </c>
      <c r="B142" s="196"/>
      <c r="D142" s="40"/>
      <c r="E142" s="146"/>
      <c r="F142" s="146"/>
      <c r="G142" s="146"/>
      <c r="H142" s="146"/>
      <c r="I142" s="146"/>
      <c r="J142" s="146"/>
      <c r="K142" s="146"/>
      <c r="L142" s="146"/>
    </row>
    <row r="143" spans="1:12" ht="50.1" customHeight="1" outlineLevel="2" x14ac:dyDescent="0.25">
      <c r="A143" s="204" t="s">
        <v>98</v>
      </c>
      <c r="B143" s="204" t="s">
        <v>99</v>
      </c>
      <c r="C143" s="176" t="s">
        <v>1</v>
      </c>
      <c r="D143" s="204" t="s">
        <v>195</v>
      </c>
      <c r="E143" s="238" t="s">
        <v>188</v>
      </c>
      <c r="F143" s="239" t="s">
        <v>533</v>
      </c>
      <c r="G143" s="212" t="s">
        <v>532</v>
      </c>
      <c r="H143" s="210" t="s">
        <v>528</v>
      </c>
      <c r="I143" s="210" t="s">
        <v>529</v>
      </c>
      <c r="J143" s="238" t="s">
        <v>197</v>
      </c>
      <c r="K143" s="210" t="s">
        <v>530</v>
      </c>
      <c r="L143" s="238" t="s">
        <v>196</v>
      </c>
    </row>
    <row r="144" spans="1:12" outlineLevel="2" x14ac:dyDescent="0.25">
      <c r="A144" s="40" t="s">
        <v>206</v>
      </c>
      <c r="B144" s="196" t="s">
        <v>313</v>
      </c>
      <c r="C144" s="3" t="s">
        <v>314</v>
      </c>
      <c r="D144" s="40">
        <v>305</v>
      </c>
      <c r="E144" s="146">
        <v>1182</v>
      </c>
      <c r="F144" s="146">
        <v>1000</v>
      </c>
      <c r="G144" s="213" t="s">
        <v>500</v>
      </c>
      <c r="H144" s="146">
        <v>182</v>
      </c>
      <c r="I144" s="215">
        <v>0</v>
      </c>
      <c r="J144" s="215">
        <v>0</v>
      </c>
      <c r="K144" s="215">
        <v>0</v>
      </c>
      <c r="L144" s="146">
        <v>182</v>
      </c>
    </row>
    <row r="145" spans="1:12" ht="30.75" outlineLevel="2" x14ac:dyDescent="0.25">
      <c r="A145" s="40" t="s">
        <v>206</v>
      </c>
      <c r="B145" s="196" t="s">
        <v>101</v>
      </c>
      <c r="C145" s="3" t="s">
        <v>102</v>
      </c>
      <c r="D145" s="40">
        <v>250</v>
      </c>
      <c r="E145" s="146">
        <v>70758</v>
      </c>
      <c r="F145" s="146">
        <v>4554</v>
      </c>
      <c r="G145" s="213" t="s">
        <v>500</v>
      </c>
      <c r="H145" s="146">
        <v>66204</v>
      </c>
      <c r="I145" s="215">
        <v>0</v>
      </c>
      <c r="J145" s="215">
        <v>0</v>
      </c>
      <c r="K145" s="215">
        <v>0</v>
      </c>
      <c r="L145" s="146">
        <v>66204</v>
      </c>
    </row>
    <row r="146" spans="1:12" ht="30.75" outlineLevel="2" x14ac:dyDescent="0.25">
      <c r="A146" s="40" t="s">
        <v>206</v>
      </c>
      <c r="B146" s="196" t="s">
        <v>105</v>
      </c>
      <c r="C146" s="3" t="s">
        <v>106</v>
      </c>
      <c r="D146" s="40">
        <v>369</v>
      </c>
      <c r="E146" s="146">
        <v>56117687</v>
      </c>
      <c r="F146" s="146">
        <v>45612504</v>
      </c>
      <c r="G146" s="213" t="s">
        <v>500</v>
      </c>
      <c r="H146" s="146">
        <v>10505183</v>
      </c>
      <c r="I146" s="215">
        <v>0</v>
      </c>
      <c r="J146" s="215">
        <v>0</v>
      </c>
      <c r="K146" s="215">
        <v>0</v>
      </c>
      <c r="L146" s="146">
        <v>10505183</v>
      </c>
    </row>
    <row r="147" spans="1:12" ht="14.45" customHeight="1" outlineLevel="2" x14ac:dyDescent="0.25">
      <c r="A147" s="40" t="s">
        <v>206</v>
      </c>
      <c r="B147" s="196" t="s">
        <v>109</v>
      </c>
      <c r="C147" s="3" t="s">
        <v>110</v>
      </c>
      <c r="D147" s="40">
        <v>172</v>
      </c>
      <c r="E147" s="146">
        <v>51776</v>
      </c>
      <c r="F147" s="146">
        <v>21615</v>
      </c>
      <c r="G147" s="213" t="s">
        <v>500</v>
      </c>
      <c r="H147" s="146">
        <v>30161</v>
      </c>
      <c r="I147" s="215">
        <v>0</v>
      </c>
      <c r="J147" s="215">
        <v>0</v>
      </c>
      <c r="K147" s="215">
        <v>0</v>
      </c>
      <c r="L147" s="146">
        <v>30161</v>
      </c>
    </row>
    <row r="148" spans="1:12" outlineLevel="2" x14ac:dyDescent="0.25">
      <c r="A148" s="40" t="s">
        <v>206</v>
      </c>
      <c r="B148" s="196" t="s">
        <v>309</v>
      </c>
      <c r="C148" s="3" t="s">
        <v>310</v>
      </c>
      <c r="D148" s="40">
        <v>278</v>
      </c>
      <c r="E148" s="146">
        <v>80581</v>
      </c>
      <c r="F148" s="146">
        <v>1000</v>
      </c>
      <c r="G148" s="213" t="s">
        <v>500</v>
      </c>
      <c r="H148" s="146">
        <v>79581</v>
      </c>
      <c r="I148" s="215">
        <v>0</v>
      </c>
      <c r="J148" s="215">
        <v>0</v>
      </c>
      <c r="K148" s="215">
        <v>0</v>
      </c>
      <c r="L148" s="146">
        <v>79581</v>
      </c>
    </row>
    <row r="149" spans="1:12" outlineLevel="2" x14ac:dyDescent="0.25">
      <c r="A149" s="40" t="s">
        <v>206</v>
      </c>
      <c r="B149" s="196" t="s">
        <v>315</v>
      </c>
      <c r="C149" s="3" t="s">
        <v>316</v>
      </c>
      <c r="D149" s="40">
        <v>309</v>
      </c>
      <c r="E149" s="146">
        <v>1367</v>
      </c>
      <c r="F149" s="146">
        <v>1000</v>
      </c>
      <c r="G149" s="213" t="s">
        <v>500</v>
      </c>
      <c r="H149" s="146">
        <v>367</v>
      </c>
      <c r="I149" s="215">
        <v>0</v>
      </c>
      <c r="J149" s="215">
        <v>0</v>
      </c>
      <c r="K149" s="215">
        <v>0</v>
      </c>
      <c r="L149" s="146">
        <v>367</v>
      </c>
    </row>
    <row r="150" spans="1:12" ht="30.75" outlineLevel="2" x14ac:dyDescent="0.25">
      <c r="A150" s="40" t="s">
        <v>206</v>
      </c>
      <c r="B150" s="196" t="s">
        <v>115</v>
      </c>
      <c r="C150" s="3" t="s">
        <v>116</v>
      </c>
      <c r="D150" s="40">
        <v>11</v>
      </c>
      <c r="E150" s="146">
        <v>1012760</v>
      </c>
      <c r="F150" s="146">
        <v>356650</v>
      </c>
      <c r="G150" s="213" t="s">
        <v>500</v>
      </c>
      <c r="H150" s="146">
        <v>656110</v>
      </c>
      <c r="I150" s="215">
        <v>0</v>
      </c>
      <c r="J150" s="215">
        <v>0</v>
      </c>
      <c r="K150" s="215">
        <v>0</v>
      </c>
      <c r="L150" s="146">
        <v>656110</v>
      </c>
    </row>
    <row r="151" spans="1:12" ht="15.6" customHeight="1" outlineLevel="2" x14ac:dyDescent="0.25">
      <c r="A151" s="40" t="s">
        <v>206</v>
      </c>
      <c r="B151" s="196" t="s">
        <v>117</v>
      </c>
      <c r="C151" s="3" t="s">
        <v>118</v>
      </c>
      <c r="D151" s="40">
        <v>313</v>
      </c>
      <c r="E151" s="146">
        <v>192966</v>
      </c>
      <c r="F151" s="146">
        <v>38911</v>
      </c>
      <c r="G151" s="213" t="s">
        <v>500</v>
      </c>
      <c r="H151" s="146">
        <v>154055</v>
      </c>
      <c r="I151" s="215">
        <v>0</v>
      </c>
      <c r="J151" s="215">
        <v>0</v>
      </c>
      <c r="K151" s="215">
        <v>0</v>
      </c>
      <c r="L151" s="146">
        <v>154055</v>
      </c>
    </row>
    <row r="152" spans="1:12" ht="30.75" outlineLevel="2" x14ac:dyDescent="0.25">
      <c r="A152" s="40" t="s">
        <v>206</v>
      </c>
      <c r="B152" s="196" t="s">
        <v>111</v>
      </c>
      <c r="C152" s="3" t="s">
        <v>112</v>
      </c>
      <c r="D152" s="40">
        <v>330</v>
      </c>
      <c r="E152" s="146">
        <v>163009</v>
      </c>
      <c r="F152" s="146">
        <v>36297</v>
      </c>
      <c r="G152" s="213" t="s">
        <v>500</v>
      </c>
      <c r="H152" s="146">
        <v>126712</v>
      </c>
      <c r="I152" s="215">
        <v>0</v>
      </c>
      <c r="J152" s="215">
        <v>0</v>
      </c>
      <c r="K152" s="215">
        <v>0</v>
      </c>
      <c r="L152" s="146">
        <v>126712</v>
      </c>
    </row>
    <row r="153" spans="1:12" ht="45.75" outlineLevel="2" x14ac:dyDescent="0.25">
      <c r="A153" s="40" t="s">
        <v>206</v>
      </c>
      <c r="B153" s="196" t="s">
        <v>103</v>
      </c>
      <c r="C153" s="3" t="s">
        <v>104</v>
      </c>
      <c r="D153" s="40">
        <v>272</v>
      </c>
      <c r="E153" s="146">
        <v>219338</v>
      </c>
      <c r="F153" s="146">
        <v>34030</v>
      </c>
      <c r="G153" s="213" t="s">
        <v>500</v>
      </c>
      <c r="H153" s="146">
        <v>185308</v>
      </c>
      <c r="I153" s="215">
        <v>0</v>
      </c>
      <c r="J153" s="215">
        <v>0</v>
      </c>
      <c r="K153" s="215">
        <v>0</v>
      </c>
      <c r="L153" s="146">
        <v>185308</v>
      </c>
    </row>
    <row r="154" spans="1:12" ht="45.75" outlineLevel="2" x14ac:dyDescent="0.25">
      <c r="A154" s="40" t="s">
        <v>206</v>
      </c>
      <c r="B154" s="196" t="s">
        <v>139</v>
      </c>
      <c r="C154" s="3" t="s">
        <v>140</v>
      </c>
      <c r="D154" s="40">
        <v>276</v>
      </c>
      <c r="E154" s="146">
        <v>84258</v>
      </c>
      <c r="F154" s="146">
        <v>2880</v>
      </c>
      <c r="G154" s="213" t="s">
        <v>500</v>
      </c>
      <c r="H154" s="146">
        <v>81378</v>
      </c>
      <c r="I154" s="215">
        <v>0</v>
      </c>
      <c r="J154" s="215">
        <v>0</v>
      </c>
      <c r="K154" s="215">
        <v>0</v>
      </c>
      <c r="L154" s="146">
        <v>81378</v>
      </c>
    </row>
    <row r="155" spans="1:12" ht="78" customHeight="1" outlineLevel="2" x14ac:dyDescent="0.25">
      <c r="A155" s="40" t="s">
        <v>206</v>
      </c>
      <c r="B155" s="196" t="s">
        <v>142</v>
      </c>
      <c r="C155" s="3" t="s">
        <v>143</v>
      </c>
      <c r="D155" s="40">
        <v>292</v>
      </c>
      <c r="E155" s="146">
        <v>571714</v>
      </c>
      <c r="F155" s="146">
        <v>49899</v>
      </c>
      <c r="G155" s="213" t="s">
        <v>500</v>
      </c>
      <c r="H155" s="146">
        <v>521815</v>
      </c>
      <c r="I155" s="215">
        <v>0</v>
      </c>
      <c r="J155" s="215">
        <v>0</v>
      </c>
      <c r="K155" s="215">
        <v>0</v>
      </c>
      <c r="L155" s="146">
        <v>521815</v>
      </c>
    </row>
    <row r="156" spans="1:12" ht="30.75" outlineLevel="2" x14ac:dyDescent="0.25">
      <c r="A156" s="40" t="s">
        <v>206</v>
      </c>
      <c r="B156" s="196" t="s">
        <v>113</v>
      </c>
      <c r="C156" s="3" t="s">
        <v>114</v>
      </c>
      <c r="D156" s="40">
        <v>209</v>
      </c>
      <c r="E156" s="146">
        <v>93729</v>
      </c>
      <c r="F156" s="146">
        <v>1000</v>
      </c>
      <c r="G156" s="213" t="s">
        <v>500</v>
      </c>
      <c r="H156" s="146">
        <v>92729</v>
      </c>
      <c r="I156" s="215">
        <v>0</v>
      </c>
      <c r="J156" s="215">
        <v>0</v>
      </c>
      <c r="K156" s="215">
        <v>0</v>
      </c>
      <c r="L156" s="146">
        <v>92729</v>
      </c>
    </row>
    <row r="157" spans="1:12" outlineLevel="2" x14ac:dyDescent="0.25">
      <c r="A157" s="40" t="s">
        <v>206</v>
      </c>
      <c r="B157" s="196" t="s">
        <v>119</v>
      </c>
      <c r="C157" s="3" t="s">
        <v>120</v>
      </c>
      <c r="D157" s="40">
        <v>183</v>
      </c>
      <c r="E157" s="146">
        <v>53366</v>
      </c>
      <c r="F157" s="146">
        <v>15888</v>
      </c>
      <c r="G157" s="213" t="s">
        <v>500</v>
      </c>
      <c r="H157" s="146">
        <v>37478</v>
      </c>
      <c r="I157" s="215">
        <v>0</v>
      </c>
      <c r="J157" s="215">
        <v>0</v>
      </c>
      <c r="K157" s="215">
        <v>0</v>
      </c>
      <c r="L157" s="146">
        <v>37478</v>
      </c>
    </row>
    <row r="158" spans="1:12" outlineLevel="2" x14ac:dyDescent="0.25">
      <c r="A158" s="40" t="s">
        <v>206</v>
      </c>
      <c r="B158" s="196" t="s">
        <v>121</v>
      </c>
      <c r="C158" s="3" t="s">
        <v>122</v>
      </c>
      <c r="D158" s="40">
        <v>251</v>
      </c>
      <c r="E158" s="146">
        <v>12287</v>
      </c>
      <c r="F158" s="146">
        <v>5287</v>
      </c>
      <c r="G158" s="213" t="s">
        <v>500</v>
      </c>
      <c r="H158" s="146">
        <v>7000</v>
      </c>
      <c r="I158" s="215">
        <v>0</v>
      </c>
      <c r="J158" s="215">
        <v>0</v>
      </c>
      <c r="K158" s="215">
        <v>0</v>
      </c>
      <c r="L158" s="146">
        <v>7000</v>
      </c>
    </row>
    <row r="159" spans="1:12" ht="30.75" outlineLevel="2" x14ac:dyDescent="0.25">
      <c r="A159" s="40" t="s">
        <v>206</v>
      </c>
      <c r="B159" s="196" t="s">
        <v>317</v>
      </c>
      <c r="C159" s="3" t="s">
        <v>112</v>
      </c>
      <c r="D159" s="40">
        <v>91</v>
      </c>
      <c r="E159" s="146">
        <v>2373</v>
      </c>
      <c r="F159" s="146">
        <v>1321</v>
      </c>
      <c r="G159" s="213" t="s">
        <v>500</v>
      </c>
      <c r="H159" s="146">
        <v>1052</v>
      </c>
      <c r="I159" s="215">
        <v>0</v>
      </c>
      <c r="J159" s="215">
        <v>0</v>
      </c>
      <c r="K159" s="215">
        <v>0</v>
      </c>
      <c r="L159" s="146">
        <v>1052</v>
      </c>
    </row>
    <row r="160" spans="1:12" outlineLevel="2" x14ac:dyDescent="0.25">
      <c r="A160" s="40" t="s">
        <v>206</v>
      </c>
      <c r="B160" s="196" t="s">
        <v>123</v>
      </c>
      <c r="C160" s="3" t="s">
        <v>124</v>
      </c>
      <c r="D160" s="40">
        <v>192</v>
      </c>
      <c r="E160" s="146">
        <v>30144</v>
      </c>
      <c r="F160" s="146">
        <v>9017</v>
      </c>
      <c r="G160" s="213" t="s">
        <v>500</v>
      </c>
      <c r="H160" s="146">
        <v>21127</v>
      </c>
      <c r="I160" s="215">
        <v>0</v>
      </c>
      <c r="J160" s="215">
        <v>0</v>
      </c>
      <c r="K160" s="215">
        <v>0</v>
      </c>
      <c r="L160" s="146">
        <v>21127</v>
      </c>
    </row>
    <row r="161" spans="1:12" ht="30.75" outlineLevel="2" x14ac:dyDescent="0.25">
      <c r="A161" s="40" t="s">
        <v>206</v>
      </c>
      <c r="B161" s="196" t="s">
        <v>125</v>
      </c>
      <c r="C161" s="3" t="s">
        <v>126</v>
      </c>
      <c r="D161" s="40">
        <v>297</v>
      </c>
      <c r="E161" s="146">
        <v>16676742</v>
      </c>
      <c r="F161" s="146">
        <v>3216044</v>
      </c>
      <c r="G161" s="213" t="s">
        <v>500</v>
      </c>
      <c r="H161" s="146">
        <v>13460698</v>
      </c>
      <c r="I161" s="215">
        <v>0</v>
      </c>
      <c r="J161" s="215">
        <v>0</v>
      </c>
      <c r="K161" s="215">
        <v>0</v>
      </c>
      <c r="L161" s="146">
        <v>13460698</v>
      </c>
    </row>
    <row r="162" spans="1:12" outlineLevel="2" x14ac:dyDescent="0.25">
      <c r="A162" s="40" t="s">
        <v>206</v>
      </c>
      <c r="B162" s="196" t="s">
        <v>127</v>
      </c>
      <c r="C162" s="3" t="s">
        <v>128</v>
      </c>
      <c r="D162" s="40">
        <v>166</v>
      </c>
      <c r="E162" s="146">
        <v>1058395</v>
      </c>
      <c r="F162" s="146">
        <v>447482</v>
      </c>
      <c r="G162" s="213" t="s">
        <v>500</v>
      </c>
      <c r="H162" s="146">
        <v>610913</v>
      </c>
      <c r="I162" s="215">
        <v>0</v>
      </c>
      <c r="J162" s="215">
        <v>0</v>
      </c>
      <c r="K162" s="215">
        <v>0</v>
      </c>
      <c r="L162" s="146">
        <v>610913</v>
      </c>
    </row>
    <row r="163" spans="1:12" outlineLevel="2" x14ac:dyDescent="0.25">
      <c r="A163" s="40" t="s">
        <v>206</v>
      </c>
      <c r="B163" s="196" t="s">
        <v>318</v>
      </c>
      <c r="C163" s="3" t="s">
        <v>319</v>
      </c>
      <c r="D163" s="40">
        <v>268</v>
      </c>
      <c r="E163" s="146">
        <v>621912</v>
      </c>
      <c r="F163" s="146">
        <v>14822</v>
      </c>
      <c r="G163" s="213" t="s">
        <v>500</v>
      </c>
      <c r="H163" s="146">
        <v>607090</v>
      </c>
      <c r="I163" s="215">
        <v>0</v>
      </c>
      <c r="J163" s="215">
        <v>0</v>
      </c>
      <c r="K163" s="215">
        <v>0</v>
      </c>
      <c r="L163" s="146">
        <v>607090</v>
      </c>
    </row>
    <row r="164" spans="1:12" outlineLevel="2" x14ac:dyDescent="0.25">
      <c r="A164" s="40" t="s">
        <v>206</v>
      </c>
      <c r="B164" s="196" t="s">
        <v>133</v>
      </c>
      <c r="C164" s="3" t="s">
        <v>134</v>
      </c>
      <c r="D164" s="40">
        <v>32</v>
      </c>
      <c r="E164" s="146">
        <v>227731</v>
      </c>
      <c r="F164" s="146">
        <v>87827</v>
      </c>
      <c r="G164" s="213" t="s">
        <v>500</v>
      </c>
      <c r="H164" s="146">
        <v>139904</v>
      </c>
      <c r="I164" s="215">
        <v>0</v>
      </c>
      <c r="J164" s="215">
        <v>0</v>
      </c>
      <c r="K164" s="215">
        <v>0</v>
      </c>
      <c r="L164" s="146">
        <v>139904</v>
      </c>
    </row>
    <row r="165" spans="1:12" ht="30.75" outlineLevel="2" x14ac:dyDescent="0.25">
      <c r="A165" s="40" t="s">
        <v>206</v>
      </c>
      <c r="B165" s="196" t="s">
        <v>129</v>
      </c>
      <c r="C165" s="3" t="s">
        <v>130</v>
      </c>
      <c r="D165" s="40">
        <v>368</v>
      </c>
      <c r="E165" s="146">
        <v>203466</v>
      </c>
      <c r="F165" s="146">
        <v>95748</v>
      </c>
      <c r="G165" s="213" t="s">
        <v>500</v>
      </c>
      <c r="H165" s="146">
        <v>107718</v>
      </c>
      <c r="I165" s="215">
        <v>0</v>
      </c>
      <c r="J165" s="215">
        <v>0</v>
      </c>
      <c r="K165" s="215">
        <v>0</v>
      </c>
      <c r="L165" s="146">
        <v>107718</v>
      </c>
    </row>
    <row r="166" spans="1:12" outlineLevel="2" x14ac:dyDescent="0.25">
      <c r="A166" s="40" t="s">
        <v>206</v>
      </c>
      <c r="B166" s="196" t="s">
        <v>131</v>
      </c>
      <c r="C166" s="3" t="s">
        <v>132</v>
      </c>
      <c r="D166" s="40">
        <v>357</v>
      </c>
      <c r="E166" s="146">
        <v>2663014</v>
      </c>
      <c r="F166" s="146">
        <v>2175080</v>
      </c>
      <c r="G166" s="213" t="s">
        <v>500</v>
      </c>
      <c r="H166" s="146">
        <v>487934</v>
      </c>
      <c r="I166" s="215">
        <v>0</v>
      </c>
      <c r="J166" s="215">
        <v>0</v>
      </c>
      <c r="K166" s="215">
        <v>0</v>
      </c>
      <c r="L166" s="146">
        <v>487934</v>
      </c>
    </row>
    <row r="167" spans="1:12" outlineLevel="2" x14ac:dyDescent="0.25">
      <c r="A167" s="40" t="s">
        <v>206</v>
      </c>
      <c r="B167" s="196" t="s">
        <v>320</v>
      </c>
      <c r="C167" s="3" t="s">
        <v>321</v>
      </c>
      <c r="D167" s="40">
        <v>148</v>
      </c>
      <c r="E167" s="146">
        <v>8713</v>
      </c>
      <c r="F167" s="146">
        <v>1000</v>
      </c>
      <c r="G167" s="213" t="s">
        <v>500</v>
      </c>
      <c r="H167" s="146">
        <v>7713</v>
      </c>
      <c r="I167" s="215">
        <v>0</v>
      </c>
      <c r="J167" s="215">
        <v>0</v>
      </c>
      <c r="K167" s="215">
        <v>0</v>
      </c>
      <c r="L167" s="146">
        <v>7713</v>
      </c>
    </row>
    <row r="168" spans="1:12" outlineLevel="2" x14ac:dyDescent="0.25">
      <c r="A168" s="40" t="s">
        <v>206</v>
      </c>
      <c r="B168" s="196" t="s">
        <v>135</v>
      </c>
      <c r="C168" s="3" t="s">
        <v>136</v>
      </c>
      <c r="D168" s="40">
        <v>153</v>
      </c>
      <c r="E168" s="146">
        <v>137810</v>
      </c>
      <c r="F168" s="146">
        <v>36419</v>
      </c>
      <c r="G168" s="213" t="s">
        <v>500</v>
      </c>
      <c r="H168" s="146">
        <v>101391</v>
      </c>
      <c r="I168" s="215">
        <v>0</v>
      </c>
      <c r="J168" s="215">
        <v>0</v>
      </c>
      <c r="K168" s="215">
        <v>0</v>
      </c>
      <c r="L168" s="146">
        <v>101391</v>
      </c>
    </row>
    <row r="169" spans="1:12" outlineLevel="2" x14ac:dyDescent="0.25">
      <c r="A169" s="40" t="s">
        <v>206</v>
      </c>
      <c r="B169" s="196" t="s">
        <v>137</v>
      </c>
      <c r="C169" s="3" t="s">
        <v>138</v>
      </c>
      <c r="D169" s="40">
        <v>155</v>
      </c>
      <c r="E169" s="146">
        <v>222555</v>
      </c>
      <c r="F169" s="146">
        <v>2931</v>
      </c>
      <c r="G169" s="213" t="s">
        <v>500</v>
      </c>
      <c r="H169" s="146">
        <v>219624</v>
      </c>
      <c r="I169" s="215">
        <v>0</v>
      </c>
      <c r="J169" s="215">
        <v>0</v>
      </c>
      <c r="K169" s="215">
        <v>0</v>
      </c>
      <c r="L169" s="146">
        <v>219624</v>
      </c>
    </row>
    <row r="170" spans="1:12" outlineLevel="2" x14ac:dyDescent="0.25">
      <c r="A170" s="40" t="s">
        <v>206</v>
      </c>
      <c r="B170" s="196" t="s">
        <v>141</v>
      </c>
      <c r="C170" s="3" t="s">
        <v>126</v>
      </c>
      <c r="D170" s="40">
        <v>48</v>
      </c>
      <c r="E170" s="146">
        <v>1623854</v>
      </c>
      <c r="F170" s="146">
        <v>835468</v>
      </c>
      <c r="G170" s="213" t="s">
        <v>500</v>
      </c>
      <c r="H170" s="146">
        <v>788386</v>
      </c>
      <c r="I170" s="215">
        <v>0</v>
      </c>
      <c r="J170" s="215">
        <v>0</v>
      </c>
      <c r="K170" s="215">
        <v>0</v>
      </c>
      <c r="L170" s="146">
        <v>788386</v>
      </c>
    </row>
    <row r="171" spans="1:12" outlineLevel="2" x14ac:dyDescent="0.25">
      <c r="A171" s="40" t="s">
        <v>206</v>
      </c>
      <c r="B171" s="196" t="s">
        <v>144</v>
      </c>
      <c r="C171" s="3" t="s">
        <v>145</v>
      </c>
      <c r="D171" s="40">
        <v>350</v>
      </c>
      <c r="E171" s="146">
        <v>34239</v>
      </c>
      <c r="F171" s="146">
        <v>9495</v>
      </c>
      <c r="G171" s="213" t="s">
        <v>500</v>
      </c>
      <c r="H171" s="146">
        <v>24744</v>
      </c>
      <c r="I171" s="215">
        <v>0</v>
      </c>
      <c r="J171" s="215">
        <v>0</v>
      </c>
      <c r="K171" s="215">
        <v>0</v>
      </c>
      <c r="L171" s="146">
        <v>24744</v>
      </c>
    </row>
    <row r="172" spans="1:12" outlineLevel="2" x14ac:dyDescent="0.25">
      <c r="A172" s="40" t="s">
        <v>206</v>
      </c>
      <c r="B172" s="196" t="s">
        <v>146</v>
      </c>
      <c r="C172" s="3" t="s">
        <v>147</v>
      </c>
      <c r="D172" s="40">
        <v>173</v>
      </c>
      <c r="E172" s="146">
        <v>63225</v>
      </c>
      <c r="F172" s="146">
        <v>18060</v>
      </c>
      <c r="G172" s="213" t="s">
        <v>500</v>
      </c>
      <c r="H172" s="146">
        <v>45165</v>
      </c>
      <c r="I172" s="215">
        <v>0</v>
      </c>
      <c r="J172" s="215">
        <v>0</v>
      </c>
      <c r="K172" s="215">
        <v>0</v>
      </c>
      <c r="L172" s="146">
        <v>45165</v>
      </c>
    </row>
    <row r="173" spans="1:12" ht="29.1" customHeight="1" outlineLevel="2" x14ac:dyDescent="0.25">
      <c r="A173" s="40" t="s">
        <v>206</v>
      </c>
      <c r="B173" s="196" t="s">
        <v>311</v>
      </c>
      <c r="C173" s="3" t="s">
        <v>312</v>
      </c>
      <c r="D173" s="40">
        <v>261</v>
      </c>
      <c r="E173" s="146">
        <v>42331</v>
      </c>
      <c r="F173" s="146">
        <v>15186</v>
      </c>
      <c r="G173" s="213" t="s">
        <v>500</v>
      </c>
      <c r="H173" s="146">
        <v>27145</v>
      </c>
      <c r="I173" s="215">
        <v>0</v>
      </c>
      <c r="J173" s="215">
        <v>0</v>
      </c>
      <c r="K173" s="215">
        <v>0</v>
      </c>
      <c r="L173" s="146">
        <v>27145</v>
      </c>
    </row>
    <row r="174" spans="1:12" outlineLevel="2" x14ac:dyDescent="0.25">
      <c r="A174" s="40" t="s">
        <v>206</v>
      </c>
      <c r="B174" s="196" t="s">
        <v>148</v>
      </c>
      <c r="C174" s="3" t="s">
        <v>149</v>
      </c>
      <c r="D174" s="40">
        <v>244</v>
      </c>
      <c r="E174" s="146">
        <v>99722</v>
      </c>
      <c r="F174" s="146">
        <v>34676</v>
      </c>
      <c r="G174" s="213" t="s">
        <v>500</v>
      </c>
      <c r="H174" s="146">
        <v>65046</v>
      </c>
      <c r="I174" s="215">
        <v>0</v>
      </c>
      <c r="J174" s="215">
        <v>0</v>
      </c>
      <c r="K174" s="215">
        <v>0</v>
      </c>
      <c r="L174" s="146">
        <v>65046</v>
      </c>
    </row>
    <row r="175" spans="1:12" outlineLevel="2" x14ac:dyDescent="0.25">
      <c r="A175" s="40" t="s">
        <v>206</v>
      </c>
      <c r="B175" s="196" t="s">
        <v>322</v>
      </c>
      <c r="C175" s="3" t="s">
        <v>126</v>
      </c>
      <c r="D175" s="40">
        <v>280</v>
      </c>
      <c r="E175" s="146">
        <v>6219</v>
      </c>
      <c r="F175" s="146">
        <v>1000</v>
      </c>
      <c r="G175" s="213" t="s">
        <v>500</v>
      </c>
      <c r="H175" s="146">
        <v>5219</v>
      </c>
      <c r="I175" s="215">
        <v>0</v>
      </c>
      <c r="J175" s="215">
        <v>0</v>
      </c>
      <c r="K175" s="215">
        <v>0</v>
      </c>
      <c r="L175" s="146">
        <v>5219</v>
      </c>
    </row>
    <row r="176" spans="1:12" outlineLevel="2" x14ac:dyDescent="0.25">
      <c r="A176" s="40" t="s">
        <v>206</v>
      </c>
      <c r="B176" s="196" t="s">
        <v>150</v>
      </c>
      <c r="C176" s="3" t="s">
        <v>151</v>
      </c>
      <c r="D176" s="40">
        <v>171</v>
      </c>
      <c r="E176" s="146">
        <v>109844</v>
      </c>
      <c r="F176" s="146">
        <v>28148</v>
      </c>
      <c r="G176" s="213" t="s">
        <v>500</v>
      </c>
      <c r="H176" s="146">
        <v>81696</v>
      </c>
      <c r="I176" s="215">
        <v>0</v>
      </c>
      <c r="J176" s="215">
        <v>0</v>
      </c>
      <c r="K176" s="215">
        <v>0</v>
      </c>
      <c r="L176" s="146">
        <v>81696</v>
      </c>
    </row>
    <row r="177" spans="1:12" ht="45.75" outlineLevel="2" x14ac:dyDescent="0.25">
      <c r="A177" s="40" t="s">
        <v>206</v>
      </c>
      <c r="B177" s="196" t="s">
        <v>152</v>
      </c>
      <c r="C177" s="3" t="s">
        <v>149</v>
      </c>
      <c r="D177" s="40">
        <v>258</v>
      </c>
      <c r="E177" s="146">
        <v>396513</v>
      </c>
      <c r="F177" s="146">
        <v>31957</v>
      </c>
      <c r="G177" s="213" t="s">
        <v>500</v>
      </c>
      <c r="H177" s="146">
        <v>364556</v>
      </c>
      <c r="I177" s="215">
        <v>0</v>
      </c>
      <c r="J177" s="215">
        <v>0</v>
      </c>
      <c r="K177" s="215">
        <v>0</v>
      </c>
      <c r="L177" s="146">
        <v>364556</v>
      </c>
    </row>
    <row r="178" spans="1:12" outlineLevel="2" x14ac:dyDescent="0.25">
      <c r="A178" s="40" t="s">
        <v>206</v>
      </c>
      <c r="B178" s="196" t="s">
        <v>323</v>
      </c>
      <c r="C178" s="3" t="s">
        <v>324</v>
      </c>
      <c r="D178" s="40">
        <v>228</v>
      </c>
      <c r="E178" s="146">
        <v>17098</v>
      </c>
      <c r="F178" s="146">
        <v>1000</v>
      </c>
      <c r="G178" s="213" t="s">
        <v>500</v>
      </c>
      <c r="H178" s="146">
        <v>16098</v>
      </c>
      <c r="I178" s="215">
        <v>0</v>
      </c>
      <c r="J178" s="215">
        <v>0</v>
      </c>
      <c r="K178" s="215">
        <v>0</v>
      </c>
      <c r="L178" s="146">
        <v>16098</v>
      </c>
    </row>
    <row r="179" spans="1:12" ht="14.45" customHeight="1" outlineLevel="2" x14ac:dyDescent="0.25">
      <c r="A179" s="40" t="s">
        <v>206</v>
      </c>
      <c r="B179" s="196" t="s">
        <v>325</v>
      </c>
      <c r="C179" s="3" t="s">
        <v>326</v>
      </c>
      <c r="D179" s="40">
        <v>308</v>
      </c>
      <c r="E179" s="146">
        <v>2805</v>
      </c>
      <c r="F179" s="146">
        <v>1000</v>
      </c>
      <c r="G179" s="213" t="s">
        <v>500</v>
      </c>
      <c r="H179" s="146">
        <v>1805</v>
      </c>
      <c r="I179" s="215">
        <v>0</v>
      </c>
      <c r="J179" s="215">
        <v>0</v>
      </c>
      <c r="K179" s="215">
        <v>0</v>
      </c>
      <c r="L179" s="146">
        <v>1805</v>
      </c>
    </row>
    <row r="180" spans="1:12" outlineLevel="1" x14ac:dyDescent="0.25">
      <c r="A180" s="40" t="s">
        <v>206</v>
      </c>
      <c r="B180" s="196" t="s">
        <v>153</v>
      </c>
      <c r="C180" s="3" t="s">
        <v>126</v>
      </c>
      <c r="D180" s="40">
        <v>260</v>
      </c>
      <c r="E180" s="146">
        <v>1316339</v>
      </c>
      <c r="F180" s="146">
        <v>736708</v>
      </c>
      <c r="G180" s="213" t="s">
        <v>500</v>
      </c>
      <c r="H180" s="146">
        <v>579631</v>
      </c>
      <c r="I180" s="215">
        <v>0</v>
      </c>
      <c r="J180" s="215">
        <v>0</v>
      </c>
      <c r="K180" s="215">
        <v>0</v>
      </c>
      <c r="L180" s="146">
        <v>579631</v>
      </c>
    </row>
    <row r="181" spans="1:12" ht="30.75" outlineLevel="2" x14ac:dyDescent="0.25">
      <c r="A181" s="40" t="s">
        <v>206</v>
      </c>
      <c r="B181" s="196" t="s">
        <v>154</v>
      </c>
      <c r="C181" s="3" t="s">
        <v>155</v>
      </c>
      <c r="D181" s="40">
        <v>367</v>
      </c>
      <c r="E181" s="146">
        <v>147181</v>
      </c>
      <c r="F181" s="146">
        <v>133599</v>
      </c>
      <c r="G181" s="213" t="s">
        <v>500</v>
      </c>
      <c r="H181" s="146">
        <v>13582</v>
      </c>
      <c r="I181" s="215">
        <v>0</v>
      </c>
      <c r="J181" s="215">
        <v>0</v>
      </c>
      <c r="K181" s="215">
        <v>0</v>
      </c>
      <c r="L181" s="146">
        <v>13582</v>
      </c>
    </row>
    <row r="182" spans="1:12" outlineLevel="2" x14ac:dyDescent="0.25">
      <c r="A182" s="40" t="s">
        <v>206</v>
      </c>
      <c r="B182" s="196" t="s">
        <v>180</v>
      </c>
      <c r="C182" s="3" t="s">
        <v>181</v>
      </c>
      <c r="D182" s="40">
        <v>346</v>
      </c>
      <c r="E182" s="146">
        <v>5540</v>
      </c>
      <c r="F182" s="146">
        <v>1000</v>
      </c>
      <c r="G182" s="213" t="s">
        <v>500</v>
      </c>
      <c r="H182" s="146">
        <v>4540</v>
      </c>
      <c r="I182" s="215">
        <v>0</v>
      </c>
      <c r="J182" s="215">
        <v>0</v>
      </c>
      <c r="K182" s="215">
        <v>0</v>
      </c>
      <c r="L182" s="146">
        <v>4540</v>
      </c>
    </row>
    <row r="183" spans="1:12" ht="15.6" customHeight="1" outlineLevel="2" x14ac:dyDescent="0.25">
      <c r="A183" s="40" t="s">
        <v>206</v>
      </c>
      <c r="B183" s="196" t="s">
        <v>156</v>
      </c>
      <c r="C183" s="3" t="s">
        <v>157</v>
      </c>
      <c r="D183" s="40">
        <v>351</v>
      </c>
      <c r="E183" s="146">
        <v>31192</v>
      </c>
      <c r="F183" s="146">
        <v>6108</v>
      </c>
      <c r="G183" s="213" t="s">
        <v>500</v>
      </c>
      <c r="H183" s="146">
        <v>25084</v>
      </c>
      <c r="I183" s="215">
        <v>0</v>
      </c>
      <c r="J183" s="215">
        <v>0</v>
      </c>
      <c r="K183" s="215">
        <v>0</v>
      </c>
      <c r="L183" s="146">
        <v>25084</v>
      </c>
    </row>
    <row r="184" spans="1:12" outlineLevel="2" x14ac:dyDescent="0.25">
      <c r="A184" s="216" t="s">
        <v>207</v>
      </c>
      <c r="B184" s="184" t="s">
        <v>500</v>
      </c>
      <c r="C184" s="74" t="s">
        <v>500</v>
      </c>
      <c r="D184" s="180" t="s">
        <v>500</v>
      </c>
      <c r="E184" s="78">
        <f>SUBTOTAL(109,school201415[Program
Costs])</f>
        <v>84475735</v>
      </c>
      <c r="F184" s="78">
        <f>SUBTOTAL(109,school201415[Less: Net Payments and Offsets 10])</f>
        <v>54123611</v>
      </c>
      <c r="G184" s="74" t="s">
        <v>500</v>
      </c>
      <c r="H184" s="78">
        <f>SUBTOTAL(109,school201415[Accounts Payable
Balance])</f>
        <v>30352124</v>
      </c>
      <c r="I184" s="179">
        <f>SUBTOTAL(109,school201415[Established
Accounts Receivable])</f>
        <v>0</v>
      </c>
      <c r="J184" s="179">
        <f>SUBTOTAL(109,school201415[Less: Recovered Amount])</f>
        <v>0</v>
      </c>
      <c r="K184" s="179">
        <f>SUBTOTAL(109,school201415[Accounts Receivable
Balance])</f>
        <v>0</v>
      </c>
      <c r="L184" s="78">
        <f>SUBTOTAL(109,school201415[Net
Balance])</f>
        <v>30352124</v>
      </c>
    </row>
    <row r="185" spans="1:12" s="3" customFormat="1" ht="15.6" customHeight="1" outlineLevel="2" x14ac:dyDescent="0.2">
      <c r="A185" s="214" t="s">
        <v>508</v>
      </c>
      <c r="B185" s="196"/>
      <c r="D185" s="40"/>
      <c r="E185" s="146"/>
      <c r="F185" s="146"/>
      <c r="G185" s="146"/>
      <c r="H185" s="146"/>
      <c r="I185" s="146"/>
      <c r="J185" s="146"/>
      <c r="K185" s="146"/>
      <c r="L185" s="146"/>
    </row>
    <row r="186" spans="1:12" ht="50.1" customHeight="1" outlineLevel="2" x14ac:dyDescent="0.25">
      <c r="A186" s="204" t="s">
        <v>98</v>
      </c>
      <c r="B186" s="204" t="s">
        <v>99</v>
      </c>
      <c r="C186" s="176" t="s">
        <v>1</v>
      </c>
      <c r="D186" s="204" t="s">
        <v>195</v>
      </c>
      <c r="E186" s="238" t="s">
        <v>188</v>
      </c>
      <c r="F186" s="239" t="s">
        <v>533</v>
      </c>
      <c r="G186" s="212" t="s">
        <v>532</v>
      </c>
      <c r="H186" s="210" t="s">
        <v>528</v>
      </c>
      <c r="I186" s="210" t="s">
        <v>529</v>
      </c>
      <c r="J186" s="238" t="s">
        <v>197</v>
      </c>
      <c r="K186" s="210" t="s">
        <v>530</v>
      </c>
      <c r="L186" s="238" t="s">
        <v>196</v>
      </c>
    </row>
    <row r="187" spans="1:12" outlineLevel="2" x14ac:dyDescent="0.25">
      <c r="A187" s="40" t="s">
        <v>183</v>
      </c>
      <c r="B187" s="196" t="s">
        <v>313</v>
      </c>
      <c r="C187" s="3" t="s">
        <v>314</v>
      </c>
      <c r="D187" s="40">
        <v>305</v>
      </c>
      <c r="E187" s="146">
        <v>11320</v>
      </c>
      <c r="F187" s="146">
        <v>5205</v>
      </c>
      <c r="G187" s="213" t="s">
        <v>500</v>
      </c>
      <c r="H187" s="146">
        <v>6115</v>
      </c>
      <c r="I187" s="215">
        <v>0</v>
      </c>
      <c r="J187" s="215">
        <v>0</v>
      </c>
      <c r="K187" s="215">
        <v>0</v>
      </c>
      <c r="L187" s="146">
        <v>6115</v>
      </c>
    </row>
    <row r="188" spans="1:12" ht="30.75" outlineLevel="2" x14ac:dyDescent="0.25">
      <c r="A188" s="40" t="s">
        <v>183</v>
      </c>
      <c r="B188" s="196" t="s">
        <v>101</v>
      </c>
      <c r="C188" s="3" t="s">
        <v>102</v>
      </c>
      <c r="D188" s="40">
        <v>250</v>
      </c>
      <c r="E188" s="146">
        <v>84439</v>
      </c>
      <c r="F188" s="146">
        <v>13627</v>
      </c>
      <c r="G188" s="213" t="s">
        <v>500</v>
      </c>
      <c r="H188" s="146">
        <v>70812</v>
      </c>
      <c r="I188" s="215">
        <v>0</v>
      </c>
      <c r="J188" s="215">
        <v>0</v>
      </c>
      <c r="K188" s="215">
        <v>0</v>
      </c>
      <c r="L188" s="146">
        <v>70812</v>
      </c>
    </row>
    <row r="189" spans="1:12" ht="30.75" outlineLevel="2" x14ac:dyDescent="0.25">
      <c r="A189" s="40" t="s">
        <v>183</v>
      </c>
      <c r="B189" s="196" t="s">
        <v>105</v>
      </c>
      <c r="C189" s="3" t="s">
        <v>106</v>
      </c>
      <c r="D189" s="40">
        <v>369</v>
      </c>
      <c r="E189" s="146">
        <v>72600459</v>
      </c>
      <c r="F189" s="146">
        <v>71316108</v>
      </c>
      <c r="G189" s="213" t="s">
        <v>500</v>
      </c>
      <c r="H189" s="146">
        <v>1284351</v>
      </c>
      <c r="I189" s="215">
        <v>0</v>
      </c>
      <c r="J189" s="215">
        <v>0</v>
      </c>
      <c r="K189" s="215">
        <v>0</v>
      </c>
      <c r="L189" s="146">
        <v>1284351</v>
      </c>
    </row>
    <row r="190" spans="1:12" outlineLevel="2" x14ac:dyDescent="0.25">
      <c r="A190" s="40" t="s">
        <v>183</v>
      </c>
      <c r="B190" s="196" t="s">
        <v>327</v>
      </c>
      <c r="C190" s="3" t="s">
        <v>174</v>
      </c>
      <c r="D190" s="40">
        <v>354</v>
      </c>
      <c r="E190" s="146">
        <v>160491</v>
      </c>
      <c r="F190" s="146">
        <v>80368</v>
      </c>
      <c r="G190" s="213" t="s">
        <v>500</v>
      </c>
      <c r="H190" s="146">
        <v>80123</v>
      </c>
      <c r="I190" s="215">
        <v>0</v>
      </c>
      <c r="J190" s="215">
        <v>0</v>
      </c>
      <c r="K190" s="215">
        <v>0</v>
      </c>
      <c r="L190" s="146">
        <v>80123</v>
      </c>
    </row>
    <row r="191" spans="1:12" ht="14.45" customHeight="1" outlineLevel="2" x14ac:dyDescent="0.25">
      <c r="A191" s="40" t="s">
        <v>183</v>
      </c>
      <c r="B191" s="196" t="s">
        <v>328</v>
      </c>
      <c r="C191" s="3" t="s">
        <v>329</v>
      </c>
      <c r="D191" s="40">
        <v>286</v>
      </c>
      <c r="E191" s="146">
        <v>3934</v>
      </c>
      <c r="F191" s="146">
        <v>1000</v>
      </c>
      <c r="G191" s="213" t="s">
        <v>500</v>
      </c>
      <c r="H191" s="146">
        <v>2934</v>
      </c>
      <c r="I191" s="215">
        <v>0</v>
      </c>
      <c r="J191" s="215">
        <v>0</v>
      </c>
      <c r="K191" s="215">
        <v>0</v>
      </c>
      <c r="L191" s="146">
        <v>2934</v>
      </c>
    </row>
    <row r="192" spans="1:12" ht="30.75" outlineLevel="2" x14ac:dyDescent="0.25">
      <c r="A192" s="40" t="s">
        <v>183</v>
      </c>
      <c r="B192" s="196" t="s">
        <v>109</v>
      </c>
      <c r="C192" s="3" t="s">
        <v>110</v>
      </c>
      <c r="D192" s="40">
        <v>172</v>
      </c>
      <c r="E192" s="146">
        <v>39521</v>
      </c>
      <c r="F192" s="146">
        <v>18266</v>
      </c>
      <c r="G192" s="213" t="s">
        <v>500</v>
      </c>
      <c r="H192" s="146">
        <v>21255</v>
      </c>
      <c r="I192" s="215">
        <v>0</v>
      </c>
      <c r="J192" s="215">
        <v>0</v>
      </c>
      <c r="K192" s="215">
        <v>0</v>
      </c>
      <c r="L192" s="146">
        <v>21255</v>
      </c>
    </row>
    <row r="193" spans="1:12" outlineLevel="2" x14ac:dyDescent="0.25">
      <c r="A193" s="40" t="s">
        <v>183</v>
      </c>
      <c r="B193" s="196" t="s">
        <v>309</v>
      </c>
      <c r="C193" s="3" t="s">
        <v>310</v>
      </c>
      <c r="D193" s="40">
        <v>278</v>
      </c>
      <c r="E193" s="146">
        <v>68418</v>
      </c>
      <c r="F193" s="146">
        <v>5575</v>
      </c>
      <c r="G193" s="213" t="s">
        <v>500</v>
      </c>
      <c r="H193" s="146">
        <v>62843</v>
      </c>
      <c r="I193" s="215">
        <v>0</v>
      </c>
      <c r="J193" s="215">
        <v>0</v>
      </c>
      <c r="K193" s="215">
        <v>0</v>
      </c>
      <c r="L193" s="146">
        <v>62843</v>
      </c>
    </row>
    <row r="194" spans="1:12" outlineLevel="2" x14ac:dyDescent="0.25">
      <c r="A194" s="40" t="s">
        <v>183</v>
      </c>
      <c r="B194" s="196" t="s">
        <v>330</v>
      </c>
      <c r="C194" s="3" t="s">
        <v>331</v>
      </c>
      <c r="D194" s="40">
        <v>337</v>
      </c>
      <c r="E194" s="146">
        <v>56740</v>
      </c>
      <c r="F194" s="146">
        <v>55085</v>
      </c>
      <c r="G194" s="213" t="s">
        <v>500</v>
      </c>
      <c r="H194" s="146">
        <v>1655</v>
      </c>
      <c r="I194" s="215">
        <v>0</v>
      </c>
      <c r="J194" s="215">
        <v>0</v>
      </c>
      <c r="K194" s="215">
        <v>0</v>
      </c>
      <c r="L194" s="146">
        <v>1655</v>
      </c>
    </row>
    <row r="195" spans="1:12" ht="30.95" customHeight="1" outlineLevel="2" x14ac:dyDescent="0.25">
      <c r="A195" s="40" t="s">
        <v>183</v>
      </c>
      <c r="B195" s="196" t="s">
        <v>115</v>
      </c>
      <c r="C195" s="3" t="s">
        <v>116</v>
      </c>
      <c r="D195" s="40">
        <v>11</v>
      </c>
      <c r="E195" s="146">
        <v>2003690</v>
      </c>
      <c r="F195" s="146">
        <v>1183130</v>
      </c>
      <c r="G195" s="213" t="s">
        <v>500</v>
      </c>
      <c r="H195" s="146">
        <v>820560</v>
      </c>
      <c r="I195" s="215">
        <v>0</v>
      </c>
      <c r="J195" s="215">
        <v>0</v>
      </c>
      <c r="K195" s="215">
        <v>0</v>
      </c>
      <c r="L195" s="146">
        <v>820560</v>
      </c>
    </row>
    <row r="196" spans="1:12" ht="15.6" customHeight="1" outlineLevel="2" x14ac:dyDescent="0.25">
      <c r="A196" s="40" t="s">
        <v>183</v>
      </c>
      <c r="B196" s="196" t="s">
        <v>117</v>
      </c>
      <c r="C196" s="3" t="s">
        <v>118</v>
      </c>
      <c r="D196" s="40">
        <v>313</v>
      </c>
      <c r="E196" s="146">
        <v>257452</v>
      </c>
      <c r="F196" s="146">
        <v>89237</v>
      </c>
      <c r="G196" s="213" t="s">
        <v>500</v>
      </c>
      <c r="H196" s="146">
        <v>168215</v>
      </c>
      <c r="I196" s="215">
        <v>0</v>
      </c>
      <c r="J196" s="215">
        <v>0</v>
      </c>
      <c r="K196" s="215">
        <v>0</v>
      </c>
      <c r="L196" s="146">
        <v>168215</v>
      </c>
    </row>
    <row r="197" spans="1:12" ht="30.75" outlineLevel="2" x14ac:dyDescent="0.25">
      <c r="A197" s="40" t="s">
        <v>183</v>
      </c>
      <c r="B197" s="196" t="s">
        <v>111</v>
      </c>
      <c r="C197" s="3" t="s">
        <v>112</v>
      </c>
      <c r="D197" s="40">
        <v>330</v>
      </c>
      <c r="E197" s="146">
        <v>223094</v>
      </c>
      <c r="F197" s="146">
        <v>90234</v>
      </c>
      <c r="G197" s="213" t="s">
        <v>500</v>
      </c>
      <c r="H197" s="146">
        <v>132860</v>
      </c>
      <c r="I197" s="215">
        <v>0</v>
      </c>
      <c r="J197" s="215">
        <v>0</v>
      </c>
      <c r="K197" s="215">
        <v>0</v>
      </c>
      <c r="L197" s="146">
        <v>132860</v>
      </c>
    </row>
    <row r="198" spans="1:12" ht="45.75" outlineLevel="2" x14ac:dyDescent="0.25">
      <c r="A198" s="40" t="s">
        <v>183</v>
      </c>
      <c r="B198" s="196" t="s">
        <v>103</v>
      </c>
      <c r="C198" s="3" t="s">
        <v>104</v>
      </c>
      <c r="D198" s="40">
        <v>272</v>
      </c>
      <c r="E198" s="146">
        <v>314951</v>
      </c>
      <c r="F198" s="146">
        <v>107194</v>
      </c>
      <c r="G198" s="213" t="s">
        <v>500</v>
      </c>
      <c r="H198" s="146">
        <v>207757</v>
      </c>
      <c r="I198" s="215">
        <v>0</v>
      </c>
      <c r="J198" s="215">
        <v>0</v>
      </c>
      <c r="K198" s="215">
        <v>0</v>
      </c>
      <c r="L198" s="146">
        <v>207757</v>
      </c>
    </row>
    <row r="199" spans="1:12" ht="45.75" outlineLevel="2" x14ac:dyDescent="0.25">
      <c r="A199" s="40" t="s">
        <v>183</v>
      </c>
      <c r="B199" s="196" t="s">
        <v>139</v>
      </c>
      <c r="C199" s="3" t="s">
        <v>140</v>
      </c>
      <c r="D199" s="40">
        <v>276</v>
      </c>
      <c r="E199" s="146">
        <v>98097</v>
      </c>
      <c r="F199" s="146">
        <v>5803</v>
      </c>
      <c r="G199" s="213" t="s">
        <v>500</v>
      </c>
      <c r="H199" s="146">
        <v>92294</v>
      </c>
      <c r="I199" s="215">
        <v>0</v>
      </c>
      <c r="J199" s="215">
        <v>0</v>
      </c>
      <c r="K199" s="215">
        <v>0</v>
      </c>
      <c r="L199" s="146">
        <v>92294</v>
      </c>
    </row>
    <row r="200" spans="1:12" ht="78" customHeight="1" outlineLevel="2" x14ac:dyDescent="0.25">
      <c r="A200" s="40" t="s">
        <v>183</v>
      </c>
      <c r="B200" s="196" t="s">
        <v>142</v>
      </c>
      <c r="C200" s="3" t="s">
        <v>143</v>
      </c>
      <c r="D200" s="40">
        <v>292</v>
      </c>
      <c r="E200" s="146">
        <v>605343</v>
      </c>
      <c r="F200" s="146">
        <v>154725</v>
      </c>
      <c r="G200" s="213" t="s">
        <v>500</v>
      </c>
      <c r="H200" s="146">
        <v>450618</v>
      </c>
      <c r="I200" s="215">
        <v>0</v>
      </c>
      <c r="J200" s="215">
        <v>0</v>
      </c>
      <c r="K200" s="215">
        <v>0</v>
      </c>
      <c r="L200" s="146">
        <v>450618</v>
      </c>
    </row>
    <row r="201" spans="1:12" ht="30.75" outlineLevel="2" x14ac:dyDescent="0.25">
      <c r="A201" s="40" t="s">
        <v>183</v>
      </c>
      <c r="B201" s="196" t="s">
        <v>113</v>
      </c>
      <c r="C201" s="3" t="s">
        <v>114</v>
      </c>
      <c r="D201" s="40">
        <v>209</v>
      </c>
      <c r="E201" s="146">
        <v>100210</v>
      </c>
      <c r="F201" s="146">
        <v>1000</v>
      </c>
      <c r="G201" s="213" t="s">
        <v>500</v>
      </c>
      <c r="H201" s="146">
        <v>99210</v>
      </c>
      <c r="I201" s="215">
        <v>0</v>
      </c>
      <c r="J201" s="215">
        <v>0</v>
      </c>
      <c r="K201" s="215">
        <v>0</v>
      </c>
      <c r="L201" s="146">
        <v>99210</v>
      </c>
    </row>
    <row r="202" spans="1:12" outlineLevel="2" x14ac:dyDescent="0.25">
      <c r="A202" s="40" t="s">
        <v>183</v>
      </c>
      <c r="B202" s="196" t="s">
        <v>119</v>
      </c>
      <c r="C202" s="3" t="s">
        <v>120</v>
      </c>
      <c r="D202" s="40">
        <v>183</v>
      </c>
      <c r="E202" s="146">
        <v>24654</v>
      </c>
      <c r="F202" s="146">
        <v>6249</v>
      </c>
      <c r="G202" s="213" t="s">
        <v>500</v>
      </c>
      <c r="H202" s="146">
        <v>18405</v>
      </c>
      <c r="I202" s="215">
        <v>0</v>
      </c>
      <c r="J202" s="215">
        <v>0</v>
      </c>
      <c r="K202" s="215">
        <v>0</v>
      </c>
      <c r="L202" s="146">
        <v>18405</v>
      </c>
    </row>
    <row r="203" spans="1:12" outlineLevel="2" x14ac:dyDescent="0.25">
      <c r="A203" s="40" t="s">
        <v>183</v>
      </c>
      <c r="B203" s="196" t="s">
        <v>121</v>
      </c>
      <c r="C203" s="3" t="s">
        <v>122</v>
      </c>
      <c r="D203" s="40">
        <v>251</v>
      </c>
      <c r="E203" s="146">
        <v>33464</v>
      </c>
      <c r="F203" s="146">
        <v>8855</v>
      </c>
      <c r="G203" s="213" t="s">
        <v>500</v>
      </c>
      <c r="H203" s="146">
        <v>24609</v>
      </c>
      <c r="I203" s="215">
        <v>0</v>
      </c>
      <c r="J203" s="215">
        <v>0</v>
      </c>
      <c r="K203" s="215">
        <v>0</v>
      </c>
      <c r="L203" s="146">
        <v>24609</v>
      </c>
    </row>
    <row r="204" spans="1:12" ht="30.75" outlineLevel="2" x14ac:dyDescent="0.25">
      <c r="A204" s="40" t="s">
        <v>183</v>
      </c>
      <c r="B204" s="196" t="s">
        <v>317</v>
      </c>
      <c r="C204" s="3" t="s">
        <v>112</v>
      </c>
      <c r="D204" s="40">
        <v>91</v>
      </c>
      <c r="E204" s="146">
        <v>2373</v>
      </c>
      <c r="F204" s="146">
        <v>1275</v>
      </c>
      <c r="G204" s="213" t="s">
        <v>500</v>
      </c>
      <c r="H204" s="146">
        <v>1098</v>
      </c>
      <c r="I204" s="215">
        <v>0</v>
      </c>
      <c r="J204" s="215">
        <v>0</v>
      </c>
      <c r="K204" s="215">
        <v>0</v>
      </c>
      <c r="L204" s="146">
        <v>1098</v>
      </c>
    </row>
    <row r="205" spans="1:12" outlineLevel="2" x14ac:dyDescent="0.25">
      <c r="A205" s="40" t="s">
        <v>183</v>
      </c>
      <c r="B205" s="196" t="s">
        <v>123</v>
      </c>
      <c r="C205" s="3" t="s">
        <v>124</v>
      </c>
      <c r="D205" s="40">
        <v>192</v>
      </c>
      <c r="E205" s="146">
        <v>38653</v>
      </c>
      <c r="F205" s="146">
        <v>12345</v>
      </c>
      <c r="G205" s="213" t="s">
        <v>500</v>
      </c>
      <c r="H205" s="146">
        <v>26308</v>
      </c>
      <c r="I205" s="215">
        <v>0</v>
      </c>
      <c r="J205" s="215">
        <v>0</v>
      </c>
      <c r="K205" s="215">
        <v>0</v>
      </c>
      <c r="L205" s="146">
        <v>26308</v>
      </c>
    </row>
    <row r="206" spans="1:12" ht="30.75" outlineLevel="2" x14ac:dyDescent="0.25">
      <c r="A206" s="40" t="s">
        <v>183</v>
      </c>
      <c r="B206" s="196" t="s">
        <v>125</v>
      </c>
      <c r="C206" s="3" t="s">
        <v>126</v>
      </c>
      <c r="D206" s="40">
        <v>297</v>
      </c>
      <c r="E206" s="146">
        <v>18978442</v>
      </c>
      <c r="F206" s="146">
        <v>4405087</v>
      </c>
      <c r="G206" s="213" t="s">
        <v>500</v>
      </c>
      <c r="H206" s="146">
        <v>14573355</v>
      </c>
      <c r="I206" s="215">
        <v>0</v>
      </c>
      <c r="J206" s="215">
        <v>0</v>
      </c>
      <c r="K206" s="215">
        <v>0</v>
      </c>
      <c r="L206" s="146">
        <v>14573355</v>
      </c>
    </row>
    <row r="207" spans="1:12" outlineLevel="2" x14ac:dyDescent="0.25">
      <c r="A207" s="40" t="s">
        <v>183</v>
      </c>
      <c r="B207" s="196" t="s">
        <v>127</v>
      </c>
      <c r="C207" s="3" t="s">
        <v>128</v>
      </c>
      <c r="D207" s="40">
        <v>166</v>
      </c>
      <c r="E207" s="146">
        <v>665217</v>
      </c>
      <c r="F207" s="146">
        <v>215541</v>
      </c>
      <c r="G207" s="213" t="s">
        <v>500</v>
      </c>
      <c r="H207" s="146">
        <v>449676</v>
      </c>
      <c r="I207" s="215">
        <v>0</v>
      </c>
      <c r="J207" s="215">
        <v>0</v>
      </c>
      <c r="K207" s="215">
        <v>0</v>
      </c>
      <c r="L207" s="146">
        <v>449676</v>
      </c>
    </row>
    <row r="208" spans="1:12" outlineLevel="2" x14ac:dyDescent="0.25">
      <c r="A208" s="40" t="s">
        <v>183</v>
      </c>
      <c r="B208" s="196" t="s">
        <v>318</v>
      </c>
      <c r="C208" s="3" t="s">
        <v>319</v>
      </c>
      <c r="D208" s="40">
        <v>268</v>
      </c>
      <c r="E208" s="146">
        <v>564080</v>
      </c>
      <c r="F208" s="146">
        <v>74880</v>
      </c>
      <c r="G208" s="213" t="s">
        <v>500</v>
      </c>
      <c r="H208" s="146">
        <v>489200</v>
      </c>
      <c r="I208" s="215">
        <v>0</v>
      </c>
      <c r="J208" s="215">
        <v>0</v>
      </c>
      <c r="K208" s="215">
        <v>0</v>
      </c>
      <c r="L208" s="146">
        <v>489200</v>
      </c>
    </row>
    <row r="209" spans="1:12" outlineLevel="2" x14ac:dyDescent="0.25">
      <c r="A209" s="40" t="s">
        <v>183</v>
      </c>
      <c r="B209" s="196" t="s">
        <v>133</v>
      </c>
      <c r="C209" s="3" t="s">
        <v>134</v>
      </c>
      <c r="D209" s="40">
        <v>32</v>
      </c>
      <c r="E209" s="146">
        <v>266637</v>
      </c>
      <c r="F209" s="146">
        <v>137331</v>
      </c>
      <c r="G209" s="213" t="s">
        <v>500</v>
      </c>
      <c r="H209" s="146">
        <v>129306</v>
      </c>
      <c r="I209" s="215">
        <v>0</v>
      </c>
      <c r="J209" s="215">
        <v>0</v>
      </c>
      <c r="K209" s="215">
        <v>0</v>
      </c>
      <c r="L209" s="146">
        <v>129306</v>
      </c>
    </row>
    <row r="210" spans="1:12" ht="30.75" outlineLevel="2" x14ac:dyDescent="0.25">
      <c r="A210" s="40" t="s">
        <v>183</v>
      </c>
      <c r="B210" s="196" t="s">
        <v>129</v>
      </c>
      <c r="C210" s="3" t="s">
        <v>130</v>
      </c>
      <c r="D210" s="40">
        <v>368</v>
      </c>
      <c r="E210" s="146">
        <v>243333</v>
      </c>
      <c r="F210" s="146">
        <v>139031</v>
      </c>
      <c r="G210" s="213" t="s">
        <v>500</v>
      </c>
      <c r="H210" s="146">
        <v>104302</v>
      </c>
      <c r="I210" s="215">
        <v>0</v>
      </c>
      <c r="J210" s="215">
        <v>0</v>
      </c>
      <c r="K210" s="215">
        <v>0</v>
      </c>
      <c r="L210" s="146">
        <v>104302</v>
      </c>
    </row>
    <row r="211" spans="1:12" outlineLevel="2" x14ac:dyDescent="0.25">
      <c r="A211" s="40" t="s">
        <v>183</v>
      </c>
      <c r="B211" s="196" t="s">
        <v>131</v>
      </c>
      <c r="C211" s="3" t="s">
        <v>132</v>
      </c>
      <c r="D211" s="40">
        <v>357</v>
      </c>
      <c r="E211" s="146">
        <v>1204591</v>
      </c>
      <c r="F211" s="146">
        <v>971288</v>
      </c>
      <c r="G211" s="213" t="s">
        <v>500</v>
      </c>
      <c r="H211" s="146">
        <v>233303</v>
      </c>
      <c r="I211" s="215">
        <v>0</v>
      </c>
      <c r="J211" s="215">
        <v>0</v>
      </c>
      <c r="K211" s="215">
        <v>0</v>
      </c>
      <c r="L211" s="146">
        <v>233303</v>
      </c>
    </row>
    <row r="212" spans="1:12" outlineLevel="2" x14ac:dyDescent="0.25">
      <c r="A212" s="40" t="s">
        <v>183</v>
      </c>
      <c r="B212" s="196" t="s">
        <v>320</v>
      </c>
      <c r="C212" s="3" t="s">
        <v>321</v>
      </c>
      <c r="D212" s="40">
        <v>148</v>
      </c>
      <c r="E212" s="146">
        <v>5963</v>
      </c>
      <c r="F212" s="146">
        <v>2158</v>
      </c>
      <c r="G212" s="213" t="s">
        <v>500</v>
      </c>
      <c r="H212" s="146">
        <v>3805</v>
      </c>
      <c r="I212" s="215">
        <v>0</v>
      </c>
      <c r="J212" s="215">
        <v>0</v>
      </c>
      <c r="K212" s="215">
        <v>0</v>
      </c>
      <c r="L212" s="146">
        <v>3805</v>
      </c>
    </row>
    <row r="213" spans="1:12" outlineLevel="2" x14ac:dyDescent="0.25">
      <c r="A213" s="40" t="s">
        <v>183</v>
      </c>
      <c r="B213" s="196" t="s">
        <v>135</v>
      </c>
      <c r="C213" s="3" t="s">
        <v>136</v>
      </c>
      <c r="D213" s="40">
        <v>153</v>
      </c>
      <c r="E213" s="146">
        <v>140532</v>
      </c>
      <c r="F213" s="146">
        <v>62155</v>
      </c>
      <c r="G213" s="213" t="s">
        <v>500</v>
      </c>
      <c r="H213" s="146">
        <v>78377</v>
      </c>
      <c r="I213" s="215">
        <v>0</v>
      </c>
      <c r="J213" s="215">
        <v>0</v>
      </c>
      <c r="K213" s="215">
        <v>0</v>
      </c>
      <c r="L213" s="146">
        <v>78377</v>
      </c>
    </row>
    <row r="214" spans="1:12" outlineLevel="2" x14ac:dyDescent="0.25">
      <c r="A214" s="40" t="s">
        <v>183</v>
      </c>
      <c r="B214" s="196" t="s">
        <v>137</v>
      </c>
      <c r="C214" s="3" t="s">
        <v>138</v>
      </c>
      <c r="D214" s="40">
        <v>155</v>
      </c>
      <c r="E214" s="146">
        <v>247195</v>
      </c>
      <c r="F214" s="146">
        <v>2026</v>
      </c>
      <c r="G214" s="213" t="s">
        <v>500</v>
      </c>
      <c r="H214" s="146">
        <v>245169</v>
      </c>
      <c r="I214" s="215">
        <v>0</v>
      </c>
      <c r="J214" s="215">
        <v>0</v>
      </c>
      <c r="K214" s="215">
        <v>0</v>
      </c>
      <c r="L214" s="146">
        <v>245169</v>
      </c>
    </row>
    <row r="215" spans="1:12" outlineLevel="2" x14ac:dyDescent="0.25">
      <c r="A215" s="40" t="s">
        <v>183</v>
      </c>
      <c r="B215" s="196" t="s">
        <v>141</v>
      </c>
      <c r="C215" s="3" t="s">
        <v>126</v>
      </c>
      <c r="D215" s="40">
        <v>48</v>
      </c>
      <c r="E215" s="146">
        <v>1846288</v>
      </c>
      <c r="F215" s="146">
        <v>1214783</v>
      </c>
      <c r="G215" s="213" t="s">
        <v>500</v>
      </c>
      <c r="H215" s="146">
        <v>631505</v>
      </c>
      <c r="I215" s="215">
        <v>0</v>
      </c>
      <c r="J215" s="215">
        <v>0</v>
      </c>
      <c r="K215" s="215">
        <v>0</v>
      </c>
      <c r="L215" s="146">
        <v>631505</v>
      </c>
    </row>
    <row r="216" spans="1:12" outlineLevel="2" x14ac:dyDescent="0.25">
      <c r="A216" s="40" t="s">
        <v>183</v>
      </c>
      <c r="B216" s="196" t="s">
        <v>144</v>
      </c>
      <c r="C216" s="3" t="s">
        <v>145</v>
      </c>
      <c r="D216" s="40">
        <v>350</v>
      </c>
      <c r="E216" s="146">
        <v>139137</v>
      </c>
      <c r="F216" s="146">
        <v>54044</v>
      </c>
      <c r="G216" s="213" t="s">
        <v>500</v>
      </c>
      <c r="H216" s="146">
        <v>85093</v>
      </c>
      <c r="I216" s="215">
        <v>0</v>
      </c>
      <c r="J216" s="215">
        <v>0</v>
      </c>
      <c r="K216" s="215">
        <v>0</v>
      </c>
      <c r="L216" s="146">
        <v>85093</v>
      </c>
    </row>
    <row r="217" spans="1:12" outlineLevel="2" x14ac:dyDescent="0.25">
      <c r="A217" s="40" t="s">
        <v>183</v>
      </c>
      <c r="B217" s="196" t="s">
        <v>146</v>
      </c>
      <c r="C217" s="3" t="s">
        <v>147</v>
      </c>
      <c r="D217" s="40">
        <v>173</v>
      </c>
      <c r="E217" s="146">
        <v>76582</v>
      </c>
      <c r="F217" s="146">
        <v>41508</v>
      </c>
      <c r="G217" s="213" t="s">
        <v>500</v>
      </c>
      <c r="H217" s="146">
        <v>35074</v>
      </c>
      <c r="I217" s="215">
        <v>0</v>
      </c>
      <c r="J217" s="215">
        <v>0</v>
      </c>
      <c r="K217" s="215">
        <v>0</v>
      </c>
      <c r="L217" s="146">
        <v>35074</v>
      </c>
    </row>
    <row r="218" spans="1:12" ht="29.1" customHeight="1" outlineLevel="2" x14ac:dyDescent="0.25">
      <c r="A218" s="40" t="s">
        <v>183</v>
      </c>
      <c r="B218" s="196" t="s">
        <v>311</v>
      </c>
      <c r="C218" s="3" t="s">
        <v>312</v>
      </c>
      <c r="D218" s="40">
        <v>261</v>
      </c>
      <c r="E218" s="146">
        <v>44962</v>
      </c>
      <c r="F218" s="146">
        <v>22564</v>
      </c>
      <c r="G218" s="213" t="s">
        <v>500</v>
      </c>
      <c r="H218" s="146">
        <v>22398</v>
      </c>
      <c r="I218" s="215">
        <v>0</v>
      </c>
      <c r="J218" s="215">
        <v>0</v>
      </c>
      <c r="K218" s="215">
        <v>0</v>
      </c>
      <c r="L218" s="146">
        <v>22398</v>
      </c>
    </row>
    <row r="219" spans="1:12" outlineLevel="2" x14ac:dyDescent="0.25">
      <c r="A219" s="40" t="s">
        <v>183</v>
      </c>
      <c r="B219" s="196" t="s">
        <v>148</v>
      </c>
      <c r="C219" s="3" t="s">
        <v>149</v>
      </c>
      <c r="D219" s="40">
        <v>244</v>
      </c>
      <c r="E219" s="146">
        <v>133508</v>
      </c>
      <c r="F219" s="146">
        <v>74816</v>
      </c>
      <c r="G219" s="213" t="s">
        <v>500</v>
      </c>
      <c r="H219" s="146">
        <v>58692</v>
      </c>
      <c r="I219" s="215">
        <v>0</v>
      </c>
      <c r="J219" s="215">
        <v>0</v>
      </c>
      <c r="K219" s="215">
        <v>0</v>
      </c>
      <c r="L219" s="146">
        <v>58692</v>
      </c>
    </row>
    <row r="220" spans="1:12" outlineLevel="2" x14ac:dyDescent="0.25">
      <c r="A220" s="40" t="s">
        <v>183</v>
      </c>
      <c r="B220" s="196" t="s">
        <v>322</v>
      </c>
      <c r="C220" s="3" t="s">
        <v>126</v>
      </c>
      <c r="D220" s="40">
        <v>280</v>
      </c>
      <c r="E220" s="146">
        <v>7615</v>
      </c>
      <c r="F220" s="146">
        <v>1000</v>
      </c>
      <c r="G220" s="213" t="s">
        <v>500</v>
      </c>
      <c r="H220" s="146">
        <v>6615</v>
      </c>
      <c r="I220" s="215">
        <v>0</v>
      </c>
      <c r="J220" s="215">
        <v>0</v>
      </c>
      <c r="K220" s="215">
        <v>0</v>
      </c>
      <c r="L220" s="146">
        <v>6615</v>
      </c>
    </row>
    <row r="221" spans="1:12" outlineLevel="2" x14ac:dyDescent="0.25">
      <c r="A221" s="40" t="s">
        <v>183</v>
      </c>
      <c r="B221" s="196" t="s">
        <v>332</v>
      </c>
      <c r="C221" s="3" t="s">
        <v>333</v>
      </c>
      <c r="D221" s="40">
        <v>362</v>
      </c>
      <c r="E221" s="146">
        <v>55547</v>
      </c>
      <c r="F221" s="146">
        <v>49268</v>
      </c>
      <c r="G221" s="213" t="s">
        <v>500</v>
      </c>
      <c r="H221" s="146">
        <v>6279</v>
      </c>
      <c r="I221" s="215">
        <v>0</v>
      </c>
      <c r="J221" s="215">
        <v>0</v>
      </c>
      <c r="K221" s="215">
        <v>0</v>
      </c>
      <c r="L221" s="146">
        <v>6279</v>
      </c>
    </row>
    <row r="222" spans="1:12" outlineLevel="2" x14ac:dyDescent="0.25">
      <c r="A222" s="40" t="s">
        <v>183</v>
      </c>
      <c r="B222" s="196" t="s">
        <v>150</v>
      </c>
      <c r="C222" s="3" t="s">
        <v>151</v>
      </c>
      <c r="D222" s="40">
        <v>171</v>
      </c>
      <c r="E222" s="146">
        <v>160850</v>
      </c>
      <c r="F222" s="146">
        <v>55602</v>
      </c>
      <c r="G222" s="213" t="s">
        <v>500</v>
      </c>
      <c r="H222" s="146">
        <v>105248</v>
      </c>
      <c r="I222" s="215">
        <v>0</v>
      </c>
      <c r="J222" s="215">
        <v>0</v>
      </c>
      <c r="K222" s="215">
        <v>0</v>
      </c>
      <c r="L222" s="146">
        <v>105248</v>
      </c>
    </row>
    <row r="223" spans="1:12" ht="14.45" customHeight="1" outlineLevel="2" x14ac:dyDescent="0.25">
      <c r="A223" s="40" t="s">
        <v>183</v>
      </c>
      <c r="B223" s="196" t="s">
        <v>152</v>
      </c>
      <c r="C223" s="3" t="s">
        <v>149</v>
      </c>
      <c r="D223" s="40">
        <v>258</v>
      </c>
      <c r="E223" s="146">
        <v>478898</v>
      </c>
      <c r="F223" s="146">
        <v>117893</v>
      </c>
      <c r="G223" s="213" t="s">
        <v>500</v>
      </c>
      <c r="H223" s="146">
        <v>361005</v>
      </c>
      <c r="I223" s="215">
        <v>0</v>
      </c>
      <c r="J223" s="215">
        <v>0</v>
      </c>
      <c r="K223" s="215">
        <v>0</v>
      </c>
      <c r="L223" s="146">
        <v>361005</v>
      </c>
    </row>
    <row r="224" spans="1:12" outlineLevel="1" x14ac:dyDescent="0.25">
      <c r="A224" s="40" t="s">
        <v>183</v>
      </c>
      <c r="B224" s="196" t="s">
        <v>323</v>
      </c>
      <c r="C224" s="3" t="s">
        <v>324</v>
      </c>
      <c r="D224" s="40">
        <v>228</v>
      </c>
      <c r="E224" s="146">
        <v>51918</v>
      </c>
      <c r="F224" s="146">
        <v>1000</v>
      </c>
      <c r="G224" s="213" t="s">
        <v>500</v>
      </c>
      <c r="H224" s="146">
        <v>50918</v>
      </c>
      <c r="I224" s="215">
        <v>0</v>
      </c>
      <c r="J224" s="215">
        <v>0</v>
      </c>
      <c r="K224" s="215">
        <v>0</v>
      </c>
      <c r="L224" s="146">
        <v>50918</v>
      </c>
    </row>
    <row r="225" spans="1:12" outlineLevel="2" x14ac:dyDescent="0.25">
      <c r="A225" s="40" t="s">
        <v>183</v>
      </c>
      <c r="B225" s="196" t="s">
        <v>325</v>
      </c>
      <c r="C225" s="3" t="s">
        <v>326</v>
      </c>
      <c r="D225" s="40">
        <v>308</v>
      </c>
      <c r="E225" s="146">
        <v>1359</v>
      </c>
      <c r="F225" s="146">
        <v>1000</v>
      </c>
      <c r="G225" s="213" t="s">
        <v>500</v>
      </c>
      <c r="H225" s="146">
        <v>359</v>
      </c>
      <c r="I225" s="215">
        <v>0</v>
      </c>
      <c r="J225" s="215">
        <v>0</v>
      </c>
      <c r="K225" s="215">
        <v>0</v>
      </c>
      <c r="L225" s="146">
        <v>359</v>
      </c>
    </row>
    <row r="226" spans="1:12" outlineLevel="2" x14ac:dyDescent="0.25">
      <c r="A226" s="40" t="s">
        <v>183</v>
      </c>
      <c r="B226" s="196" t="s">
        <v>153</v>
      </c>
      <c r="C226" s="3" t="s">
        <v>126</v>
      </c>
      <c r="D226" s="40">
        <v>260</v>
      </c>
      <c r="E226" s="146">
        <v>1234226</v>
      </c>
      <c r="F226" s="146">
        <v>664042</v>
      </c>
      <c r="G226" s="213" t="s">
        <v>500</v>
      </c>
      <c r="H226" s="146">
        <v>570184</v>
      </c>
      <c r="I226" s="215">
        <v>0</v>
      </c>
      <c r="J226" s="215">
        <v>0</v>
      </c>
      <c r="K226" s="215">
        <v>0</v>
      </c>
      <c r="L226" s="146">
        <v>570184</v>
      </c>
    </row>
    <row r="227" spans="1:12" outlineLevel="2" x14ac:dyDescent="0.25">
      <c r="A227" s="40" t="s">
        <v>183</v>
      </c>
      <c r="B227" s="196" t="s">
        <v>180</v>
      </c>
      <c r="C227" s="3" t="s">
        <v>181</v>
      </c>
      <c r="D227" s="40">
        <v>346</v>
      </c>
      <c r="E227" s="146">
        <v>55556</v>
      </c>
      <c r="F227" s="146">
        <v>27581</v>
      </c>
      <c r="G227" s="213" t="s">
        <v>500</v>
      </c>
      <c r="H227" s="146">
        <v>27975</v>
      </c>
      <c r="I227" s="215">
        <v>0</v>
      </c>
      <c r="J227" s="215">
        <v>0</v>
      </c>
      <c r="K227" s="215">
        <v>0</v>
      </c>
      <c r="L227" s="146">
        <v>27975</v>
      </c>
    </row>
    <row r="228" spans="1:12" ht="15.6" customHeight="1" outlineLevel="2" x14ac:dyDescent="0.25">
      <c r="A228" s="40" t="s">
        <v>183</v>
      </c>
      <c r="B228" s="196" t="s">
        <v>156</v>
      </c>
      <c r="C228" s="3" t="s">
        <v>157</v>
      </c>
      <c r="D228" s="40">
        <v>351</v>
      </c>
      <c r="E228" s="146">
        <v>141465</v>
      </c>
      <c r="F228" s="146">
        <v>72454</v>
      </c>
      <c r="G228" s="213" t="s">
        <v>500</v>
      </c>
      <c r="H228" s="146">
        <v>69011</v>
      </c>
      <c r="I228" s="215">
        <v>0</v>
      </c>
      <c r="J228" s="215">
        <v>0</v>
      </c>
      <c r="K228" s="215">
        <v>0</v>
      </c>
      <c r="L228" s="146">
        <v>69011</v>
      </c>
    </row>
    <row r="229" spans="1:12" outlineLevel="2" x14ac:dyDescent="0.25">
      <c r="A229" s="216" t="s">
        <v>208</v>
      </c>
      <c r="B229" s="184" t="s">
        <v>500</v>
      </c>
      <c r="C229" s="74" t="s">
        <v>500</v>
      </c>
      <c r="D229" s="180" t="s">
        <v>500</v>
      </c>
      <c r="E229" s="78">
        <f>SUBTOTAL(109,school201314[Program
Costs])</f>
        <v>103471204</v>
      </c>
      <c r="F229" s="78">
        <f>SUBTOTAL(109,school201314[Less: Net Payments and Offsets 10])</f>
        <v>81562333</v>
      </c>
      <c r="G229" s="74" t="s">
        <v>500</v>
      </c>
      <c r="H229" s="78">
        <f>SUBTOTAL(109,school201314[Accounts Payable
Balance])</f>
        <v>21908871</v>
      </c>
      <c r="I229" s="179">
        <f>SUBTOTAL(109,school201314[Established
Accounts Receivable])</f>
        <v>0</v>
      </c>
      <c r="J229" s="179">
        <f>SUBTOTAL(109,school201314[Less: Recovered Amount])</f>
        <v>0</v>
      </c>
      <c r="K229" s="179">
        <f>SUBTOTAL(109,school201314[Accounts Receivable
Balance])</f>
        <v>0</v>
      </c>
      <c r="L229" s="78">
        <f>SUBTOTAL(109,school201314[Net
Balance])</f>
        <v>21908871</v>
      </c>
    </row>
    <row r="230" spans="1:12" s="3" customFormat="1" ht="15" outlineLevel="2" x14ac:dyDescent="0.2">
      <c r="A230" s="214" t="s">
        <v>508</v>
      </c>
      <c r="B230" s="196"/>
      <c r="D230" s="40"/>
      <c r="E230" s="146"/>
      <c r="F230" s="146"/>
      <c r="G230" s="146"/>
      <c r="H230" s="146"/>
      <c r="I230" s="146"/>
      <c r="J230" s="146"/>
      <c r="K230" s="146"/>
      <c r="L230" s="146"/>
    </row>
    <row r="231" spans="1:12" ht="50.1" customHeight="1" outlineLevel="2" x14ac:dyDescent="0.25">
      <c r="A231" s="204" t="s">
        <v>98</v>
      </c>
      <c r="B231" s="204" t="s">
        <v>99</v>
      </c>
      <c r="C231" s="176" t="s">
        <v>1</v>
      </c>
      <c r="D231" s="204" t="s">
        <v>195</v>
      </c>
      <c r="E231" s="238" t="s">
        <v>188</v>
      </c>
      <c r="F231" s="239" t="s">
        <v>533</v>
      </c>
      <c r="G231" s="212" t="s">
        <v>532</v>
      </c>
      <c r="H231" s="210" t="s">
        <v>528</v>
      </c>
      <c r="I231" s="210" t="s">
        <v>529</v>
      </c>
      <c r="J231" s="238" t="s">
        <v>197</v>
      </c>
      <c r="K231" s="210" t="s">
        <v>530</v>
      </c>
      <c r="L231" s="238" t="s">
        <v>196</v>
      </c>
    </row>
    <row r="232" spans="1:12" outlineLevel="2" x14ac:dyDescent="0.25">
      <c r="A232" s="40" t="s">
        <v>184</v>
      </c>
      <c r="B232" s="196" t="s">
        <v>313</v>
      </c>
      <c r="C232" s="3" t="s">
        <v>314</v>
      </c>
      <c r="D232" s="40">
        <v>305</v>
      </c>
      <c r="E232" s="146">
        <v>75875</v>
      </c>
      <c r="F232" s="146">
        <v>21976</v>
      </c>
      <c r="G232" s="213" t="s">
        <v>500</v>
      </c>
      <c r="H232" s="146">
        <v>53899</v>
      </c>
      <c r="I232" s="215">
        <v>0</v>
      </c>
      <c r="J232" s="215">
        <v>0</v>
      </c>
      <c r="K232" s="215">
        <v>0</v>
      </c>
      <c r="L232" s="146">
        <v>53899</v>
      </c>
    </row>
    <row r="233" spans="1:12" ht="30.75" outlineLevel="2" x14ac:dyDescent="0.25">
      <c r="A233" s="40" t="s">
        <v>184</v>
      </c>
      <c r="B233" s="196" t="s">
        <v>101</v>
      </c>
      <c r="C233" s="3" t="s">
        <v>102</v>
      </c>
      <c r="D233" s="40">
        <v>250</v>
      </c>
      <c r="E233" s="146">
        <v>140238</v>
      </c>
      <c r="F233" s="146">
        <v>56175</v>
      </c>
      <c r="G233" s="213" t="s">
        <v>500</v>
      </c>
      <c r="H233" s="146">
        <v>84063</v>
      </c>
      <c r="I233" s="215">
        <v>0</v>
      </c>
      <c r="J233" s="215">
        <v>0</v>
      </c>
      <c r="K233" s="215">
        <v>0</v>
      </c>
      <c r="L233" s="146">
        <v>84063</v>
      </c>
    </row>
    <row r="234" spans="1:12" ht="30.75" outlineLevel="2" x14ac:dyDescent="0.25">
      <c r="A234" s="40" t="s">
        <v>184</v>
      </c>
      <c r="B234" s="196" t="s">
        <v>334</v>
      </c>
      <c r="C234" s="3" t="s">
        <v>335</v>
      </c>
      <c r="D234" s="40">
        <v>349</v>
      </c>
      <c r="E234" s="146">
        <v>567515</v>
      </c>
      <c r="F234" s="146">
        <v>339292</v>
      </c>
      <c r="G234" s="213" t="s">
        <v>500</v>
      </c>
      <c r="H234" s="146">
        <v>228223</v>
      </c>
      <c r="I234" s="215">
        <v>0</v>
      </c>
      <c r="J234" s="215">
        <v>0</v>
      </c>
      <c r="K234" s="215">
        <v>0</v>
      </c>
      <c r="L234" s="146">
        <v>228223</v>
      </c>
    </row>
    <row r="235" spans="1:12" outlineLevel="2" x14ac:dyDescent="0.25">
      <c r="A235" s="40" t="s">
        <v>184</v>
      </c>
      <c r="B235" s="196" t="s">
        <v>327</v>
      </c>
      <c r="C235" s="3" t="s">
        <v>174</v>
      </c>
      <c r="D235" s="40">
        <v>354</v>
      </c>
      <c r="E235" s="146">
        <v>138826</v>
      </c>
      <c r="F235" s="146">
        <v>96195</v>
      </c>
      <c r="G235" s="213" t="s">
        <v>500</v>
      </c>
      <c r="H235" s="146">
        <v>42631</v>
      </c>
      <c r="I235" s="215">
        <v>0</v>
      </c>
      <c r="J235" s="215">
        <v>0</v>
      </c>
      <c r="K235" s="215">
        <v>0</v>
      </c>
      <c r="L235" s="146">
        <v>42631</v>
      </c>
    </row>
    <row r="236" spans="1:12" ht="14.45" customHeight="1" outlineLevel="2" x14ac:dyDescent="0.25">
      <c r="A236" s="40" t="s">
        <v>184</v>
      </c>
      <c r="B236" s="196" t="s">
        <v>328</v>
      </c>
      <c r="C236" s="3" t="s">
        <v>329</v>
      </c>
      <c r="D236" s="40">
        <v>286</v>
      </c>
      <c r="E236" s="146">
        <v>3927</v>
      </c>
      <c r="F236" s="146">
        <v>2888</v>
      </c>
      <c r="G236" s="213" t="s">
        <v>500</v>
      </c>
      <c r="H236" s="146">
        <v>1039</v>
      </c>
      <c r="I236" s="215">
        <v>0</v>
      </c>
      <c r="J236" s="215">
        <v>0</v>
      </c>
      <c r="K236" s="215">
        <v>0</v>
      </c>
      <c r="L236" s="146">
        <v>1039</v>
      </c>
    </row>
    <row r="237" spans="1:12" ht="30.75" outlineLevel="2" x14ac:dyDescent="0.25">
      <c r="A237" s="40" t="s">
        <v>184</v>
      </c>
      <c r="B237" s="196" t="s">
        <v>109</v>
      </c>
      <c r="C237" s="3" t="s">
        <v>110</v>
      </c>
      <c r="D237" s="40">
        <v>172</v>
      </c>
      <c r="E237" s="146">
        <v>112635</v>
      </c>
      <c r="F237" s="146">
        <v>61328</v>
      </c>
      <c r="G237" s="213" t="s">
        <v>500</v>
      </c>
      <c r="H237" s="146">
        <v>51307</v>
      </c>
      <c r="I237" s="215">
        <v>0</v>
      </c>
      <c r="J237" s="215">
        <v>0</v>
      </c>
      <c r="K237" s="215">
        <v>0</v>
      </c>
      <c r="L237" s="146">
        <v>51307</v>
      </c>
    </row>
    <row r="238" spans="1:12" outlineLevel="2" x14ac:dyDescent="0.25">
      <c r="A238" s="40" t="s">
        <v>184</v>
      </c>
      <c r="B238" s="196" t="s">
        <v>309</v>
      </c>
      <c r="C238" s="3" t="s">
        <v>310</v>
      </c>
      <c r="D238" s="40">
        <v>278</v>
      </c>
      <c r="E238" s="146">
        <v>125147</v>
      </c>
      <c r="F238" s="146">
        <v>88618</v>
      </c>
      <c r="G238" s="213" t="s">
        <v>500</v>
      </c>
      <c r="H238" s="146">
        <v>36529</v>
      </c>
      <c r="I238" s="215">
        <v>0</v>
      </c>
      <c r="J238" s="215">
        <v>0</v>
      </c>
      <c r="K238" s="215">
        <v>0</v>
      </c>
      <c r="L238" s="146">
        <v>36529</v>
      </c>
    </row>
    <row r="239" spans="1:12" outlineLevel="2" x14ac:dyDescent="0.25">
      <c r="A239" s="40" t="s">
        <v>184</v>
      </c>
      <c r="B239" s="196" t="s">
        <v>330</v>
      </c>
      <c r="C239" s="3" t="s">
        <v>331</v>
      </c>
      <c r="D239" s="40">
        <v>337</v>
      </c>
      <c r="E239" s="146">
        <v>25128</v>
      </c>
      <c r="F239" s="146">
        <v>9606</v>
      </c>
      <c r="G239" s="213" t="s">
        <v>500</v>
      </c>
      <c r="H239" s="146">
        <v>15522</v>
      </c>
      <c r="I239" s="215">
        <v>0</v>
      </c>
      <c r="J239" s="215">
        <v>0</v>
      </c>
      <c r="K239" s="215">
        <v>0</v>
      </c>
      <c r="L239" s="146">
        <v>15522</v>
      </c>
    </row>
    <row r="240" spans="1:12" ht="15.6" customHeight="1" outlineLevel="2" x14ac:dyDescent="0.25">
      <c r="A240" s="40" t="s">
        <v>184</v>
      </c>
      <c r="B240" s="196" t="s">
        <v>315</v>
      </c>
      <c r="C240" s="3" t="s">
        <v>316</v>
      </c>
      <c r="D240" s="40">
        <v>309</v>
      </c>
      <c r="E240" s="146">
        <v>1813</v>
      </c>
      <c r="F240" s="146">
        <v>1000</v>
      </c>
      <c r="G240" s="213" t="s">
        <v>500</v>
      </c>
      <c r="H240" s="146">
        <v>813</v>
      </c>
      <c r="I240" s="215">
        <v>0</v>
      </c>
      <c r="J240" s="215">
        <v>0</v>
      </c>
      <c r="K240" s="215">
        <v>0</v>
      </c>
      <c r="L240" s="146">
        <v>813</v>
      </c>
    </row>
    <row r="241" spans="1:12" ht="30.75" outlineLevel="2" x14ac:dyDescent="0.25">
      <c r="A241" s="40" t="s">
        <v>184</v>
      </c>
      <c r="B241" s="196" t="s">
        <v>115</v>
      </c>
      <c r="C241" s="3" t="s">
        <v>116</v>
      </c>
      <c r="D241" s="40">
        <v>11</v>
      </c>
      <c r="E241" s="146">
        <v>3499394</v>
      </c>
      <c r="F241" s="146">
        <v>2246286</v>
      </c>
      <c r="G241" s="213" t="s">
        <v>500</v>
      </c>
      <c r="H241" s="146">
        <v>1253108</v>
      </c>
      <c r="I241" s="215">
        <v>0</v>
      </c>
      <c r="J241" s="215">
        <v>0</v>
      </c>
      <c r="K241" s="215">
        <v>0</v>
      </c>
      <c r="L241" s="146">
        <v>1253108</v>
      </c>
    </row>
    <row r="242" spans="1:12" ht="15.6" customHeight="1" outlineLevel="2" x14ac:dyDescent="0.25">
      <c r="A242" s="40" t="s">
        <v>184</v>
      </c>
      <c r="B242" s="196" t="s">
        <v>117</v>
      </c>
      <c r="C242" s="3" t="s">
        <v>118</v>
      </c>
      <c r="D242" s="40">
        <v>313</v>
      </c>
      <c r="E242" s="146">
        <v>635945</v>
      </c>
      <c r="F242" s="146">
        <v>302976</v>
      </c>
      <c r="G242" s="213" t="s">
        <v>500</v>
      </c>
      <c r="H242" s="146">
        <v>332969</v>
      </c>
      <c r="I242" s="215">
        <v>0</v>
      </c>
      <c r="J242" s="215">
        <v>0</v>
      </c>
      <c r="K242" s="215">
        <v>0</v>
      </c>
      <c r="L242" s="146">
        <v>332969</v>
      </c>
    </row>
    <row r="243" spans="1:12" ht="30.75" outlineLevel="2" x14ac:dyDescent="0.25">
      <c r="A243" s="40" t="s">
        <v>184</v>
      </c>
      <c r="B243" s="196" t="s">
        <v>111</v>
      </c>
      <c r="C243" s="3" t="s">
        <v>112</v>
      </c>
      <c r="D243" s="40">
        <v>330</v>
      </c>
      <c r="E243" s="146">
        <v>796292</v>
      </c>
      <c r="F243" s="146">
        <v>385103</v>
      </c>
      <c r="G243" s="213" t="s">
        <v>500</v>
      </c>
      <c r="H243" s="146">
        <v>411189</v>
      </c>
      <c r="I243" s="215">
        <v>0</v>
      </c>
      <c r="J243" s="215">
        <v>0</v>
      </c>
      <c r="K243" s="215">
        <v>0</v>
      </c>
      <c r="L243" s="146">
        <v>411189</v>
      </c>
    </row>
    <row r="244" spans="1:12" ht="45.75" outlineLevel="2" x14ac:dyDescent="0.25">
      <c r="A244" s="40" t="s">
        <v>184</v>
      </c>
      <c r="B244" s="196" t="s">
        <v>103</v>
      </c>
      <c r="C244" s="3" t="s">
        <v>104</v>
      </c>
      <c r="D244" s="40">
        <v>272</v>
      </c>
      <c r="E244" s="146">
        <v>998437</v>
      </c>
      <c r="F244" s="146">
        <v>714840</v>
      </c>
      <c r="G244" s="213" t="s">
        <v>500</v>
      </c>
      <c r="H244" s="146">
        <v>283597</v>
      </c>
      <c r="I244" s="215">
        <v>0</v>
      </c>
      <c r="J244" s="215">
        <v>0</v>
      </c>
      <c r="K244" s="215">
        <v>0</v>
      </c>
      <c r="L244" s="146">
        <v>283597</v>
      </c>
    </row>
    <row r="245" spans="1:12" ht="45.75" outlineLevel="2" x14ac:dyDescent="0.25">
      <c r="A245" s="40" t="s">
        <v>184</v>
      </c>
      <c r="B245" s="196" t="s">
        <v>139</v>
      </c>
      <c r="C245" s="3" t="s">
        <v>140</v>
      </c>
      <c r="D245" s="40">
        <v>276</v>
      </c>
      <c r="E245" s="146">
        <v>107115</v>
      </c>
      <c r="F245" s="146">
        <v>46927</v>
      </c>
      <c r="G245" s="213" t="s">
        <v>500</v>
      </c>
      <c r="H245" s="146">
        <v>60188</v>
      </c>
      <c r="I245" s="215">
        <v>0</v>
      </c>
      <c r="J245" s="215">
        <v>0</v>
      </c>
      <c r="K245" s="215">
        <v>0</v>
      </c>
      <c r="L245" s="146">
        <v>60188</v>
      </c>
    </row>
    <row r="246" spans="1:12" ht="78" customHeight="1" outlineLevel="2" x14ac:dyDescent="0.25">
      <c r="A246" s="40" t="s">
        <v>184</v>
      </c>
      <c r="B246" s="196" t="s">
        <v>142</v>
      </c>
      <c r="C246" s="3" t="s">
        <v>143</v>
      </c>
      <c r="D246" s="40">
        <v>292</v>
      </c>
      <c r="E246" s="146">
        <v>1238142</v>
      </c>
      <c r="F246" s="146">
        <v>557867</v>
      </c>
      <c r="G246" s="213" t="s">
        <v>500</v>
      </c>
      <c r="H246" s="146">
        <v>680275</v>
      </c>
      <c r="I246" s="215">
        <v>0</v>
      </c>
      <c r="J246" s="215">
        <v>0</v>
      </c>
      <c r="K246" s="215">
        <v>0</v>
      </c>
      <c r="L246" s="146">
        <v>680275</v>
      </c>
    </row>
    <row r="247" spans="1:12" ht="30.75" outlineLevel="2" x14ac:dyDescent="0.25">
      <c r="A247" s="40" t="s">
        <v>184</v>
      </c>
      <c r="B247" s="196" t="s">
        <v>113</v>
      </c>
      <c r="C247" s="3" t="s">
        <v>114</v>
      </c>
      <c r="D247" s="40">
        <v>209</v>
      </c>
      <c r="E247" s="146">
        <v>169611</v>
      </c>
      <c r="F247" s="146">
        <v>1000</v>
      </c>
      <c r="G247" s="213" t="s">
        <v>500</v>
      </c>
      <c r="H247" s="146">
        <v>168611</v>
      </c>
      <c r="I247" s="215">
        <v>0</v>
      </c>
      <c r="J247" s="215">
        <v>0</v>
      </c>
      <c r="K247" s="215">
        <v>0</v>
      </c>
      <c r="L247" s="146">
        <v>168611</v>
      </c>
    </row>
    <row r="248" spans="1:12" outlineLevel="2" x14ac:dyDescent="0.25">
      <c r="A248" s="40" t="s">
        <v>184</v>
      </c>
      <c r="B248" s="196" t="s">
        <v>119</v>
      </c>
      <c r="C248" s="3" t="s">
        <v>120</v>
      </c>
      <c r="D248" s="40">
        <v>183</v>
      </c>
      <c r="E248" s="146">
        <v>85755</v>
      </c>
      <c r="F248" s="146">
        <v>48045</v>
      </c>
      <c r="G248" s="213" t="s">
        <v>500</v>
      </c>
      <c r="H248" s="146">
        <v>37710</v>
      </c>
      <c r="I248" s="215">
        <v>0</v>
      </c>
      <c r="J248" s="215">
        <v>0</v>
      </c>
      <c r="K248" s="215">
        <v>0</v>
      </c>
      <c r="L248" s="146">
        <v>37710</v>
      </c>
    </row>
    <row r="249" spans="1:12" outlineLevel="2" x14ac:dyDescent="0.25">
      <c r="A249" s="40" t="s">
        <v>184</v>
      </c>
      <c r="B249" s="196" t="s">
        <v>121</v>
      </c>
      <c r="C249" s="3" t="s">
        <v>122</v>
      </c>
      <c r="D249" s="40">
        <v>251</v>
      </c>
      <c r="E249" s="146">
        <v>81057</v>
      </c>
      <c r="F249" s="146">
        <v>30477</v>
      </c>
      <c r="G249" s="213" t="s">
        <v>500</v>
      </c>
      <c r="H249" s="146">
        <v>50580</v>
      </c>
      <c r="I249" s="215">
        <v>0</v>
      </c>
      <c r="J249" s="215">
        <v>0</v>
      </c>
      <c r="K249" s="215">
        <v>0</v>
      </c>
      <c r="L249" s="146">
        <v>50580</v>
      </c>
    </row>
    <row r="250" spans="1:12" ht="30.75" outlineLevel="2" x14ac:dyDescent="0.25">
      <c r="A250" s="40" t="s">
        <v>184</v>
      </c>
      <c r="B250" s="196" t="s">
        <v>317</v>
      </c>
      <c r="C250" s="3" t="s">
        <v>112</v>
      </c>
      <c r="D250" s="40">
        <v>91</v>
      </c>
      <c r="E250" s="146">
        <v>2506</v>
      </c>
      <c r="F250" s="146">
        <v>2074</v>
      </c>
      <c r="G250" s="213" t="s">
        <v>500</v>
      </c>
      <c r="H250" s="146">
        <v>432</v>
      </c>
      <c r="I250" s="215">
        <v>0</v>
      </c>
      <c r="J250" s="215">
        <v>0</v>
      </c>
      <c r="K250" s="215">
        <v>0</v>
      </c>
      <c r="L250" s="146">
        <v>432</v>
      </c>
    </row>
    <row r="251" spans="1:12" outlineLevel="2" x14ac:dyDescent="0.25">
      <c r="A251" s="40" t="s">
        <v>184</v>
      </c>
      <c r="B251" s="196" t="s">
        <v>123</v>
      </c>
      <c r="C251" s="3" t="s">
        <v>124</v>
      </c>
      <c r="D251" s="40">
        <v>192</v>
      </c>
      <c r="E251" s="146">
        <v>81021</v>
      </c>
      <c r="F251" s="146">
        <v>44621</v>
      </c>
      <c r="G251" s="213" t="s">
        <v>500</v>
      </c>
      <c r="H251" s="146">
        <v>36400</v>
      </c>
      <c r="I251" s="215">
        <v>0</v>
      </c>
      <c r="J251" s="215">
        <v>0</v>
      </c>
      <c r="K251" s="215">
        <v>0</v>
      </c>
      <c r="L251" s="146">
        <v>36400</v>
      </c>
    </row>
    <row r="252" spans="1:12" ht="30.75" outlineLevel="2" x14ac:dyDescent="0.25">
      <c r="A252" s="40" t="s">
        <v>184</v>
      </c>
      <c r="B252" s="196" t="s">
        <v>125</v>
      </c>
      <c r="C252" s="3" t="s">
        <v>126</v>
      </c>
      <c r="D252" s="40">
        <v>297</v>
      </c>
      <c r="E252" s="146">
        <v>228196763</v>
      </c>
      <c r="F252" s="146">
        <v>126160381</v>
      </c>
      <c r="G252" s="213" t="s">
        <v>500</v>
      </c>
      <c r="H252" s="146">
        <v>102036382</v>
      </c>
      <c r="I252" s="215">
        <v>0</v>
      </c>
      <c r="J252" s="215">
        <v>0</v>
      </c>
      <c r="K252" s="215">
        <v>0</v>
      </c>
      <c r="L252" s="146">
        <v>102036382</v>
      </c>
    </row>
    <row r="253" spans="1:12" outlineLevel="2" x14ac:dyDescent="0.25">
      <c r="A253" s="40" t="s">
        <v>184</v>
      </c>
      <c r="B253" s="196" t="s">
        <v>127</v>
      </c>
      <c r="C253" s="3" t="s">
        <v>128</v>
      </c>
      <c r="D253" s="40">
        <v>166</v>
      </c>
      <c r="E253" s="146">
        <v>1479696</v>
      </c>
      <c r="F253" s="146">
        <v>867256</v>
      </c>
      <c r="G253" s="213" t="s">
        <v>500</v>
      </c>
      <c r="H253" s="146">
        <v>612440</v>
      </c>
      <c r="I253" s="215">
        <v>0</v>
      </c>
      <c r="J253" s="215">
        <v>0</v>
      </c>
      <c r="K253" s="215">
        <v>0</v>
      </c>
      <c r="L253" s="146">
        <v>612440</v>
      </c>
    </row>
    <row r="254" spans="1:12" outlineLevel="2" x14ac:dyDescent="0.25">
      <c r="A254" s="40" t="s">
        <v>184</v>
      </c>
      <c r="B254" s="196" t="s">
        <v>318</v>
      </c>
      <c r="C254" s="3" t="s">
        <v>319</v>
      </c>
      <c r="D254" s="40">
        <v>268</v>
      </c>
      <c r="E254" s="146">
        <v>1374928</v>
      </c>
      <c r="F254" s="146">
        <v>476655</v>
      </c>
      <c r="G254" s="213" t="s">
        <v>500</v>
      </c>
      <c r="H254" s="146">
        <v>898273</v>
      </c>
      <c r="I254" s="215">
        <v>0</v>
      </c>
      <c r="J254" s="215">
        <v>0</v>
      </c>
      <c r="K254" s="215">
        <v>0</v>
      </c>
      <c r="L254" s="146">
        <v>898273</v>
      </c>
    </row>
    <row r="255" spans="1:12" ht="15" customHeight="1" outlineLevel="2" x14ac:dyDescent="0.25">
      <c r="A255" s="40" t="s">
        <v>184</v>
      </c>
      <c r="B255" s="196" t="s">
        <v>133</v>
      </c>
      <c r="C255" s="3" t="s">
        <v>134</v>
      </c>
      <c r="D255" s="40">
        <v>32</v>
      </c>
      <c r="E255" s="146">
        <v>754201</v>
      </c>
      <c r="F255" s="146">
        <v>594151</v>
      </c>
      <c r="G255" s="213" t="s">
        <v>500</v>
      </c>
      <c r="H255" s="146">
        <v>160050</v>
      </c>
      <c r="I255" s="215">
        <v>0</v>
      </c>
      <c r="J255" s="215">
        <v>0</v>
      </c>
      <c r="K255" s="215">
        <v>0</v>
      </c>
      <c r="L255" s="146">
        <v>160050</v>
      </c>
    </row>
    <row r="256" spans="1:12" outlineLevel="2" x14ac:dyDescent="0.25">
      <c r="A256" s="40" t="s">
        <v>184</v>
      </c>
      <c r="B256" s="196" t="s">
        <v>336</v>
      </c>
      <c r="C256" s="3" t="s">
        <v>130</v>
      </c>
      <c r="D256" s="40">
        <v>230</v>
      </c>
      <c r="E256" s="146">
        <v>851669</v>
      </c>
      <c r="F256" s="146">
        <v>696961</v>
      </c>
      <c r="G256" s="213" t="s">
        <v>500</v>
      </c>
      <c r="H256" s="146">
        <v>154708</v>
      </c>
      <c r="I256" s="215">
        <v>0</v>
      </c>
      <c r="J256" s="215">
        <v>0</v>
      </c>
      <c r="K256" s="215">
        <v>0</v>
      </c>
      <c r="L256" s="146">
        <v>154708</v>
      </c>
    </row>
    <row r="257" spans="1:12" outlineLevel="2" x14ac:dyDescent="0.25">
      <c r="A257" s="40" t="s">
        <v>184</v>
      </c>
      <c r="B257" s="196" t="s">
        <v>131</v>
      </c>
      <c r="C257" s="3" t="s">
        <v>132</v>
      </c>
      <c r="D257" s="40">
        <v>357</v>
      </c>
      <c r="E257" s="146">
        <v>1834289</v>
      </c>
      <c r="F257" s="146">
        <v>1568232</v>
      </c>
      <c r="G257" s="213" t="s">
        <v>500</v>
      </c>
      <c r="H257" s="146">
        <v>266057</v>
      </c>
      <c r="I257" s="215">
        <v>0</v>
      </c>
      <c r="J257" s="215">
        <v>0</v>
      </c>
      <c r="K257" s="215">
        <v>0</v>
      </c>
      <c r="L257" s="146">
        <v>266057</v>
      </c>
    </row>
    <row r="258" spans="1:12" outlineLevel="2" x14ac:dyDescent="0.25">
      <c r="A258" s="40" t="s">
        <v>184</v>
      </c>
      <c r="B258" s="196" t="s">
        <v>320</v>
      </c>
      <c r="C258" s="3" t="s">
        <v>321</v>
      </c>
      <c r="D258" s="40">
        <v>148</v>
      </c>
      <c r="E258" s="146">
        <v>14148</v>
      </c>
      <c r="F258" s="146">
        <v>3224</v>
      </c>
      <c r="G258" s="213" t="s">
        <v>500</v>
      </c>
      <c r="H258" s="146">
        <v>10924</v>
      </c>
      <c r="I258" s="215">
        <v>0</v>
      </c>
      <c r="J258" s="215">
        <v>0</v>
      </c>
      <c r="K258" s="215">
        <v>0</v>
      </c>
      <c r="L258" s="146">
        <v>10924</v>
      </c>
    </row>
    <row r="259" spans="1:12" outlineLevel="2" x14ac:dyDescent="0.25">
      <c r="A259" s="40" t="s">
        <v>184</v>
      </c>
      <c r="B259" s="196" t="s">
        <v>135</v>
      </c>
      <c r="C259" s="3" t="s">
        <v>136</v>
      </c>
      <c r="D259" s="40">
        <v>153</v>
      </c>
      <c r="E259" s="146">
        <v>655319</v>
      </c>
      <c r="F259" s="146">
        <v>407291</v>
      </c>
      <c r="G259" s="213" t="s">
        <v>500</v>
      </c>
      <c r="H259" s="146">
        <v>248028</v>
      </c>
      <c r="I259" s="215">
        <v>0</v>
      </c>
      <c r="J259" s="215">
        <v>0</v>
      </c>
      <c r="K259" s="215">
        <v>0</v>
      </c>
      <c r="L259" s="146">
        <v>248028</v>
      </c>
    </row>
    <row r="260" spans="1:12" outlineLevel="2" x14ac:dyDescent="0.25">
      <c r="A260" s="40" t="s">
        <v>184</v>
      </c>
      <c r="B260" s="196" t="s">
        <v>137</v>
      </c>
      <c r="C260" s="3" t="s">
        <v>138</v>
      </c>
      <c r="D260" s="40">
        <v>155</v>
      </c>
      <c r="E260" s="146">
        <v>491903</v>
      </c>
      <c r="F260" s="146">
        <v>7255</v>
      </c>
      <c r="G260" s="213" t="s">
        <v>500</v>
      </c>
      <c r="H260" s="146">
        <v>484648</v>
      </c>
      <c r="I260" s="215">
        <v>0</v>
      </c>
      <c r="J260" s="215">
        <v>0</v>
      </c>
      <c r="K260" s="215">
        <v>0</v>
      </c>
      <c r="L260" s="146">
        <v>484648</v>
      </c>
    </row>
    <row r="261" spans="1:12" ht="15.6" customHeight="1" outlineLevel="2" x14ac:dyDescent="0.25">
      <c r="A261" s="40" t="s">
        <v>184</v>
      </c>
      <c r="B261" s="196" t="s">
        <v>337</v>
      </c>
      <c r="C261" s="3" t="s">
        <v>220</v>
      </c>
      <c r="D261" s="40">
        <v>319</v>
      </c>
      <c r="E261" s="146">
        <v>3798622</v>
      </c>
      <c r="F261" s="146">
        <v>1953055</v>
      </c>
      <c r="G261" s="213" t="s">
        <v>500</v>
      </c>
      <c r="H261" s="146">
        <v>1845567</v>
      </c>
      <c r="I261" s="215">
        <v>0</v>
      </c>
      <c r="J261" s="215">
        <v>0</v>
      </c>
      <c r="K261" s="215">
        <v>0</v>
      </c>
      <c r="L261" s="146">
        <v>1845567</v>
      </c>
    </row>
    <row r="262" spans="1:12" outlineLevel="2" x14ac:dyDescent="0.25">
      <c r="A262" s="40" t="s">
        <v>184</v>
      </c>
      <c r="B262" s="196" t="s">
        <v>141</v>
      </c>
      <c r="C262" s="3" t="s">
        <v>126</v>
      </c>
      <c r="D262" s="40">
        <v>48</v>
      </c>
      <c r="E262" s="146">
        <v>2738890</v>
      </c>
      <c r="F262" s="146">
        <v>1912990</v>
      </c>
      <c r="G262" s="213" t="s">
        <v>500</v>
      </c>
      <c r="H262" s="146">
        <v>825900</v>
      </c>
      <c r="I262" s="215">
        <v>0</v>
      </c>
      <c r="J262" s="215">
        <v>0</v>
      </c>
      <c r="K262" s="215">
        <v>0</v>
      </c>
      <c r="L262" s="146">
        <v>825900</v>
      </c>
    </row>
    <row r="263" spans="1:12" outlineLevel="2" x14ac:dyDescent="0.25">
      <c r="A263" s="40" t="s">
        <v>184</v>
      </c>
      <c r="B263" s="196" t="s">
        <v>210</v>
      </c>
      <c r="C263" s="3" t="s">
        <v>211</v>
      </c>
      <c r="D263" s="40">
        <v>218</v>
      </c>
      <c r="E263" s="146">
        <v>212932</v>
      </c>
      <c r="F263" s="146">
        <v>98885</v>
      </c>
      <c r="G263" s="213" t="s">
        <v>500</v>
      </c>
      <c r="H263" s="146">
        <v>114047</v>
      </c>
      <c r="I263" s="215">
        <v>0</v>
      </c>
      <c r="J263" s="215">
        <v>0</v>
      </c>
      <c r="K263" s="215">
        <v>0</v>
      </c>
      <c r="L263" s="146">
        <v>114047</v>
      </c>
    </row>
    <row r="264" spans="1:12" outlineLevel="2" x14ac:dyDescent="0.25">
      <c r="A264" s="40" t="s">
        <v>184</v>
      </c>
      <c r="B264" s="196" t="s">
        <v>144</v>
      </c>
      <c r="C264" s="3" t="s">
        <v>145</v>
      </c>
      <c r="D264" s="40">
        <v>350</v>
      </c>
      <c r="E264" s="146">
        <v>204331</v>
      </c>
      <c r="F264" s="146">
        <v>92283</v>
      </c>
      <c r="G264" s="213" t="s">
        <v>500</v>
      </c>
      <c r="H264" s="146">
        <v>112048</v>
      </c>
      <c r="I264" s="146">
        <v>1000</v>
      </c>
      <c r="J264" s="146">
        <v>1000</v>
      </c>
      <c r="K264" s="215">
        <v>0</v>
      </c>
      <c r="L264" s="146">
        <v>112048</v>
      </c>
    </row>
    <row r="265" spans="1:12" ht="15.6" customHeight="1" outlineLevel="2" x14ac:dyDescent="0.25">
      <c r="A265" s="40" t="s">
        <v>184</v>
      </c>
      <c r="B265" s="196" t="s">
        <v>146</v>
      </c>
      <c r="C265" s="3" t="s">
        <v>147</v>
      </c>
      <c r="D265" s="40">
        <v>173</v>
      </c>
      <c r="E265" s="146">
        <v>269560</v>
      </c>
      <c r="F265" s="146">
        <v>180691</v>
      </c>
      <c r="G265" s="213" t="s">
        <v>500</v>
      </c>
      <c r="H265" s="146">
        <v>88869</v>
      </c>
      <c r="I265" s="215">
        <v>0</v>
      </c>
      <c r="J265" s="215">
        <v>0</v>
      </c>
      <c r="K265" s="215">
        <v>0</v>
      </c>
      <c r="L265" s="146">
        <v>88869</v>
      </c>
    </row>
    <row r="266" spans="1:12" outlineLevel="2" x14ac:dyDescent="0.25">
      <c r="A266" s="40" t="s">
        <v>184</v>
      </c>
      <c r="B266" s="196" t="s">
        <v>338</v>
      </c>
      <c r="C266" s="3" t="s">
        <v>339</v>
      </c>
      <c r="D266" s="40">
        <v>335</v>
      </c>
      <c r="E266" s="146">
        <v>3331</v>
      </c>
      <c r="F266" s="146">
        <v>1000</v>
      </c>
      <c r="G266" s="213" t="s">
        <v>500</v>
      </c>
      <c r="H266" s="146">
        <v>2331</v>
      </c>
      <c r="I266" s="215">
        <v>0</v>
      </c>
      <c r="J266" s="215">
        <v>0</v>
      </c>
      <c r="K266" s="215">
        <v>0</v>
      </c>
      <c r="L266" s="146">
        <v>2331</v>
      </c>
    </row>
    <row r="267" spans="1:12" ht="30.95" customHeight="1" outlineLevel="2" x14ac:dyDescent="0.25">
      <c r="A267" s="40" t="s">
        <v>184</v>
      </c>
      <c r="B267" s="196" t="s">
        <v>311</v>
      </c>
      <c r="C267" s="3" t="s">
        <v>312</v>
      </c>
      <c r="D267" s="40">
        <v>261</v>
      </c>
      <c r="E267" s="146">
        <v>120472</v>
      </c>
      <c r="F267" s="146">
        <v>88845</v>
      </c>
      <c r="G267" s="213" t="s">
        <v>500</v>
      </c>
      <c r="H267" s="146">
        <v>31627</v>
      </c>
      <c r="I267" s="215">
        <v>0</v>
      </c>
      <c r="J267" s="215">
        <v>0</v>
      </c>
      <c r="K267" s="215">
        <v>0</v>
      </c>
      <c r="L267" s="146">
        <v>31627</v>
      </c>
    </row>
    <row r="268" spans="1:12" outlineLevel="2" x14ac:dyDescent="0.25">
      <c r="A268" s="40" t="s">
        <v>184</v>
      </c>
      <c r="B268" s="196" t="s">
        <v>148</v>
      </c>
      <c r="C268" s="3" t="s">
        <v>149</v>
      </c>
      <c r="D268" s="40">
        <v>244</v>
      </c>
      <c r="E268" s="146">
        <v>302754</v>
      </c>
      <c r="F268" s="146">
        <v>210002</v>
      </c>
      <c r="G268" s="213" t="s">
        <v>500</v>
      </c>
      <c r="H268" s="146">
        <v>92752</v>
      </c>
      <c r="I268" s="215">
        <v>0</v>
      </c>
      <c r="J268" s="215">
        <v>0</v>
      </c>
      <c r="K268" s="215">
        <v>0</v>
      </c>
      <c r="L268" s="146">
        <v>92752</v>
      </c>
    </row>
    <row r="269" spans="1:12" ht="14.45" customHeight="1" outlineLevel="2" x14ac:dyDescent="0.25">
      <c r="A269" s="40" t="s">
        <v>184</v>
      </c>
      <c r="B269" s="196" t="s">
        <v>322</v>
      </c>
      <c r="C269" s="3" t="s">
        <v>126</v>
      </c>
      <c r="D269" s="40">
        <v>280</v>
      </c>
      <c r="E269" s="146">
        <v>11550</v>
      </c>
      <c r="F269" s="146">
        <v>1000</v>
      </c>
      <c r="G269" s="213" t="s">
        <v>500</v>
      </c>
      <c r="H269" s="146">
        <v>10550</v>
      </c>
      <c r="I269" s="215">
        <v>0</v>
      </c>
      <c r="J269" s="215">
        <v>0</v>
      </c>
      <c r="K269" s="215">
        <v>0</v>
      </c>
      <c r="L269" s="146">
        <v>10550</v>
      </c>
    </row>
    <row r="270" spans="1:12" outlineLevel="1" x14ac:dyDescent="0.25">
      <c r="A270" s="40" t="s">
        <v>184</v>
      </c>
      <c r="B270" s="196" t="s">
        <v>150</v>
      </c>
      <c r="C270" s="3" t="s">
        <v>151</v>
      </c>
      <c r="D270" s="40">
        <v>171</v>
      </c>
      <c r="E270" s="146">
        <v>484225</v>
      </c>
      <c r="F270" s="146">
        <v>297786</v>
      </c>
      <c r="G270" s="213" t="s">
        <v>500</v>
      </c>
      <c r="H270" s="146">
        <v>186439</v>
      </c>
      <c r="I270" s="215">
        <v>0</v>
      </c>
      <c r="J270" s="215">
        <v>0</v>
      </c>
      <c r="K270" s="215">
        <v>0</v>
      </c>
      <c r="L270" s="146">
        <v>186439</v>
      </c>
    </row>
    <row r="271" spans="1:12" ht="45.75" outlineLevel="2" x14ac:dyDescent="0.25">
      <c r="A271" s="40" t="s">
        <v>184</v>
      </c>
      <c r="B271" s="196" t="s">
        <v>152</v>
      </c>
      <c r="C271" s="3" t="s">
        <v>149</v>
      </c>
      <c r="D271" s="40">
        <v>258</v>
      </c>
      <c r="E271" s="146">
        <v>901863</v>
      </c>
      <c r="F271" s="146">
        <v>389941</v>
      </c>
      <c r="G271" s="213" t="s">
        <v>500</v>
      </c>
      <c r="H271" s="146">
        <v>511922</v>
      </c>
      <c r="I271" s="215">
        <v>0</v>
      </c>
      <c r="J271" s="215">
        <v>0</v>
      </c>
      <c r="K271" s="215">
        <v>0</v>
      </c>
      <c r="L271" s="146">
        <v>511922</v>
      </c>
    </row>
    <row r="272" spans="1:12" outlineLevel="2" x14ac:dyDescent="0.25">
      <c r="A272" s="40" t="s">
        <v>184</v>
      </c>
      <c r="B272" s="196" t="s">
        <v>325</v>
      </c>
      <c r="C272" s="3" t="s">
        <v>326</v>
      </c>
      <c r="D272" s="40">
        <v>308</v>
      </c>
      <c r="E272" s="146">
        <v>2483</v>
      </c>
      <c r="F272" s="146">
        <v>1000</v>
      </c>
      <c r="G272" s="213" t="s">
        <v>500</v>
      </c>
      <c r="H272" s="146">
        <v>1483</v>
      </c>
      <c r="I272" s="215">
        <v>0</v>
      </c>
      <c r="J272" s="215">
        <v>0</v>
      </c>
      <c r="K272" s="215">
        <v>0</v>
      </c>
      <c r="L272" s="146">
        <v>1483</v>
      </c>
    </row>
    <row r="273" spans="1:12" outlineLevel="2" x14ac:dyDescent="0.25">
      <c r="A273" s="40" t="s">
        <v>184</v>
      </c>
      <c r="B273" s="196" t="s">
        <v>153</v>
      </c>
      <c r="C273" s="3" t="s">
        <v>126</v>
      </c>
      <c r="D273" s="40">
        <v>260</v>
      </c>
      <c r="E273" s="146">
        <v>3340272</v>
      </c>
      <c r="F273" s="146">
        <v>2110826</v>
      </c>
      <c r="G273" s="213" t="s">
        <v>500</v>
      </c>
      <c r="H273" s="146">
        <v>1229446</v>
      </c>
      <c r="I273" s="215">
        <v>0</v>
      </c>
      <c r="J273" s="215">
        <v>0</v>
      </c>
      <c r="K273" s="215">
        <v>0</v>
      </c>
      <c r="L273" s="146">
        <v>1229446</v>
      </c>
    </row>
    <row r="274" spans="1:12" outlineLevel="2" x14ac:dyDescent="0.25">
      <c r="A274" s="40" t="s">
        <v>184</v>
      </c>
      <c r="B274" s="196" t="s">
        <v>180</v>
      </c>
      <c r="C274" s="3" t="s">
        <v>181</v>
      </c>
      <c r="D274" s="40">
        <v>346</v>
      </c>
      <c r="E274" s="146">
        <v>80974</v>
      </c>
      <c r="F274" s="146">
        <v>41603</v>
      </c>
      <c r="G274" s="213" t="s">
        <v>500</v>
      </c>
      <c r="H274" s="146">
        <v>39371</v>
      </c>
      <c r="I274" s="215">
        <v>0</v>
      </c>
      <c r="J274" s="215">
        <v>0</v>
      </c>
      <c r="K274" s="215">
        <v>0</v>
      </c>
      <c r="L274" s="146">
        <v>39371</v>
      </c>
    </row>
    <row r="275" spans="1:12" ht="15.6" customHeight="1" outlineLevel="2" x14ac:dyDescent="0.25">
      <c r="A275" s="40" t="s">
        <v>184</v>
      </c>
      <c r="B275" s="196" t="s">
        <v>156</v>
      </c>
      <c r="C275" s="3" t="s">
        <v>157</v>
      </c>
      <c r="D275" s="40">
        <v>351</v>
      </c>
      <c r="E275" s="146">
        <v>169594</v>
      </c>
      <c r="F275" s="146">
        <v>126335</v>
      </c>
      <c r="G275" s="213" t="s">
        <v>500</v>
      </c>
      <c r="H275" s="146">
        <v>43259</v>
      </c>
      <c r="I275" s="215">
        <v>0</v>
      </c>
      <c r="J275" s="215">
        <v>0</v>
      </c>
      <c r="K275" s="215">
        <v>0</v>
      </c>
      <c r="L275" s="146">
        <v>43259</v>
      </c>
    </row>
    <row r="276" spans="1:12" outlineLevel="2" x14ac:dyDescent="0.25">
      <c r="A276" s="216" t="s">
        <v>209</v>
      </c>
      <c r="B276" s="184" t="s">
        <v>500</v>
      </c>
      <c r="C276" s="74" t="s">
        <v>500</v>
      </c>
      <c r="D276" s="180" t="s">
        <v>500</v>
      </c>
      <c r="E276" s="78">
        <f>SUBTOTAL(109,school201213[Program
Costs])</f>
        <v>257181148</v>
      </c>
      <c r="F276" s="78">
        <f>SUBTOTAL(109,school201213[Less: Net Payments and Offsets 10])</f>
        <v>143344942</v>
      </c>
      <c r="G276" s="74" t="s">
        <v>500</v>
      </c>
      <c r="H276" s="78">
        <f>SUBTOTAL(109,school201213[Accounts Payable
Balance])</f>
        <v>113836206</v>
      </c>
      <c r="I276" s="78">
        <f>SUBTOTAL(109,school201213[Established
Accounts Receivable])</f>
        <v>1000</v>
      </c>
      <c r="J276" s="78">
        <f>SUBTOTAL(109,school201213[Less: Recovered Amount])</f>
        <v>1000</v>
      </c>
      <c r="K276" s="179">
        <f>SUBTOTAL(109,school201213[Accounts Receivable
Balance])</f>
        <v>0</v>
      </c>
      <c r="L276" s="78">
        <f>SUBTOTAL(109,school201213[Net
Balance])</f>
        <v>113836206</v>
      </c>
    </row>
    <row r="277" spans="1:12" s="3" customFormat="1" ht="15" outlineLevel="2" x14ac:dyDescent="0.2">
      <c r="A277" s="214" t="s">
        <v>508</v>
      </c>
      <c r="B277" s="196"/>
      <c r="D277" s="40"/>
      <c r="E277" s="146"/>
      <c r="F277" s="146"/>
      <c r="G277" s="146"/>
      <c r="H277" s="146"/>
      <c r="I277" s="146"/>
      <c r="J277" s="146"/>
      <c r="K277" s="146"/>
      <c r="L277" s="146"/>
    </row>
    <row r="278" spans="1:12" ht="50.1" customHeight="1" outlineLevel="2" x14ac:dyDescent="0.25">
      <c r="A278" s="204" t="s">
        <v>98</v>
      </c>
      <c r="B278" s="204" t="s">
        <v>99</v>
      </c>
      <c r="C278" s="176" t="s">
        <v>1</v>
      </c>
      <c r="D278" s="204" t="s">
        <v>195</v>
      </c>
      <c r="E278" s="238" t="s">
        <v>188</v>
      </c>
      <c r="F278" s="239" t="s">
        <v>533</v>
      </c>
      <c r="G278" s="212" t="s">
        <v>532</v>
      </c>
      <c r="H278" s="210" t="s">
        <v>528</v>
      </c>
      <c r="I278" s="210" t="s">
        <v>529</v>
      </c>
      <c r="J278" s="238" t="s">
        <v>197</v>
      </c>
      <c r="K278" s="210" t="s">
        <v>530</v>
      </c>
      <c r="L278" s="238" t="s">
        <v>196</v>
      </c>
    </row>
    <row r="279" spans="1:12" outlineLevel="2" x14ac:dyDescent="0.25">
      <c r="A279" s="40" t="s">
        <v>185</v>
      </c>
      <c r="B279" s="196" t="s">
        <v>313</v>
      </c>
      <c r="C279" s="3" t="s">
        <v>314</v>
      </c>
      <c r="D279" s="40">
        <v>305</v>
      </c>
      <c r="E279" s="146">
        <v>506059</v>
      </c>
      <c r="F279" s="146">
        <v>343920</v>
      </c>
      <c r="G279" s="213" t="s">
        <v>500</v>
      </c>
      <c r="H279" s="146">
        <v>162139</v>
      </c>
      <c r="I279" s="215">
        <v>0</v>
      </c>
      <c r="J279" s="215">
        <v>0</v>
      </c>
      <c r="K279" s="215">
        <v>0</v>
      </c>
      <c r="L279" s="146">
        <v>162139</v>
      </c>
    </row>
    <row r="280" spans="1:12" ht="30.75" outlineLevel="2" x14ac:dyDescent="0.25">
      <c r="A280" s="40" t="s">
        <v>185</v>
      </c>
      <c r="B280" s="196" t="s">
        <v>101</v>
      </c>
      <c r="C280" s="3" t="s">
        <v>102</v>
      </c>
      <c r="D280" s="40">
        <v>250</v>
      </c>
      <c r="E280" s="146">
        <v>1366092</v>
      </c>
      <c r="F280" s="146">
        <v>680526</v>
      </c>
      <c r="G280" s="213" t="s">
        <v>500</v>
      </c>
      <c r="H280" s="146">
        <v>685566</v>
      </c>
      <c r="I280" s="215">
        <v>0</v>
      </c>
      <c r="J280" s="215">
        <v>0</v>
      </c>
      <c r="K280" s="215">
        <v>0</v>
      </c>
      <c r="L280" s="146">
        <v>685566</v>
      </c>
    </row>
    <row r="281" spans="1:12" ht="14.45" customHeight="1" outlineLevel="2" x14ac:dyDescent="0.25">
      <c r="A281" s="40" t="s">
        <v>185</v>
      </c>
      <c r="B281" s="196" t="s">
        <v>340</v>
      </c>
      <c r="C281" s="3" t="s">
        <v>335</v>
      </c>
      <c r="D281" s="40">
        <v>348</v>
      </c>
      <c r="E281" s="146">
        <v>1482185</v>
      </c>
      <c r="F281" s="146">
        <v>1046875</v>
      </c>
      <c r="G281" s="213" t="s">
        <v>500</v>
      </c>
      <c r="H281" s="146">
        <v>435310</v>
      </c>
      <c r="I281" s="215">
        <v>0</v>
      </c>
      <c r="J281" s="215">
        <v>0</v>
      </c>
      <c r="K281" s="215">
        <v>0</v>
      </c>
      <c r="L281" s="146">
        <v>435310</v>
      </c>
    </row>
    <row r="282" spans="1:12" outlineLevel="2" x14ac:dyDescent="0.25">
      <c r="A282" s="40" t="s">
        <v>185</v>
      </c>
      <c r="B282" s="196" t="s">
        <v>327</v>
      </c>
      <c r="C282" s="3" t="s">
        <v>174</v>
      </c>
      <c r="D282" s="40">
        <v>354</v>
      </c>
      <c r="E282" s="146">
        <v>119930</v>
      </c>
      <c r="F282" s="146">
        <v>91042</v>
      </c>
      <c r="G282" s="213" t="s">
        <v>500</v>
      </c>
      <c r="H282" s="146">
        <v>28888</v>
      </c>
      <c r="I282" s="215">
        <v>0</v>
      </c>
      <c r="J282" s="215">
        <v>0</v>
      </c>
      <c r="K282" s="215">
        <v>0</v>
      </c>
      <c r="L282" s="146">
        <v>28888</v>
      </c>
    </row>
    <row r="283" spans="1:12" ht="30.75" outlineLevel="2" x14ac:dyDescent="0.25">
      <c r="A283" s="40" t="s">
        <v>185</v>
      </c>
      <c r="B283" s="196" t="s">
        <v>328</v>
      </c>
      <c r="C283" s="3" t="s">
        <v>329</v>
      </c>
      <c r="D283" s="40">
        <v>286</v>
      </c>
      <c r="E283" s="146">
        <v>45817</v>
      </c>
      <c r="F283" s="146">
        <v>39849</v>
      </c>
      <c r="G283" s="213" t="s">
        <v>500</v>
      </c>
      <c r="H283" s="146">
        <v>5968</v>
      </c>
      <c r="I283" s="215">
        <v>0</v>
      </c>
      <c r="J283" s="215">
        <v>0</v>
      </c>
      <c r="K283" s="215">
        <v>0</v>
      </c>
      <c r="L283" s="146">
        <v>5968</v>
      </c>
    </row>
    <row r="284" spans="1:12" ht="30.95" customHeight="1" outlineLevel="2" x14ac:dyDescent="0.25">
      <c r="A284" s="40" t="s">
        <v>185</v>
      </c>
      <c r="B284" s="196" t="s">
        <v>109</v>
      </c>
      <c r="C284" s="3" t="s">
        <v>110</v>
      </c>
      <c r="D284" s="40">
        <v>172</v>
      </c>
      <c r="E284" s="146">
        <v>434043</v>
      </c>
      <c r="F284" s="146">
        <v>297644</v>
      </c>
      <c r="G284" s="213" t="s">
        <v>500</v>
      </c>
      <c r="H284" s="146">
        <v>136399</v>
      </c>
      <c r="I284" s="215">
        <v>0</v>
      </c>
      <c r="J284" s="215">
        <v>0</v>
      </c>
      <c r="K284" s="215">
        <v>0</v>
      </c>
      <c r="L284" s="146">
        <v>136399</v>
      </c>
    </row>
    <row r="285" spans="1:12" outlineLevel="2" x14ac:dyDescent="0.25">
      <c r="A285" s="40" t="s">
        <v>185</v>
      </c>
      <c r="B285" s="196" t="s">
        <v>309</v>
      </c>
      <c r="C285" s="3" t="s">
        <v>310</v>
      </c>
      <c r="D285" s="40">
        <v>278</v>
      </c>
      <c r="E285" s="146">
        <v>1612674</v>
      </c>
      <c r="F285" s="146">
        <v>1156102</v>
      </c>
      <c r="G285" s="213" t="s">
        <v>500</v>
      </c>
      <c r="H285" s="146">
        <v>456572</v>
      </c>
      <c r="I285" s="215">
        <v>0</v>
      </c>
      <c r="J285" s="215">
        <v>0</v>
      </c>
      <c r="K285" s="215">
        <v>0</v>
      </c>
      <c r="L285" s="146">
        <v>456572</v>
      </c>
    </row>
    <row r="286" spans="1:12" outlineLevel="2" x14ac:dyDescent="0.25">
      <c r="A286" s="40" t="s">
        <v>185</v>
      </c>
      <c r="B286" s="196" t="s">
        <v>315</v>
      </c>
      <c r="C286" s="3" t="s">
        <v>316</v>
      </c>
      <c r="D286" s="40">
        <v>309</v>
      </c>
      <c r="E286" s="146">
        <v>19576</v>
      </c>
      <c r="F286" s="146">
        <v>13333</v>
      </c>
      <c r="G286" s="213" t="s">
        <v>500</v>
      </c>
      <c r="H286" s="146">
        <v>6243</v>
      </c>
      <c r="I286" s="215">
        <v>0</v>
      </c>
      <c r="J286" s="215">
        <v>0</v>
      </c>
      <c r="K286" s="215">
        <v>0</v>
      </c>
      <c r="L286" s="146">
        <v>6243</v>
      </c>
    </row>
    <row r="287" spans="1:12" ht="30.75" outlineLevel="2" x14ac:dyDescent="0.25">
      <c r="A287" s="40" t="s">
        <v>185</v>
      </c>
      <c r="B287" s="196" t="s">
        <v>115</v>
      </c>
      <c r="C287" s="3" t="s">
        <v>116</v>
      </c>
      <c r="D287" s="40">
        <v>11</v>
      </c>
      <c r="E287" s="146">
        <v>16883834</v>
      </c>
      <c r="F287" s="146">
        <v>12873998</v>
      </c>
      <c r="G287" s="213" t="s">
        <v>500</v>
      </c>
      <c r="H287" s="146">
        <v>4009836</v>
      </c>
      <c r="I287" s="215">
        <v>0</v>
      </c>
      <c r="J287" s="215">
        <v>0</v>
      </c>
      <c r="K287" s="215">
        <v>0</v>
      </c>
      <c r="L287" s="146">
        <v>4009836</v>
      </c>
    </row>
    <row r="288" spans="1:12" ht="15.6" customHeight="1" outlineLevel="2" x14ac:dyDescent="0.25">
      <c r="A288" s="40" t="s">
        <v>185</v>
      </c>
      <c r="B288" s="196" t="s">
        <v>117</v>
      </c>
      <c r="C288" s="3" t="s">
        <v>118</v>
      </c>
      <c r="D288" s="40">
        <v>313</v>
      </c>
      <c r="E288" s="146">
        <v>3380219</v>
      </c>
      <c r="F288" s="146">
        <v>2665902</v>
      </c>
      <c r="G288" s="213" t="s">
        <v>500</v>
      </c>
      <c r="H288" s="146">
        <v>714317</v>
      </c>
      <c r="I288" s="215">
        <v>0</v>
      </c>
      <c r="J288" s="215">
        <v>0</v>
      </c>
      <c r="K288" s="215">
        <v>0</v>
      </c>
      <c r="L288" s="146">
        <v>714317</v>
      </c>
    </row>
    <row r="289" spans="1:12" ht="45.75" outlineLevel="2" x14ac:dyDescent="0.25">
      <c r="A289" s="40" t="s">
        <v>185</v>
      </c>
      <c r="B289" s="196" t="s">
        <v>103</v>
      </c>
      <c r="C289" s="3" t="s">
        <v>104</v>
      </c>
      <c r="D289" s="40">
        <v>272</v>
      </c>
      <c r="E289" s="146">
        <v>5752397</v>
      </c>
      <c r="F289" s="146">
        <v>4834791</v>
      </c>
      <c r="G289" s="213" t="s">
        <v>500</v>
      </c>
      <c r="H289" s="146">
        <v>917606</v>
      </c>
      <c r="I289" s="215">
        <v>0</v>
      </c>
      <c r="J289" s="215">
        <v>0</v>
      </c>
      <c r="K289" s="215">
        <v>0</v>
      </c>
      <c r="L289" s="146">
        <v>917606</v>
      </c>
    </row>
    <row r="290" spans="1:12" ht="45.75" outlineLevel="2" x14ac:dyDescent="0.25">
      <c r="A290" s="40" t="s">
        <v>185</v>
      </c>
      <c r="B290" s="196" t="s">
        <v>139</v>
      </c>
      <c r="C290" s="3" t="s">
        <v>140</v>
      </c>
      <c r="D290" s="40">
        <v>276</v>
      </c>
      <c r="E290" s="146">
        <v>730369</v>
      </c>
      <c r="F290" s="146">
        <v>500095</v>
      </c>
      <c r="G290" s="213" t="s">
        <v>500</v>
      </c>
      <c r="H290" s="146">
        <v>230274</v>
      </c>
      <c r="I290" s="215">
        <v>0</v>
      </c>
      <c r="J290" s="215">
        <v>0</v>
      </c>
      <c r="K290" s="215">
        <v>0</v>
      </c>
      <c r="L290" s="146">
        <v>230274</v>
      </c>
    </row>
    <row r="291" spans="1:12" ht="78" customHeight="1" outlineLevel="2" x14ac:dyDescent="0.25">
      <c r="A291" s="40" t="s">
        <v>185</v>
      </c>
      <c r="B291" s="196" t="s">
        <v>142</v>
      </c>
      <c r="C291" s="3" t="s">
        <v>143</v>
      </c>
      <c r="D291" s="40">
        <v>292</v>
      </c>
      <c r="E291" s="146">
        <v>6498748</v>
      </c>
      <c r="F291" s="146">
        <v>4834944</v>
      </c>
      <c r="G291" s="213" t="s">
        <v>500</v>
      </c>
      <c r="H291" s="146">
        <v>1663804</v>
      </c>
      <c r="I291" s="215">
        <v>0</v>
      </c>
      <c r="J291" s="215">
        <v>0</v>
      </c>
      <c r="K291" s="215">
        <v>0</v>
      </c>
      <c r="L291" s="146">
        <v>1663804</v>
      </c>
    </row>
    <row r="292" spans="1:12" ht="30.75" outlineLevel="2" x14ac:dyDescent="0.25">
      <c r="A292" s="40" t="s">
        <v>185</v>
      </c>
      <c r="B292" s="196" t="s">
        <v>113</v>
      </c>
      <c r="C292" s="3" t="s">
        <v>114</v>
      </c>
      <c r="D292" s="40">
        <v>209</v>
      </c>
      <c r="E292" s="146">
        <v>268885</v>
      </c>
      <c r="F292" s="146">
        <v>31975</v>
      </c>
      <c r="G292" s="213" t="s">
        <v>500</v>
      </c>
      <c r="H292" s="146">
        <v>236910</v>
      </c>
      <c r="I292" s="215">
        <v>0</v>
      </c>
      <c r="J292" s="215">
        <v>0</v>
      </c>
      <c r="K292" s="215">
        <v>0</v>
      </c>
      <c r="L292" s="146">
        <v>236910</v>
      </c>
    </row>
    <row r="293" spans="1:12" outlineLevel="2" x14ac:dyDescent="0.25">
      <c r="A293" s="40" t="s">
        <v>185</v>
      </c>
      <c r="B293" s="196" t="s">
        <v>119</v>
      </c>
      <c r="C293" s="3" t="s">
        <v>120</v>
      </c>
      <c r="D293" s="40">
        <v>183</v>
      </c>
      <c r="E293" s="146">
        <v>402570</v>
      </c>
      <c r="F293" s="146">
        <v>289308</v>
      </c>
      <c r="G293" s="213" t="s">
        <v>500</v>
      </c>
      <c r="H293" s="146">
        <v>113262</v>
      </c>
      <c r="I293" s="215">
        <v>0</v>
      </c>
      <c r="J293" s="215">
        <v>0</v>
      </c>
      <c r="K293" s="215">
        <v>0</v>
      </c>
      <c r="L293" s="146">
        <v>113262</v>
      </c>
    </row>
    <row r="294" spans="1:12" outlineLevel="2" x14ac:dyDescent="0.25">
      <c r="A294" s="40" t="s">
        <v>185</v>
      </c>
      <c r="B294" s="196" t="s">
        <v>121</v>
      </c>
      <c r="C294" s="3" t="s">
        <v>122</v>
      </c>
      <c r="D294" s="40">
        <v>251</v>
      </c>
      <c r="E294" s="146">
        <v>499410</v>
      </c>
      <c r="F294" s="146">
        <v>262998</v>
      </c>
      <c r="G294" s="213" t="s">
        <v>500</v>
      </c>
      <c r="H294" s="146">
        <v>236412</v>
      </c>
      <c r="I294" s="215">
        <v>0</v>
      </c>
      <c r="J294" s="215">
        <v>0</v>
      </c>
      <c r="K294" s="215">
        <v>0</v>
      </c>
      <c r="L294" s="146">
        <v>236412</v>
      </c>
    </row>
    <row r="295" spans="1:12" ht="30.75" outlineLevel="2" x14ac:dyDescent="0.25">
      <c r="A295" s="40" t="s">
        <v>185</v>
      </c>
      <c r="B295" s="196" t="s">
        <v>317</v>
      </c>
      <c r="C295" s="3" t="s">
        <v>112</v>
      </c>
      <c r="D295" s="40">
        <v>91</v>
      </c>
      <c r="E295" s="146">
        <v>14415</v>
      </c>
      <c r="F295" s="146">
        <v>12228</v>
      </c>
      <c r="G295" s="213" t="s">
        <v>500</v>
      </c>
      <c r="H295" s="146">
        <v>2187</v>
      </c>
      <c r="I295" s="215">
        <v>0</v>
      </c>
      <c r="J295" s="215">
        <v>0</v>
      </c>
      <c r="K295" s="215">
        <v>0</v>
      </c>
      <c r="L295" s="146">
        <v>2187</v>
      </c>
    </row>
    <row r="296" spans="1:12" outlineLevel="2" x14ac:dyDescent="0.25">
      <c r="A296" s="40" t="s">
        <v>185</v>
      </c>
      <c r="B296" s="196" t="s">
        <v>123</v>
      </c>
      <c r="C296" s="3" t="s">
        <v>124</v>
      </c>
      <c r="D296" s="40">
        <v>192</v>
      </c>
      <c r="E296" s="146">
        <v>253379</v>
      </c>
      <c r="F296" s="146">
        <v>167612</v>
      </c>
      <c r="G296" s="213" t="s">
        <v>500</v>
      </c>
      <c r="H296" s="146">
        <v>85767</v>
      </c>
      <c r="I296" s="215">
        <v>0</v>
      </c>
      <c r="J296" s="215">
        <v>0</v>
      </c>
      <c r="K296" s="215">
        <v>0</v>
      </c>
      <c r="L296" s="146">
        <v>85767</v>
      </c>
    </row>
    <row r="297" spans="1:12" ht="30.75" outlineLevel="2" x14ac:dyDescent="0.25">
      <c r="A297" s="40" t="s">
        <v>185</v>
      </c>
      <c r="B297" s="196" t="s">
        <v>125</v>
      </c>
      <c r="C297" s="3" t="s">
        <v>126</v>
      </c>
      <c r="D297" s="40">
        <v>297</v>
      </c>
      <c r="E297" s="146">
        <v>265688269</v>
      </c>
      <c r="F297" s="146">
        <v>162398696</v>
      </c>
      <c r="G297" s="213" t="s">
        <v>500</v>
      </c>
      <c r="H297" s="146">
        <v>103289573</v>
      </c>
      <c r="I297" s="215">
        <v>0</v>
      </c>
      <c r="J297" s="215">
        <v>0</v>
      </c>
      <c r="K297" s="215">
        <v>0</v>
      </c>
      <c r="L297" s="146">
        <v>103289573</v>
      </c>
    </row>
    <row r="298" spans="1:12" outlineLevel="2" x14ac:dyDescent="0.25">
      <c r="A298" s="40" t="s">
        <v>185</v>
      </c>
      <c r="B298" s="196" t="s">
        <v>127</v>
      </c>
      <c r="C298" s="3" t="s">
        <v>128</v>
      </c>
      <c r="D298" s="40">
        <v>166</v>
      </c>
      <c r="E298" s="146">
        <v>6625087</v>
      </c>
      <c r="F298" s="146">
        <v>4973496</v>
      </c>
      <c r="G298" s="213" t="s">
        <v>500</v>
      </c>
      <c r="H298" s="146">
        <v>1651591</v>
      </c>
      <c r="I298" s="215">
        <v>0</v>
      </c>
      <c r="J298" s="215">
        <v>0</v>
      </c>
      <c r="K298" s="215">
        <v>0</v>
      </c>
      <c r="L298" s="146">
        <v>1651591</v>
      </c>
    </row>
    <row r="299" spans="1:12" ht="15" customHeight="1" outlineLevel="2" x14ac:dyDescent="0.25">
      <c r="A299" s="40" t="s">
        <v>185</v>
      </c>
      <c r="B299" s="196" t="s">
        <v>318</v>
      </c>
      <c r="C299" s="3" t="s">
        <v>319</v>
      </c>
      <c r="D299" s="40">
        <v>268</v>
      </c>
      <c r="E299" s="146">
        <v>6272368</v>
      </c>
      <c r="F299" s="146">
        <v>3349640</v>
      </c>
      <c r="G299" s="213" t="s">
        <v>500</v>
      </c>
      <c r="H299" s="146">
        <v>2922728</v>
      </c>
      <c r="I299" s="215">
        <v>0</v>
      </c>
      <c r="J299" s="215">
        <v>0</v>
      </c>
      <c r="K299" s="215">
        <v>0</v>
      </c>
      <c r="L299" s="146">
        <v>2922728</v>
      </c>
    </row>
    <row r="300" spans="1:12" outlineLevel="2" x14ac:dyDescent="0.25">
      <c r="A300" s="40" t="s">
        <v>185</v>
      </c>
      <c r="B300" s="196" t="s">
        <v>133</v>
      </c>
      <c r="C300" s="3" t="s">
        <v>134</v>
      </c>
      <c r="D300" s="40">
        <v>32</v>
      </c>
      <c r="E300" s="146">
        <v>4557408</v>
      </c>
      <c r="F300" s="146">
        <v>4089648</v>
      </c>
      <c r="G300" s="213" t="s">
        <v>500</v>
      </c>
      <c r="H300" s="146">
        <v>467760</v>
      </c>
      <c r="I300" s="215">
        <v>0</v>
      </c>
      <c r="J300" s="215">
        <v>0</v>
      </c>
      <c r="K300" s="215">
        <v>0</v>
      </c>
      <c r="L300" s="146">
        <v>467760</v>
      </c>
    </row>
    <row r="301" spans="1:12" outlineLevel="2" x14ac:dyDescent="0.25">
      <c r="A301" s="40" t="s">
        <v>185</v>
      </c>
      <c r="B301" s="196" t="s">
        <v>336</v>
      </c>
      <c r="C301" s="3" t="s">
        <v>130</v>
      </c>
      <c r="D301" s="40">
        <v>230</v>
      </c>
      <c r="E301" s="146">
        <v>5679366</v>
      </c>
      <c r="F301" s="146">
        <v>5265644</v>
      </c>
      <c r="G301" s="213" t="s">
        <v>500</v>
      </c>
      <c r="H301" s="146">
        <v>413722</v>
      </c>
      <c r="I301" s="215">
        <v>0</v>
      </c>
      <c r="J301" s="215">
        <v>0</v>
      </c>
      <c r="K301" s="215">
        <v>0</v>
      </c>
      <c r="L301" s="146">
        <v>413722</v>
      </c>
    </row>
    <row r="302" spans="1:12" outlineLevel="2" x14ac:dyDescent="0.25">
      <c r="A302" s="40" t="s">
        <v>185</v>
      </c>
      <c r="B302" s="196" t="s">
        <v>131</v>
      </c>
      <c r="C302" s="3" t="s">
        <v>132</v>
      </c>
      <c r="D302" s="40">
        <v>357</v>
      </c>
      <c r="E302" s="146">
        <v>7134515</v>
      </c>
      <c r="F302" s="146">
        <v>5397077</v>
      </c>
      <c r="G302" s="213" t="s">
        <v>500</v>
      </c>
      <c r="H302" s="146">
        <v>1737438</v>
      </c>
      <c r="I302" s="215">
        <v>0</v>
      </c>
      <c r="J302" s="215">
        <v>0</v>
      </c>
      <c r="K302" s="215">
        <v>0</v>
      </c>
      <c r="L302" s="146">
        <v>1737438</v>
      </c>
    </row>
    <row r="303" spans="1:12" outlineLevel="2" x14ac:dyDescent="0.25">
      <c r="A303" s="40" t="s">
        <v>185</v>
      </c>
      <c r="B303" s="196" t="s">
        <v>320</v>
      </c>
      <c r="C303" s="3" t="s">
        <v>321</v>
      </c>
      <c r="D303" s="40">
        <v>148</v>
      </c>
      <c r="E303" s="146">
        <v>218554</v>
      </c>
      <c r="F303" s="146">
        <v>3127</v>
      </c>
      <c r="G303" s="213" t="s">
        <v>500</v>
      </c>
      <c r="H303" s="146">
        <v>215427</v>
      </c>
      <c r="I303" s="215">
        <v>0</v>
      </c>
      <c r="J303" s="215">
        <v>0</v>
      </c>
      <c r="K303" s="215">
        <v>0</v>
      </c>
      <c r="L303" s="146">
        <v>215427</v>
      </c>
    </row>
    <row r="304" spans="1:12" outlineLevel="2" x14ac:dyDescent="0.25">
      <c r="A304" s="40" t="s">
        <v>185</v>
      </c>
      <c r="B304" s="196" t="s">
        <v>135</v>
      </c>
      <c r="C304" s="3" t="s">
        <v>136</v>
      </c>
      <c r="D304" s="40">
        <v>153</v>
      </c>
      <c r="E304" s="146">
        <v>3685492</v>
      </c>
      <c r="F304" s="146">
        <v>3016024</v>
      </c>
      <c r="G304" s="213" t="s">
        <v>500</v>
      </c>
      <c r="H304" s="146">
        <v>669468</v>
      </c>
      <c r="I304" s="215">
        <v>0</v>
      </c>
      <c r="J304" s="215">
        <v>0</v>
      </c>
      <c r="K304" s="215">
        <v>0</v>
      </c>
      <c r="L304" s="146">
        <v>669468</v>
      </c>
    </row>
    <row r="305" spans="1:12" outlineLevel="2" x14ac:dyDescent="0.25">
      <c r="A305" s="40" t="s">
        <v>185</v>
      </c>
      <c r="B305" s="196" t="s">
        <v>137</v>
      </c>
      <c r="C305" s="3" t="s">
        <v>138</v>
      </c>
      <c r="D305" s="40">
        <v>155</v>
      </c>
      <c r="E305" s="146">
        <v>845595</v>
      </c>
      <c r="F305" s="146">
        <v>217384</v>
      </c>
      <c r="G305" s="213" t="s">
        <v>500</v>
      </c>
      <c r="H305" s="146">
        <v>628211</v>
      </c>
      <c r="I305" s="215">
        <v>0</v>
      </c>
      <c r="J305" s="215">
        <v>0</v>
      </c>
      <c r="K305" s="215">
        <v>0</v>
      </c>
      <c r="L305" s="146">
        <v>628211</v>
      </c>
    </row>
    <row r="306" spans="1:12" ht="15.6" customHeight="1" outlineLevel="2" x14ac:dyDescent="0.25">
      <c r="A306" s="40" t="s">
        <v>185</v>
      </c>
      <c r="B306" s="196" t="s">
        <v>337</v>
      </c>
      <c r="C306" s="3" t="s">
        <v>220</v>
      </c>
      <c r="D306" s="40">
        <v>319</v>
      </c>
      <c r="E306" s="146">
        <v>16457471</v>
      </c>
      <c r="F306" s="146">
        <v>12354318</v>
      </c>
      <c r="G306" s="213" t="s">
        <v>500</v>
      </c>
      <c r="H306" s="146">
        <v>4103153</v>
      </c>
      <c r="I306" s="215">
        <v>0</v>
      </c>
      <c r="J306" s="215">
        <v>0</v>
      </c>
      <c r="K306" s="215">
        <v>0</v>
      </c>
      <c r="L306" s="146">
        <v>4103153</v>
      </c>
    </row>
    <row r="307" spans="1:12" outlineLevel="2" x14ac:dyDescent="0.25">
      <c r="A307" s="40" t="s">
        <v>185</v>
      </c>
      <c r="B307" s="196" t="s">
        <v>141</v>
      </c>
      <c r="C307" s="3" t="s">
        <v>126</v>
      </c>
      <c r="D307" s="40">
        <v>48</v>
      </c>
      <c r="E307" s="146">
        <v>25192893</v>
      </c>
      <c r="F307" s="146">
        <v>21266482</v>
      </c>
      <c r="G307" s="213" t="s">
        <v>500</v>
      </c>
      <c r="H307" s="146">
        <v>3926411</v>
      </c>
      <c r="I307" s="215">
        <v>0</v>
      </c>
      <c r="J307" s="215">
        <v>0</v>
      </c>
      <c r="K307" s="215">
        <v>0</v>
      </c>
      <c r="L307" s="146">
        <v>3926411</v>
      </c>
    </row>
    <row r="308" spans="1:12" outlineLevel="2" x14ac:dyDescent="0.25">
      <c r="A308" s="40" t="s">
        <v>185</v>
      </c>
      <c r="B308" s="196" t="s">
        <v>210</v>
      </c>
      <c r="C308" s="3" t="s">
        <v>211</v>
      </c>
      <c r="D308" s="40">
        <v>218</v>
      </c>
      <c r="E308" s="146">
        <v>3252432</v>
      </c>
      <c r="F308" s="146">
        <v>2176378</v>
      </c>
      <c r="G308" s="213" t="s">
        <v>500</v>
      </c>
      <c r="H308" s="146">
        <v>1076054</v>
      </c>
      <c r="I308" s="215">
        <v>0</v>
      </c>
      <c r="J308" s="215">
        <v>0</v>
      </c>
      <c r="K308" s="215">
        <v>0</v>
      </c>
      <c r="L308" s="146">
        <v>1076054</v>
      </c>
    </row>
    <row r="309" spans="1:12" outlineLevel="2" x14ac:dyDescent="0.25">
      <c r="A309" s="40" t="s">
        <v>185</v>
      </c>
      <c r="B309" s="196" t="s">
        <v>144</v>
      </c>
      <c r="C309" s="3" t="s">
        <v>145</v>
      </c>
      <c r="D309" s="40">
        <v>350</v>
      </c>
      <c r="E309" s="146">
        <v>77113</v>
      </c>
      <c r="F309" s="146">
        <v>40229</v>
      </c>
      <c r="G309" s="213" t="s">
        <v>500</v>
      </c>
      <c r="H309" s="146">
        <v>36884</v>
      </c>
      <c r="I309" s="215">
        <v>0</v>
      </c>
      <c r="J309" s="215">
        <v>0</v>
      </c>
      <c r="K309" s="215">
        <v>0</v>
      </c>
      <c r="L309" s="146">
        <v>36884</v>
      </c>
    </row>
    <row r="310" spans="1:12" outlineLevel="2" x14ac:dyDescent="0.25">
      <c r="A310" s="40" t="s">
        <v>185</v>
      </c>
      <c r="B310" s="196" t="s">
        <v>146</v>
      </c>
      <c r="C310" s="3" t="s">
        <v>147</v>
      </c>
      <c r="D310" s="40">
        <v>173</v>
      </c>
      <c r="E310" s="146">
        <v>1475090</v>
      </c>
      <c r="F310" s="146">
        <v>1254514</v>
      </c>
      <c r="G310" s="213" t="s">
        <v>500</v>
      </c>
      <c r="H310" s="146">
        <v>220576</v>
      </c>
      <c r="I310" s="215">
        <v>0</v>
      </c>
      <c r="J310" s="215">
        <v>0</v>
      </c>
      <c r="K310" s="215">
        <v>0</v>
      </c>
      <c r="L310" s="146">
        <v>220576</v>
      </c>
    </row>
    <row r="311" spans="1:12" outlineLevel="2" x14ac:dyDescent="0.25">
      <c r="A311" s="40" t="s">
        <v>185</v>
      </c>
      <c r="B311" s="196" t="s">
        <v>341</v>
      </c>
      <c r="C311" s="3" t="s">
        <v>342</v>
      </c>
      <c r="D311" s="40">
        <v>304</v>
      </c>
      <c r="E311" s="146">
        <v>159665</v>
      </c>
      <c r="F311" s="146">
        <v>26698</v>
      </c>
      <c r="G311" s="213" t="s">
        <v>500</v>
      </c>
      <c r="H311" s="146">
        <v>132967</v>
      </c>
      <c r="I311" s="215">
        <v>0</v>
      </c>
      <c r="J311" s="215">
        <v>0</v>
      </c>
      <c r="K311" s="215">
        <v>0</v>
      </c>
      <c r="L311" s="146">
        <v>132967</v>
      </c>
    </row>
    <row r="312" spans="1:12" ht="15.6" customHeight="1" outlineLevel="2" x14ac:dyDescent="0.25">
      <c r="A312" s="40" t="s">
        <v>185</v>
      </c>
      <c r="B312" s="196" t="s">
        <v>338</v>
      </c>
      <c r="C312" s="3" t="s">
        <v>339</v>
      </c>
      <c r="D312" s="40">
        <v>335</v>
      </c>
      <c r="E312" s="146">
        <v>30695</v>
      </c>
      <c r="F312" s="146">
        <v>27192</v>
      </c>
      <c r="G312" s="213" t="s">
        <v>500</v>
      </c>
      <c r="H312" s="146">
        <v>3503</v>
      </c>
      <c r="I312" s="215">
        <v>0</v>
      </c>
      <c r="J312" s="215">
        <v>0</v>
      </c>
      <c r="K312" s="215">
        <v>0</v>
      </c>
      <c r="L312" s="146">
        <v>3503</v>
      </c>
    </row>
    <row r="313" spans="1:12" ht="45.75" outlineLevel="2" x14ac:dyDescent="0.25">
      <c r="A313" s="40" t="s">
        <v>185</v>
      </c>
      <c r="B313" s="196" t="s">
        <v>343</v>
      </c>
      <c r="C313" s="3" t="s">
        <v>344</v>
      </c>
      <c r="D313" s="40">
        <v>329</v>
      </c>
      <c r="E313" s="146">
        <v>1391500</v>
      </c>
      <c r="F313" s="146">
        <v>1019340</v>
      </c>
      <c r="G313" s="213" t="s">
        <v>500</v>
      </c>
      <c r="H313" s="146">
        <v>372160</v>
      </c>
      <c r="I313" s="215">
        <v>0</v>
      </c>
      <c r="J313" s="215">
        <v>0</v>
      </c>
      <c r="K313" s="215">
        <v>0</v>
      </c>
      <c r="L313" s="146">
        <v>372160</v>
      </c>
    </row>
    <row r="314" spans="1:12" ht="30.95" customHeight="1" outlineLevel="2" x14ac:dyDescent="0.25">
      <c r="A314" s="40" t="s">
        <v>185</v>
      </c>
      <c r="B314" s="196" t="s">
        <v>311</v>
      </c>
      <c r="C314" s="3" t="s">
        <v>312</v>
      </c>
      <c r="D314" s="40">
        <v>261</v>
      </c>
      <c r="E314" s="146">
        <v>905756</v>
      </c>
      <c r="F314" s="146">
        <v>827559</v>
      </c>
      <c r="G314" s="213" t="s">
        <v>500</v>
      </c>
      <c r="H314" s="146">
        <v>78197</v>
      </c>
      <c r="I314" s="215">
        <v>0</v>
      </c>
      <c r="J314" s="215">
        <v>0</v>
      </c>
      <c r="K314" s="215">
        <v>0</v>
      </c>
      <c r="L314" s="146">
        <v>78197</v>
      </c>
    </row>
    <row r="315" spans="1:12" ht="14.45" customHeight="1" outlineLevel="2" x14ac:dyDescent="0.25">
      <c r="A315" s="40" t="s">
        <v>185</v>
      </c>
      <c r="B315" s="196" t="s">
        <v>148</v>
      </c>
      <c r="C315" s="3" t="s">
        <v>149</v>
      </c>
      <c r="D315" s="40">
        <v>244</v>
      </c>
      <c r="E315" s="146">
        <v>1880327</v>
      </c>
      <c r="F315" s="146">
        <v>1751540</v>
      </c>
      <c r="G315" s="213" t="s">
        <v>500</v>
      </c>
      <c r="H315" s="146">
        <v>128787</v>
      </c>
      <c r="I315" s="215">
        <v>0</v>
      </c>
      <c r="J315" s="215">
        <v>0</v>
      </c>
      <c r="K315" s="215">
        <v>0</v>
      </c>
      <c r="L315" s="146">
        <v>128787</v>
      </c>
    </row>
    <row r="316" spans="1:12" outlineLevel="1" x14ac:dyDescent="0.25">
      <c r="A316" s="40" t="s">
        <v>185</v>
      </c>
      <c r="B316" s="196" t="s">
        <v>322</v>
      </c>
      <c r="C316" s="3" t="s">
        <v>126</v>
      </c>
      <c r="D316" s="40">
        <v>280</v>
      </c>
      <c r="E316" s="146">
        <v>88241</v>
      </c>
      <c r="F316" s="146">
        <v>32642</v>
      </c>
      <c r="G316" s="213" t="s">
        <v>500</v>
      </c>
      <c r="H316" s="146">
        <v>55599</v>
      </c>
      <c r="I316" s="215">
        <v>0</v>
      </c>
      <c r="J316" s="215">
        <v>0</v>
      </c>
      <c r="K316" s="215">
        <v>0</v>
      </c>
      <c r="L316" s="146">
        <v>55599</v>
      </c>
    </row>
    <row r="317" spans="1:12" ht="30.75" outlineLevel="2" x14ac:dyDescent="0.25">
      <c r="A317" s="40" t="s">
        <v>185</v>
      </c>
      <c r="B317" s="196" t="s">
        <v>345</v>
      </c>
      <c r="C317" s="3" t="s">
        <v>112</v>
      </c>
      <c r="D317" s="40">
        <v>176</v>
      </c>
      <c r="E317" s="146">
        <v>3640971</v>
      </c>
      <c r="F317" s="146">
        <v>2824667</v>
      </c>
      <c r="G317" s="213" t="s">
        <v>500</v>
      </c>
      <c r="H317" s="146">
        <v>816304</v>
      </c>
      <c r="I317" s="215">
        <v>0</v>
      </c>
      <c r="J317" s="215">
        <v>0</v>
      </c>
      <c r="K317" s="215">
        <v>0</v>
      </c>
      <c r="L317" s="146">
        <v>816304</v>
      </c>
    </row>
    <row r="318" spans="1:12" outlineLevel="2" x14ac:dyDescent="0.25">
      <c r="A318" s="40" t="s">
        <v>185</v>
      </c>
      <c r="B318" s="196" t="s">
        <v>150</v>
      </c>
      <c r="C318" s="3" t="s">
        <v>151</v>
      </c>
      <c r="D318" s="40">
        <v>171</v>
      </c>
      <c r="E318" s="146">
        <v>2306300</v>
      </c>
      <c r="F318" s="146">
        <v>1836916</v>
      </c>
      <c r="G318" s="213" t="s">
        <v>500</v>
      </c>
      <c r="H318" s="146">
        <v>469384</v>
      </c>
      <c r="I318" s="215">
        <v>0</v>
      </c>
      <c r="J318" s="215">
        <v>0</v>
      </c>
      <c r="K318" s="215">
        <v>0</v>
      </c>
      <c r="L318" s="146">
        <v>469384</v>
      </c>
    </row>
    <row r="319" spans="1:12" ht="45.75" outlineLevel="2" x14ac:dyDescent="0.25">
      <c r="A319" s="40" t="s">
        <v>185</v>
      </c>
      <c r="B319" s="196" t="s">
        <v>152</v>
      </c>
      <c r="C319" s="3" t="s">
        <v>149</v>
      </c>
      <c r="D319" s="40">
        <v>258</v>
      </c>
      <c r="E319" s="146">
        <v>2683188</v>
      </c>
      <c r="F319" s="146">
        <v>1665935</v>
      </c>
      <c r="G319" s="213" t="s">
        <v>500</v>
      </c>
      <c r="H319" s="146">
        <v>1017253</v>
      </c>
      <c r="I319" s="215">
        <v>0</v>
      </c>
      <c r="J319" s="215">
        <v>0</v>
      </c>
      <c r="K319" s="215">
        <v>0</v>
      </c>
      <c r="L319" s="146">
        <v>1017253</v>
      </c>
    </row>
    <row r="320" spans="1:12" outlineLevel="2" x14ac:dyDescent="0.25">
      <c r="A320" s="40" t="s">
        <v>185</v>
      </c>
      <c r="B320" s="196" t="s">
        <v>153</v>
      </c>
      <c r="C320" s="3" t="s">
        <v>126</v>
      </c>
      <c r="D320" s="40">
        <v>260</v>
      </c>
      <c r="E320" s="146">
        <v>16543606</v>
      </c>
      <c r="F320" s="146">
        <v>13454196</v>
      </c>
      <c r="G320" s="213" t="s">
        <v>500</v>
      </c>
      <c r="H320" s="146">
        <v>3089410</v>
      </c>
      <c r="I320" s="215">
        <v>0</v>
      </c>
      <c r="J320" s="215">
        <v>0</v>
      </c>
      <c r="K320" s="215">
        <v>0</v>
      </c>
      <c r="L320" s="146">
        <v>3089410</v>
      </c>
    </row>
    <row r="321" spans="1:12" outlineLevel="2" x14ac:dyDescent="0.25">
      <c r="A321" s="40" t="s">
        <v>185</v>
      </c>
      <c r="B321" s="196" t="s">
        <v>180</v>
      </c>
      <c r="C321" s="3" t="s">
        <v>181</v>
      </c>
      <c r="D321" s="40">
        <v>346</v>
      </c>
      <c r="E321" s="146">
        <v>28428</v>
      </c>
      <c r="F321" s="146">
        <v>12805</v>
      </c>
      <c r="G321" s="213" t="s">
        <v>500</v>
      </c>
      <c r="H321" s="146">
        <v>15623</v>
      </c>
      <c r="I321" s="215">
        <v>0</v>
      </c>
      <c r="J321" s="215">
        <v>0</v>
      </c>
      <c r="K321" s="215">
        <v>0</v>
      </c>
      <c r="L321" s="146">
        <v>15623</v>
      </c>
    </row>
    <row r="322" spans="1:12" ht="15.6" customHeight="1" outlineLevel="2" x14ac:dyDescent="0.25">
      <c r="A322" s="40" t="s">
        <v>185</v>
      </c>
      <c r="B322" s="196" t="s">
        <v>156</v>
      </c>
      <c r="C322" s="3" t="s">
        <v>157</v>
      </c>
      <c r="D322" s="40">
        <v>351</v>
      </c>
      <c r="E322" s="146">
        <v>123494</v>
      </c>
      <c r="F322" s="146">
        <v>102022</v>
      </c>
      <c r="G322" s="213" t="s">
        <v>500</v>
      </c>
      <c r="H322" s="146">
        <v>21472</v>
      </c>
      <c r="I322" s="215">
        <v>0</v>
      </c>
      <c r="J322" s="215">
        <v>0</v>
      </c>
      <c r="K322" s="215">
        <v>0</v>
      </c>
      <c r="L322" s="146">
        <v>21472</v>
      </c>
    </row>
    <row r="323" spans="1:12" s="240" customFormat="1" outlineLevel="2" x14ac:dyDescent="0.25">
      <c r="A323" s="216" t="s">
        <v>212</v>
      </c>
      <c r="B323" s="223" t="s">
        <v>500</v>
      </c>
      <c r="C323" s="224" t="s">
        <v>500</v>
      </c>
      <c r="D323" s="224" t="s">
        <v>500</v>
      </c>
      <c r="E323" s="225">
        <f>SUBTOTAL(109,school201112[Program
Costs])</f>
        <v>417214426</v>
      </c>
      <c r="F323" s="225">
        <f>SUBTOTAL(109,school201112[Less: Net Payments and Offsets 10])</f>
        <v>279527311</v>
      </c>
      <c r="G323" s="224" t="s">
        <v>500</v>
      </c>
      <c r="H323" s="225">
        <f>SUBTOTAL(109,school201112[Accounts Payable
Balance])</f>
        <v>137687115</v>
      </c>
      <c r="I323" s="226">
        <f>SUBTOTAL(109,school201112[Established
Accounts Receivable])</f>
        <v>0</v>
      </c>
      <c r="J323" s="226">
        <f>SUBTOTAL(109,school201112[Less: Recovered Amount])</f>
        <v>0</v>
      </c>
      <c r="K323" s="226">
        <f>SUBTOTAL(109,school201112[Accounts Receivable
Balance])</f>
        <v>0</v>
      </c>
      <c r="L323" s="225">
        <f>SUBTOTAL(109,school201112[Net
Balance])</f>
        <v>137687115</v>
      </c>
    </row>
    <row r="324" spans="1:12" s="3" customFormat="1" ht="15" outlineLevel="2" x14ac:dyDescent="0.2">
      <c r="A324" s="214" t="s">
        <v>508</v>
      </c>
      <c r="B324" s="196"/>
      <c r="D324" s="40"/>
      <c r="E324" s="146"/>
      <c r="F324" s="146"/>
      <c r="G324" s="146"/>
      <c r="H324" s="146"/>
      <c r="I324" s="146"/>
      <c r="J324" s="146"/>
      <c r="K324" s="146"/>
      <c r="L324" s="146"/>
    </row>
    <row r="325" spans="1:12" ht="50.1" customHeight="1" outlineLevel="2" x14ac:dyDescent="0.25">
      <c r="A325" s="204" t="s">
        <v>98</v>
      </c>
      <c r="B325" s="204" t="s">
        <v>99</v>
      </c>
      <c r="C325" s="176" t="s">
        <v>1</v>
      </c>
      <c r="D325" s="204" t="s">
        <v>195</v>
      </c>
      <c r="E325" s="238" t="s">
        <v>188</v>
      </c>
      <c r="F325" s="239" t="s">
        <v>533</v>
      </c>
      <c r="G325" s="212" t="s">
        <v>532</v>
      </c>
      <c r="H325" s="210" t="s">
        <v>528</v>
      </c>
      <c r="I325" s="210" t="s">
        <v>529</v>
      </c>
      <c r="J325" s="238" t="s">
        <v>197</v>
      </c>
      <c r="K325" s="210" t="s">
        <v>530</v>
      </c>
      <c r="L325" s="238" t="s">
        <v>196</v>
      </c>
    </row>
    <row r="326" spans="1:12" outlineLevel="2" x14ac:dyDescent="0.25">
      <c r="A326" s="40" t="s">
        <v>84</v>
      </c>
      <c r="B326" s="196" t="s">
        <v>313</v>
      </c>
      <c r="C326" s="3" t="s">
        <v>314</v>
      </c>
      <c r="D326" s="40">
        <v>305</v>
      </c>
      <c r="E326" s="146">
        <v>404335</v>
      </c>
      <c r="F326" s="146">
        <v>284067</v>
      </c>
      <c r="G326" s="213" t="s">
        <v>500</v>
      </c>
      <c r="H326" s="146">
        <v>120268</v>
      </c>
      <c r="I326" s="215">
        <v>0</v>
      </c>
      <c r="J326" s="215">
        <v>0</v>
      </c>
      <c r="K326" s="215">
        <v>0</v>
      </c>
      <c r="L326" s="146">
        <v>120268</v>
      </c>
    </row>
    <row r="327" spans="1:12" outlineLevel="2" x14ac:dyDescent="0.25">
      <c r="A327" s="40" t="s">
        <v>84</v>
      </c>
      <c r="B327" s="196" t="s">
        <v>346</v>
      </c>
      <c r="C327" s="3" t="s">
        <v>347</v>
      </c>
      <c r="D327" s="40">
        <v>269</v>
      </c>
      <c r="E327" s="146">
        <v>8679</v>
      </c>
      <c r="F327" s="146">
        <v>6144</v>
      </c>
      <c r="G327" s="213" t="s">
        <v>500</v>
      </c>
      <c r="H327" s="146">
        <v>2535</v>
      </c>
      <c r="I327" s="215">
        <v>0</v>
      </c>
      <c r="J327" s="215">
        <v>0</v>
      </c>
      <c r="K327" s="215">
        <v>0</v>
      </c>
      <c r="L327" s="146">
        <v>2535</v>
      </c>
    </row>
    <row r="328" spans="1:12" ht="14.45" customHeight="1" outlineLevel="2" x14ac:dyDescent="0.25">
      <c r="A328" s="40" t="s">
        <v>84</v>
      </c>
      <c r="B328" s="196" t="s">
        <v>101</v>
      </c>
      <c r="C328" s="3" t="s">
        <v>102</v>
      </c>
      <c r="D328" s="40">
        <v>250</v>
      </c>
      <c r="E328" s="146">
        <v>1284869</v>
      </c>
      <c r="F328" s="146">
        <v>670698</v>
      </c>
      <c r="G328" s="213" t="s">
        <v>500</v>
      </c>
      <c r="H328" s="146">
        <v>614171</v>
      </c>
      <c r="I328" s="215">
        <v>0</v>
      </c>
      <c r="J328" s="215">
        <v>0</v>
      </c>
      <c r="K328" s="215">
        <v>0</v>
      </c>
      <c r="L328" s="146">
        <v>614171</v>
      </c>
    </row>
    <row r="329" spans="1:12" ht="30.75" outlineLevel="2" x14ac:dyDescent="0.25">
      <c r="A329" s="40" t="s">
        <v>84</v>
      </c>
      <c r="B329" s="196" t="s">
        <v>340</v>
      </c>
      <c r="C329" s="3" t="s">
        <v>335</v>
      </c>
      <c r="D329" s="40">
        <v>348</v>
      </c>
      <c r="E329" s="146">
        <v>1223752</v>
      </c>
      <c r="F329" s="146">
        <v>860241</v>
      </c>
      <c r="G329" s="213" t="s">
        <v>500</v>
      </c>
      <c r="H329" s="146">
        <v>363511</v>
      </c>
      <c r="I329" s="215">
        <v>0</v>
      </c>
      <c r="J329" s="215">
        <v>0</v>
      </c>
      <c r="K329" s="215">
        <v>0</v>
      </c>
      <c r="L329" s="146">
        <v>363511</v>
      </c>
    </row>
    <row r="330" spans="1:12" outlineLevel="2" x14ac:dyDescent="0.25">
      <c r="A330" s="40" t="s">
        <v>84</v>
      </c>
      <c r="B330" s="196" t="s">
        <v>327</v>
      </c>
      <c r="C330" s="3" t="s">
        <v>174</v>
      </c>
      <c r="D330" s="40">
        <v>354</v>
      </c>
      <c r="E330" s="146">
        <v>86685</v>
      </c>
      <c r="F330" s="146">
        <v>72103</v>
      </c>
      <c r="G330" s="213" t="s">
        <v>500</v>
      </c>
      <c r="H330" s="146">
        <v>14582</v>
      </c>
      <c r="I330" s="215">
        <v>0</v>
      </c>
      <c r="J330" s="215">
        <v>0</v>
      </c>
      <c r="K330" s="215">
        <v>0</v>
      </c>
      <c r="L330" s="146">
        <v>14582</v>
      </c>
    </row>
    <row r="331" spans="1:12" ht="30.95" customHeight="1" outlineLevel="2" x14ac:dyDescent="0.25">
      <c r="A331" s="40" t="s">
        <v>84</v>
      </c>
      <c r="B331" s="196" t="s">
        <v>328</v>
      </c>
      <c r="C331" s="3" t="s">
        <v>329</v>
      </c>
      <c r="D331" s="40">
        <v>286</v>
      </c>
      <c r="E331" s="146">
        <v>48564</v>
      </c>
      <c r="F331" s="146">
        <v>38573</v>
      </c>
      <c r="G331" s="213" t="s">
        <v>500</v>
      </c>
      <c r="H331" s="146">
        <v>9991</v>
      </c>
      <c r="I331" s="215">
        <v>0</v>
      </c>
      <c r="J331" s="215">
        <v>0</v>
      </c>
      <c r="K331" s="215">
        <v>0</v>
      </c>
      <c r="L331" s="146">
        <v>9991</v>
      </c>
    </row>
    <row r="332" spans="1:12" ht="30.75" outlineLevel="2" x14ac:dyDescent="0.25">
      <c r="A332" s="40" t="s">
        <v>84</v>
      </c>
      <c r="B332" s="196" t="s">
        <v>109</v>
      </c>
      <c r="C332" s="3" t="s">
        <v>110</v>
      </c>
      <c r="D332" s="40">
        <v>172</v>
      </c>
      <c r="E332" s="146">
        <v>509912</v>
      </c>
      <c r="F332" s="146">
        <v>359546</v>
      </c>
      <c r="G332" s="213" t="s">
        <v>500</v>
      </c>
      <c r="H332" s="146">
        <v>150366</v>
      </c>
      <c r="I332" s="215">
        <v>0</v>
      </c>
      <c r="J332" s="215">
        <v>0</v>
      </c>
      <c r="K332" s="215">
        <v>0</v>
      </c>
      <c r="L332" s="146">
        <v>150366</v>
      </c>
    </row>
    <row r="333" spans="1:12" outlineLevel="2" x14ac:dyDescent="0.25">
      <c r="A333" s="40" t="s">
        <v>84</v>
      </c>
      <c r="B333" s="196" t="s">
        <v>309</v>
      </c>
      <c r="C333" s="3" t="s">
        <v>310</v>
      </c>
      <c r="D333" s="40">
        <v>278</v>
      </c>
      <c r="E333" s="146">
        <v>1935990</v>
      </c>
      <c r="F333" s="146">
        <v>1331459</v>
      </c>
      <c r="G333" s="213" t="s">
        <v>500</v>
      </c>
      <c r="H333" s="146">
        <v>604531</v>
      </c>
      <c r="I333" s="215">
        <v>0</v>
      </c>
      <c r="J333" s="215">
        <v>0</v>
      </c>
      <c r="K333" s="215">
        <v>0</v>
      </c>
      <c r="L333" s="146">
        <v>604531</v>
      </c>
    </row>
    <row r="334" spans="1:12" outlineLevel="2" x14ac:dyDescent="0.25">
      <c r="A334" s="40" t="s">
        <v>84</v>
      </c>
      <c r="B334" s="196" t="s">
        <v>315</v>
      </c>
      <c r="C334" s="3" t="s">
        <v>316</v>
      </c>
      <c r="D334" s="40">
        <v>309</v>
      </c>
      <c r="E334" s="146">
        <v>13640</v>
      </c>
      <c r="F334" s="146">
        <v>7429</v>
      </c>
      <c r="G334" s="213" t="s">
        <v>500</v>
      </c>
      <c r="H334" s="146">
        <v>6211</v>
      </c>
      <c r="I334" s="215">
        <v>0</v>
      </c>
      <c r="J334" s="215">
        <v>0</v>
      </c>
      <c r="K334" s="215">
        <v>0</v>
      </c>
      <c r="L334" s="146">
        <v>6211</v>
      </c>
    </row>
    <row r="335" spans="1:12" ht="30.75" outlineLevel="2" x14ac:dyDescent="0.25">
      <c r="A335" s="40" t="s">
        <v>84</v>
      </c>
      <c r="B335" s="196" t="s">
        <v>115</v>
      </c>
      <c r="C335" s="3" t="s">
        <v>116</v>
      </c>
      <c r="D335" s="40">
        <v>11</v>
      </c>
      <c r="E335" s="146">
        <v>17982853</v>
      </c>
      <c r="F335" s="146">
        <v>14351227</v>
      </c>
      <c r="G335" s="213" t="s">
        <v>500</v>
      </c>
      <c r="H335" s="146">
        <v>3631626</v>
      </c>
      <c r="I335" s="215">
        <v>0</v>
      </c>
      <c r="J335" s="215">
        <v>0</v>
      </c>
      <c r="K335" s="215">
        <v>0</v>
      </c>
      <c r="L335" s="146">
        <v>3631626</v>
      </c>
    </row>
    <row r="336" spans="1:12" ht="15.6" customHeight="1" outlineLevel="2" x14ac:dyDescent="0.25">
      <c r="A336" s="40" t="s">
        <v>84</v>
      </c>
      <c r="B336" s="196" t="s">
        <v>117</v>
      </c>
      <c r="C336" s="3" t="s">
        <v>118</v>
      </c>
      <c r="D336" s="40">
        <v>313</v>
      </c>
      <c r="E336" s="146">
        <v>3242473</v>
      </c>
      <c r="F336" s="146">
        <v>2671236</v>
      </c>
      <c r="G336" s="213" t="s">
        <v>500</v>
      </c>
      <c r="H336" s="146">
        <v>571237</v>
      </c>
      <c r="I336" s="215">
        <v>0</v>
      </c>
      <c r="J336" s="215">
        <v>0</v>
      </c>
      <c r="K336" s="215">
        <v>0</v>
      </c>
      <c r="L336" s="146">
        <v>571237</v>
      </c>
    </row>
    <row r="337" spans="1:12" ht="45.75" outlineLevel="2" x14ac:dyDescent="0.25">
      <c r="A337" s="40" t="s">
        <v>84</v>
      </c>
      <c r="B337" s="196" t="s">
        <v>103</v>
      </c>
      <c r="C337" s="3" t="s">
        <v>104</v>
      </c>
      <c r="D337" s="40">
        <v>272</v>
      </c>
      <c r="E337" s="146">
        <v>9390921</v>
      </c>
      <c r="F337" s="146">
        <v>7958284</v>
      </c>
      <c r="G337" s="213" t="s">
        <v>500</v>
      </c>
      <c r="H337" s="146">
        <v>1432637</v>
      </c>
      <c r="I337" s="215">
        <v>0</v>
      </c>
      <c r="J337" s="215">
        <v>0</v>
      </c>
      <c r="K337" s="215">
        <v>0</v>
      </c>
      <c r="L337" s="146">
        <v>1432637</v>
      </c>
    </row>
    <row r="338" spans="1:12" ht="45.75" outlineLevel="2" x14ac:dyDescent="0.25">
      <c r="A338" s="40" t="s">
        <v>84</v>
      </c>
      <c r="B338" s="196" t="s">
        <v>139</v>
      </c>
      <c r="C338" s="3" t="s">
        <v>140</v>
      </c>
      <c r="D338" s="40">
        <v>276</v>
      </c>
      <c r="E338" s="146">
        <v>938353</v>
      </c>
      <c r="F338" s="146">
        <v>629984</v>
      </c>
      <c r="G338" s="213" t="s">
        <v>500</v>
      </c>
      <c r="H338" s="146">
        <v>308369</v>
      </c>
      <c r="I338" s="215">
        <v>0</v>
      </c>
      <c r="J338" s="215">
        <v>0</v>
      </c>
      <c r="K338" s="215">
        <v>0</v>
      </c>
      <c r="L338" s="146">
        <v>308369</v>
      </c>
    </row>
    <row r="339" spans="1:12" ht="78" customHeight="1" outlineLevel="2" x14ac:dyDescent="0.25">
      <c r="A339" s="40" t="s">
        <v>84</v>
      </c>
      <c r="B339" s="196" t="s">
        <v>142</v>
      </c>
      <c r="C339" s="3" t="s">
        <v>143</v>
      </c>
      <c r="D339" s="40">
        <v>292</v>
      </c>
      <c r="E339" s="146">
        <v>7856369</v>
      </c>
      <c r="F339" s="146">
        <v>6178623</v>
      </c>
      <c r="G339" s="213" t="s">
        <v>500</v>
      </c>
      <c r="H339" s="146">
        <v>1677746</v>
      </c>
      <c r="I339" s="215">
        <v>0</v>
      </c>
      <c r="J339" s="215">
        <v>0</v>
      </c>
      <c r="K339" s="215">
        <v>0</v>
      </c>
      <c r="L339" s="146">
        <v>1677746</v>
      </c>
    </row>
    <row r="340" spans="1:12" ht="30.75" outlineLevel="2" x14ac:dyDescent="0.25">
      <c r="A340" s="40" t="s">
        <v>84</v>
      </c>
      <c r="B340" s="196" t="s">
        <v>113</v>
      </c>
      <c r="C340" s="3" t="s">
        <v>114</v>
      </c>
      <c r="D340" s="40">
        <v>209</v>
      </c>
      <c r="E340" s="146">
        <v>297042</v>
      </c>
      <c r="F340" s="146">
        <v>29832</v>
      </c>
      <c r="G340" s="213" t="s">
        <v>500</v>
      </c>
      <c r="H340" s="146">
        <v>267210</v>
      </c>
      <c r="I340" s="215">
        <v>0</v>
      </c>
      <c r="J340" s="215">
        <v>0</v>
      </c>
      <c r="K340" s="215">
        <v>0</v>
      </c>
      <c r="L340" s="146">
        <v>267210</v>
      </c>
    </row>
    <row r="341" spans="1:12" outlineLevel="2" x14ac:dyDescent="0.25">
      <c r="A341" s="40" t="s">
        <v>84</v>
      </c>
      <c r="B341" s="196" t="s">
        <v>119</v>
      </c>
      <c r="C341" s="3" t="s">
        <v>120</v>
      </c>
      <c r="D341" s="40">
        <v>183</v>
      </c>
      <c r="E341" s="146">
        <v>472674</v>
      </c>
      <c r="F341" s="146">
        <v>391438</v>
      </c>
      <c r="G341" s="213" t="s">
        <v>500</v>
      </c>
      <c r="H341" s="146">
        <v>81236</v>
      </c>
      <c r="I341" s="215">
        <v>0</v>
      </c>
      <c r="J341" s="215">
        <v>0</v>
      </c>
      <c r="K341" s="215">
        <v>0</v>
      </c>
      <c r="L341" s="146">
        <v>81236</v>
      </c>
    </row>
    <row r="342" spans="1:12" outlineLevel="2" x14ac:dyDescent="0.25">
      <c r="A342" s="40" t="s">
        <v>84</v>
      </c>
      <c r="B342" s="196" t="s">
        <v>121</v>
      </c>
      <c r="C342" s="3" t="s">
        <v>122</v>
      </c>
      <c r="D342" s="40">
        <v>251</v>
      </c>
      <c r="E342" s="146">
        <v>438643</v>
      </c>
      <c r="F342" s="146">
        <v>278771</v>
      </c>
      <c r="G342" s="213" t="s">
        <v>500</v>
      </c>
      <c r="H342" s="146">
        <v>159872</v>
      </c>
      <c r="I342" s="215">
        <v>0</v>
      </c>
      <c r="J342" s="215">
        <v>0</v>
      </c>
      <c r="K342" s="215">
        <v>0</v>
      </c>
      <c r="L342" s="146">
        <v>159872</v>
      </c>
    </row>
    <row r="343" spans="1:12" outlineLevel="2" x14ac:dyDescent="0.25">
      <c r="A343" s="40" t="s">
        <v>84</v>
      </c>
      <c r="B343" s="196" t="s">
        <v>348</v>
      </c>
      <c r="C343" s="3" t="s">
        <v>349</v>
      </c>
      <c r="D343" s="40">
        <v>333</v>
      </c>
      <c r="E343" s="146">
        <v>51096</v>
      </c>
      <c r="F343" s="146">
        <v>24635</v>
      </c>
      <c r="G343" s="213" t="s">
        <v>500</v>
      </c>
      <c r="H343" s="146">
        <v>26461</v>
      </c>
      <c r="I343" s="215">
        <v>0</v>
      </c>
      <c r="J343" s="215">
        <v>0</v>
      </c>
      <c r="K343" s="215">
        <v>0</v>
      </c>
      <c r="L343" s="146">
        <v>26461</v>
      </c>
    </row>
    <row r="344" spans="1:12" ht="30.75" outlineLevel="2" x14ac:dyDescent="0.25">
      <c r="A344" s="40" t="s">
        <v>84</v>
      </c>
      <c r="B344" s="196" t="s">
        <v>317</v>
      </c>
      <c r="C344" s="3" t="s">
        <v>112</v>
      </c>
      <c r="D344" s="40">
        <v>91</v>
      </c>
      <c r="E344" s="146">
        <v>15135</v>
      </c>
      <c r="F344" s="146">
        <v>10746</v>
      </c>
      <c r="G344" s="213" t="s">
        <v>500</v>
      </c>
      <c r="H344" s="146">
        <v>4389</v>
      </c>
      <c r="I344" s="215">
        <v>0</v>
      </c>
      <c r="J344" s="215">
        <v>0</v>
      </c>
      <c r="K344" s="215">
        <v>0</v>
      </c>
      <c r="L344" s="146">
        <v>4389</v>
      </c>
    </row>
    <row r="345" spans="1:12" outlineLevel="2" x14ac:dyDescent="0.25">
      <c r="A345" s="40" t="s">
        <v>84</v>
      </c>
      <c r="B345" s="196" t="s">
        <v>123</v>
      </c>
      <c r="C345" s="3" t="s">
        <v>124</v>
      </c>
      <c r="D345" s="40">
        <v>192</v>
      </c>
      <c r="E345" s="146">
        <v>281654</v>
      </c>
      <c r="F345" s="146">
        <v>169043</v>
      </c>
      <c r="G345" s="213" t="s">
        <v>500</v>
      </c>
      <c r="H345" s="146">
        <v>112611</v>
      </c>
      <c r="I345" s="215">
        <v>0</v>
      </c>
      <c r="J345" s="215">
        <v>0</v>
      </c>
      <c r="K345" s="215">
        <v>0</v>
      </c>
      <c r="L345" s="146">
        <v>112611</v>
      </c>
    </row>
    <row r="346" spans="1:12" ht="30.75" outlineLevel="2" x14ac:dyDescent="0.25">
      <c r="A346" s="40" t="s">
        <v>84</v>
      </c>
      <c r="B346" s="196" t="s">
        <v>125</v>
      </c>
      <c r="C346" s="3" t="s">
        <v>126</v>
      </c>
      <c r="D346" s="40">
        <v>297</v>
      </c>
      <c r="E346" s="146">
        <v>271208498</v>
      </c>
      <c r="F346" s="146">
        <v>177075406</v>
      </c>
      <c r="G346" s="213" t="s">
        <v>500</v>
      </c>
      <c r="H346" s="146">
        <v>94133092</v>
      </c>
      <c r="I346" s="215">
        <v>0</v>
      </c>
      <c r="J346" s="215">
        <v>0</v>
      </c>
      <c r="K346" s="215">
        <v>0</v>
      </c>
      <c r="L346" s="146">
        <v>94133092</v>
      </c>
    </row>
    <row r="347" spans="1:12" outlineLevel="2" x14ac:dyDescent="0.25">
      <c r="A347" s="40" t="s">
        <v>84</v>
      </c>
      <c r="B347" s="196" t="s">
        <v>127</v>
      </c>
      <c r="C347" s="3" t="s">
        <v>128</v>
      </c>
      <c r="D347" s="40">
        <v>166</v>
      </c>
      <c r="E347" s="146">
        <v>7441492</v>
      </c>
      <c r="F347" s="146">
        <v>5709338</v>
      </c>
      <c r="G347" s="213" t="s">
        <v>500</v>
      </c>
      <c r="H347" s="146">
        <v>1732154</v>
      </c>
      <c r="I347" s="215">
        <v>0</v>
      </c>
      <c r="J347" s="215">
        <v>0</v>
      </c>
      <c r="K347" s="215">
        <v>0</v>
      </c>
      <c r="L347" s="146">
        <v>1732154</v>
      </c>
    </row>
    <row r="348" spans="1:12" outlineLevel="2" x14ac:dyDescent="0.25">
      <c r="A348" s="40" t="s">
        <v>84</v>
      </c>
      <c r="B348" s="196" t="s">
        <v>318</v>
      </c>
      <c r="C348" s="3" t="s">
        <v>319</v>
      </c>
      <c r="D348" s="40">
        <v>268</v>
      </c>
      <c r="E348" s="146">
        <v>6645364</v>
      </c>
      <c r="F348" s="146">
        <v>4043416</v>
      </c>
      <c r="G348" s="213" t="s">
        <v>500</v>
      </c>
      <c r="H348" s="146">
        <v>2601948</v>
      </c>
      <c r="I348" s="215">
        <v>0</v>
      </c>
      <c r="J348" s="215">
        <v>0</v>
      </c>
      <c r="K348" s="215">
        <v>0</v>
      </c>
      <c r="L348" s="146">
        <v>2601948</v>
      </c>
    </row>
    <row r="349" spans="1:12" outlineLevel="2" x14ac:dyDescent="0.25">
      <c r="A349" s="40" t="s">
        <v>84</v>
      </c>
      <c r="B349" s="196" t="s">
        <v>133</v>
      </c>
      <c r="C349" s="3" t="s">
        <v>134</v>
      </c>
      <c r="D349" s="40">
        <v>32</v>
      </c>
      <c r="E349" s="146">
        <v>4523685</v>
      </c>
      <c r="F349" s="146">
        <v>4169933</v>
      </c>
      <c r="G349" s="213" t="s">
        <v>500</v>
      </c>
      <c r="H349" s="146">
        <v>353752</v>
      </c>
      <c r="I349" s="215">
        <v>0</v>
      </c>
      <c r="J349" s="215">
        <v>0</v>
      </c>
      <c r="K349" s="215">
        <v>0</v>
      </c>
      <c r="L349" s="146">
        <v>353752</v>
      </c>
    </row>
    <row r="350" spans="1:12" outlineLevel="2" x14ac:dyDescent="0.25">
      <c r="A350" s="40" t="s">
        <v>84</v>
      </c>
      <c r="B350" s="196" t="s">
        <v>336</v>
      </c>
      <c r="C350" s="3" t="s">
        <v>130</v>
      </c>
      <c r="D350" s="40">
        <v>230</v>
      </c>
      <c r="E350" s="146">
        <v>5839873</v>
      </c>
      <c r="F350" s="146">
        <v>5536750</v>
      </c>
      <c r="G350" s="213" t="s">
        <v>500</v>
      </c>
      <c r="H350" s="146">
        <v>303123</v>
      </c>
      <c r="I350" s="215">
        <v>0</v>
      </c>
      <c r="J350" s="215">
        <v>0</v>
      </c>
      <c r="K350" s="215">
        <v>0</v>
      </c>
      <c r="L350" s="146">
        <v>303123</v>
      </c>
    </row>
    <row r="351" spans="1:12" outlineLevel="2" x14ac:dyDescent="0.25">
      <c r="A351" s="40" t="s">
        <v>84</v>
      </c>
      <c r="B351" s="196" t="s">
        <v>320</v>
      </c>
      <c r="C351" s="3" t="s">
        <v>321</v>
      </c>
      <c r="D351" s="40">
        <v>148</v>
      </c>
      <c r="E351" s="146">
        <v>190413</v>
      </c>
      <c r="F351" s="146">
        <v>5416</v>
      </c>
      <c r="G351" s="213" t="s">
        <v>500</v>
      </c>
      <c r="H351" s="146">
        <v>184997</v>
      </c>
      <c r="I351" s="215">
        <v>0</v>
      </c>
      <c r="J351" s="215">
        <v>0</v>
      </c>
      <c r="K351" s="215">
        <v>0</v>
      </c>
      <c r="L351" s="146">
        <v>184997</v>
      </c>
    </row>
    <row r="352" spans="1:12" outlineLevel="2" x14ac:dyDescent="0.25">
      <c r="A352" s="40" t="s">
        <v>84</v>
      </c>
      <c r="B352" s="196" t="s">
        <v>135</v>
      </c>
      <c r="C352" s="3" t="s">
        <v>136</v>
      </c>
      <c r="D352" s="40">
        <v>153</v>
      </c>
      <c r="E352" s="146">
        <v>4617785</v>
      </c>
      <c r="F352" s="146">
        <v>3861580</v>
      </c>
      <c r="G352" s="213" t="s">
        <v>500</v>
      </c>
      <c r="H352" s="146">
        <v>756205</v>
      </c>
      <c r="I352" s="215">
        <v>0</v>
      </c>
      <c r="J352" s="215">
        <v>0</v>
      </c>
      <c r="K352" s="215">
        <v>0</v>
      </c>
      <c r="L352" s="146">
        <v>756205</v>
      </c>
    </row>
    <row r="353" spans="1:12" ht="15.6" customHeight="1" outlineLevel="2" x14ac:dyDescent="0.25">
      <c r="A353" s="40" t="s">
        <v>84</v>
      </c>
      <c r="B353" s="196" t="s">
        <v>137</v>
      </c>
      <c r="C353" s="3" t="s">
        <v>138</v>
      </c>
      <c r="D353" s="40">
        <v>155</v>
      </c>
      <c r="E353" s="146">
        <v>987871</v>
      </c>
      <c r="F353" s="146">
        <v>268064</v>
      </c>
      <c r="G353" s="213" t="s">
        <v>500</v>
      </c>
      <c r="H353" s="146">
        <v>719807</v>
      </c>
      <c r="I353" s="215">
        <v>0</v>
      </c>
      <c r="J353" s="215">
        <v>0</v>
      </c>
      <c r="K353" s="215">
        <v>0</v>
      </c>
      <c r="L353" s="146">
        <v>719807</v>
      </c>
    </row>
    <row r="354" spans="1:12" outlineLevel="2" x14ac:dyDescent="0.25">
      <c r="A354" s="40" t="s">
        <v>84</v>
      </c>
      <c r="B354" s="196" t="s">
        <v>219</v>
      </c>
      <c r="C354" s="3" t="s">
        <v>220</v>
      </c>
      <c r="D354" s="40">
        <v>42</v>
      </c>
      <c r="E354" s="146">
        <v>16152484</v>
      </c>
      <c r="F354" s="146">
        <v>13025656</v>
      </c>
      <c r="G354" s="213" t="s">
        <v>500</v>
      </c>
      <c r="H354" s="146">
        <v>3126828</v>
      </c>
      <c r="I354" s="215">
        <v>0</v>
      </c>
      <c r="J354" s="215">
        <v>0</v>
      </c>
      <c r="K354" s="215">
        <v>0</v>
      </c>
      <c r="L354" s="146">
        <v>3126828</v>
      </c>
    </row>
    <row r="355" spans="1:12" outlineLevel="2" x14ac:dyDescent="0.25">
      <c r="A355" s="40" t="s">
        <v>84</v>
      </c>
      <c r="B355" s="196" t="s">
        <v>141</v>
      </c>
      <c r="C355" s="3" t="s">
        <v>126</v>
      </c>
      <c r="D355" s="40">
        <v>48</v>
      </c>
      <c r="E355" s="146">
        <v>23711552</v>
      </c>
      <c r="F355" s="146">
        <v>20724878</v>
      </c>
      <c r="G355" s="213" t="s">
        <v>500</v>
      </c>
      <c r="H355" s="146">
        <v>2986674</v>
      </c>
      <c r="I355" s="215">
        <v>0</v>
      </c>
      <c r="J355" s="215">
        <v>0</v>
      </c>
      <c r="K355" s="215">
        <v>0</v>
      </c>
      <c r="L355" s="146">
        <v>2986674</v>
      </c>
    </row>
    <row r="356" spans="1:12" outlineLevel="2" x14ac:dyDescent="0.25">
      <c r="A356" s="40" t="s">
        <v>84</v>
      </c>
      <c r="B356" s="196" t="s">
        <v>210</v>
      </c>
      <c r="C356" s="3" t="s">
        <v>211</v>
      </c>
      <c r="D356" s="40">
        <v>218</v>
      </c>
      <c r="E356" s="146">
        <v>3581330</v>
      </c>
      <c r="F356" s="146">
        <v>2599910</v>
      </c>
      <c r="G356" s="213" t="s">
        <v>500</v>
      </c>
      <c r="H356" s="146">
        <v>981420</v>
      </c>
      <c r="I356" s="215">
        <v>0</v>
      </c>
      <c r="J356" s="215">
        <v>0</v>
      </c>
      <c r="K356" s="215">
        <v>0</v>
      </c>
      <c r="L356" s="146">
        <v>981420</v>
      </c>
    </row>
    <row r="357" spans="1:12" outlineLevel="2" x14ac:dyDescent="0.25">
      <c r="A357" s="40" t="s">
        <v>84</v>
      </c>
      <c r="B357" s="196" t="s">
        <v>144</v>
      </c>
      <c r="C357" s="3" t="s">
        <v>145</v>
      </c>
      <c r="D357" s="40">
        <v>350</v>
      </c>
      <c r="E357" s="146">
        <v>75583</v>
      </c>
      <c r="F357" s="146">
        <v>67957</v>
      </c>
      <c r="G357" s="213" t="s">
        <v>500</v>
      </c>
      <c r="H357" s="146">
        <v>7626</v>
      </c>
      <c r="I357" s="215">
        <v>0</v>
      </c>
      <c r="J357" s="215">
        <v>0</v>
      </c>
      <c r="K357" s="215">
        <v>0</v>
      </c>
      <c r="L357" s="146">
        <v>7626</v>
      </c>
    </row>
    <row r="358" spans="1:12" outlineLevel="2" x14ac:dyDescent="0.25">
      <c r="A358" s="40" t="s">
        <v>84</v>
      </c>
      <c r="B358" s="196" t="s">
        <v>350</v>
      </c>
      <c r="C358" s="3" t="s">
        <v>351</v>
      </c>
      <c r="D358" s="40">
        <v>195</v>
      </c>
      <c r="E358" s="146">
        <v>9000</v>
      </c>
      <c r="F358" s="146">
        <v>4735</v>
      </c>
      <c r="G358" s="213" t="s">
        <v>500</v>
      </c>
      <c r="H358" s="146">
        <v>4265</v>
      </c>
      <c r="I358" s="215">
        <v>0</v>
      </c>
      <c r="J358" s="215">
        <v>0</v>
      </c>
      <c r="K358" s="215">
        <v>0</v>
      </c>
      <c r="L358" s="146">
        <v>4265</v>
      </c>
    </row>
    <row r="359" spans="1:12" outlineLevel="2" x14ac:dyDescent="0.25">
      <c r="A359" s="40" t="s">
        <v>84</v>
      </c>
      <c r="B359" s="196" t="s">
        <v>146</v>
      </c>
      <c r="C359" s="3" t="s">
        <v>147</v>
      </c>
      <c r="D359" s="40">
        <v>173</v>
      </c>
      <c r="E359" s="146">
        <v>1547323</v>
      </c>
      <c r="F359" s="146">
        <v>1294523</v>
      </c>
      <c r="G359" s="213" t="s">
        <v>500</v>
      </c>
      <c r="H359" s="146">
        <v>252800</v>
      </c>
      <c r="I359" s="215">
        <v>0</v>
      </c>
      <c r="J359" s="215">
        <v>0</v>
      </c>
      <c r="K359" s="215">
        <v>0</v>
      </c>
      <c r="L359" s="146">
        <v>252800</v>
      </c>
    </row>
    <row r="360" spans="1:12" ht="15.6" customHeight="1" outlineLevel="2" x14ac:dyDescent="0.25">
      <c r="A360" s="40" t="s">
        <v>84</v>
      </c>
      <c r="B360" s="196" t="s">
        <v>341</v>
      </c>
      <c r="C360" s="3" t="s">
        <v>342</v>
      </c>
      <c r="D360" s="40">
        <v>304</v>
      </c>
      <c r="E360" s="146">
        <v>201323</v>
      </c>
      <c r="F360" s="146">
        <v>12323</v>
      </c>
      <c r="G360" s="213" t="s">
        <v>500</v>
      </c>
      <c r="H360" s="146">
        <v>189000</v>
      </c>
      <c r="I360" s="215">
        <v>0</v>
      </c>
      <c r="J360" s="215">
        <v>0</v>
      </c>
      <c r="K360" s="215">
        <v>0</v>
      </c>
      <c r="L360" s="146">
        <v>189000</v>
      </c>
    </row>
    <row r="361" spans="1:12" ht="45.75" outlineLevel="2" x14ac:dyDescent="0.25">
      <c r="A361" s="40" t="s">
        <v>84</v>
      </c>
      <c r="B361" s="196" t="s">
        <v>343</v>
      </c>
      <c r="C361" s="3" t="s">
        <v>344</v>
      </c>
      <c r="D361" s="40">
        <v>329</v>
      </c>
      <c r="E361" s="146">
        <v>1485859</v>
      </c>
      <c r="F361" s="146">
        <v>1185110</v>
      </c>
      <c r="G361" s="213" t="s">
        <v>500</v>
      </c>
      <c r="H361" s="146">
        <v>300749</v>
      </c>
      <c r="I361" s="215">
        <v>0</v>
      </c>
      <c r="J361" s="215">
        <v>0</v>
      </c>
      <c r="K361" s="215">
        <v>0</v>
      </c>
      <c r="L361" s="146">
        <v>300749</v>
      </c>
    </row>
    <row r="362" spans="1:12" ht="30.95" customHeight="1" outlineLevel="2" x14ac:dyDescent="0.25">
      <c r="A362" s="40" t="s">
        <v>84</v>
      </c>
      <c r="B362" s="196" t="s">
        <v>311</v>
      </c>
      <c r="C362" s="3" t="s">
        <v>312</v>
      </c>
      <c r="D362" s="40">
        <v>261</v>
      </c>
      <c r="E362" s="146">
        <v>790823</v>
      </c>
      <c r="F362" s="146">
        <v>738103</v>
      </c>
      <c r="G362" s="213" t="s">
        <v>500</v>
      </c>
      <c r="H362" s="146">
        <v>52720</v>
      </c>
      <c r="I362" s="215">
        <v>0</v>
      </c>
      <c r="J362" s="215">
        <v>0</v>
      </c>
      <c r="K362" s="215">
        <v>0</v>
      </c>
      <c r="L362" s="146">
        <v>52720</v>
      </c>
    </row>
    <row r="363" spans="1:12" outlineLevel="2" x14ac:dyDescent="0.25">
      <c r="A363" s="40" t="s">
        <v>84</v>
      </c>
      <c r="B363" s="196" t="s">
        <v>148</v>
      </c>
      <c r="C363" s="3" t="s">
        <v>149</v>
      </c>
      <c r="D363" s="40">
        <v>244</v>
      </c>
      <c r="E363" s="146">
        <v>1888836</v>
      </c>
      <c r="F363" s="146">
        <v>1773230</v>
      </c>
      <c r="G363" s="213" t="s">
        <v>500</v>
      </c>
      <c r="H363" s="146">
        <v>115606</v>
      </c>
      <c r="I363" s="215">
        <v>0</v>
      </c>
      <c r="J363" s="215">
        <v>0</v>
      </c>
      <c r="K363" s="215">
        <v>0</v>
      </c>
      <c r="L363" s="146">
        <v>115606</v>
      </c>
    </row>
    <row r="364" spans="1:12" outlineLevel="2" x14ac:dyDescent="0.25">
      <c r="A364" s="40" t="s">
        <v>84</v>
      </c>
      <c r="B364" s="196" t="s">
        <v>322</v>
      </c>
      <c r="C364" s="3" t="s">
        <v>126</v>
      </c>
      <c r="D364" s="40">
        <v>280</v>
      </c>
      <c r="E364" s="146">
        <v>119811</v>
      </c>
      <c r="F364" s="146">
        <v>29250</v>
      </c>
      <c r="G364" s="213" t="s">
        <v>500</v>
      </c>
      <c r="H364" s="146">
        <v>90561</v>
      </c>
      <c r="I364" s="215">
        <v>0</v>
      </c>
      <c r="J364" s="215">
        <v>0</v>
      </c>
      <c r="K364" s="215">
        <v>0</v>
      </c>
      <c r="L364" s="146">
        <v>90561</v>
      </c>
    </row>
    <row r="365" spans="1:12" ht="30.75" outlineLevel="2" x14ac:dyDescent="0.25">
      <c r="A365" s="40" t="s">
        <v>84</v>
      </c>
      <c r="B365" s="196" t="s">
        <v>345</v>
      </c>
      <c r="C365" s="3" t="s">
        <v>112</v>
      </c>
      <c r="D365" s="40">
        <v>176</v>
      </c>
      <c r="E365" s="146">
        <v>4838148</v>
      </c>
      <c r="F365" s="146">
        <v>3627093</v>
      </c>
      <c r="G365" s="213" t="s">
        <v>500</v>
      </c>
      <c r="H365" s="146">
        <v>1211055</v>
      </c>
      <c r="I365" s="215">
        <v>0</v>
      </c>
      <c r="J365" s="215">
        <v>0</v>
      </c>
      <c r="K365" s="215">
        <v>0</v>
      </c>
      <c r="L365" s="146">
        <v>1211055</v>
      </c>
    </row>
    <row r="366" spans="1:12" ht="14.45" customHeight="1" outlineLevel="2" x14ac:dyDescent="0.25">
      <c r="A366" s="40" t="s">
        <v>84</v>
      </c>
      <c r="B366" s="196" t="s">
        <v>352</v>
      </c>
      <c r="C366" s="3" t="s">
        <v>353</v>
      </c>
      <c r="D366" s="40">
        <v>57</v>
      </c>
      <c r="E366" s="146">
        <v>108771</v>
      </c>
      <c r="F366" s="146">
        <v>62375</v>
      </c>
      <c r="G366" s="213" t="s">
        <v>500</v>
      </c>
      <c r="H366" s="146">
        <v>46396</v>
      </c>
      <c r="I366" s="215">
        <v>0</v>
      </c>
      <c r="J366" s="215">
        <v>0</v>
      </c>
      <c r="K366" s="215">
        <v>0</v>
      </c>
      <c r="L366" s="146">
        <v>46396</v>
      </c>
    </row>
    <row r="367" spans="1:12" outlineLevel="1" x14ac:dyDescent="0.25">
      <c r="A367" s="40" t="s">
        <v>84</v>
      </c>
      <c r="B367" s="196" t="s">
        <v>150</v>
      </c>
      <c r="C367" s="3" t="s">
        <v>151</v>
      </c>
      <c r="D367" s="40">
        <v>171</v>
      </c>
      <c r="E367" s="146">
        <v>2690215</v>
      </c>
      <c r="F367" s="146">
        <v>2201763</v>
      </c>
      <c r="G367" s="213" t="s">
        <v>500</v>
      </c>
      <c r="H367" s="146">
        <v>488452</v>
      </c>
      <c r="I367" s="215">
        <v>0</v>
      </c>
      <c r="J367" s="215">
        <v>0</v>
      </c>
      <c r="K367" s="215">
        <v>0</v>
      </c>
      <c r="L367" s="146">
        <v>488452</v>
      </c>
    </row>
    <row r="368" spans="1:12" ht="45.75" outlineLevel="2" x14ac:dyDescent="0.25">
      <c r="A368" s="40" t="s">
        <v>84</v>
      </c>
      <c r="B368" s="196" t="s">
        <v>152</v>
      </c>
      <c r="C368" s="3" t="s">
        <v>149</v>
      </c>
      <c r="D368" s="40">
        <v>258</v>
      </c>
      <c r="E368" s="146">
        <v>3264325</v>
      </c>
      <c r="F368" s="146">
        <v>2074791</v>
      </c>
      <c r="G368" s="213" t="s">
        <v>500</v>
      </c>
      <c r="H368" s="146">
        <v>1189534</v>
      </c>
      <c r="I368" s="215">
        <v>0</v>
      </c>
      <c r="J368" s="215">
        <v>0</v>
      </c>
      <c r="K368" s="215">
        <v>0</v>
      </c>
      <c r="L368" s="146">
        <v>1189534</v>
      </c>
    </row>
    <row r="369" spans="1:12" outlineLevel="2" x14ac:dyDescent="0.25">
      <c r="A369" s="40" t="s">
        <v>84</v>
      </c>
      <c r="B369" s="196" t="s">
        <v>323</v>
      </c>
      <c r="C369" s="3" t="s">
        <v>324</v>
      </c>
      <c r="D369" s="40">
        <v>228</v>
      </c>
      <c r="E369" s="146">
        <v>7405</v>
      </c>
      <c r="F369" s="146">
        <v>3652</v>
      </c>
      <c r="G369" s="213" t="s">
        <v>500</v>
      </c>
      <c r="H369" s="146">
        <v>3753</v>
      </c>
      <c r="I369" s="215">
        <v>0</v>
      </c>
      <c r="J369" s="215">
        <v>0</v>
      </c>
      <c r="K369" s="215">
        <v>0</v>
      </c>
      <c r="L369" s="146">
        <v>3753</v>
      </c>
    </row>
    <row r="370" spans="1:12" outlineLevel="2" x14ac:dyDescent="0.25">
      <c r="A370" s="40" t="s">
        <v>84</v>
      </c>
      <c r="B370" s="196" t="s">
        <v>354</v>
      </c>
      <c r="C370" s="3" t="s">
        <v>355</v>
      </c>
      <c r="D370" s="40">
        <v>58</v>
      </c>
      <c r="E370" s="146">
        <v>205106</v>
      </c>
      <c r="F370" s="146">
        <v>197875</v>
      </c>
      <c r="G370" s="213" t="s">
        <v>500</v>
      </c>
      <c r="H370" s="146">
        <v>7231</v>
      </c>
      <c r="I370" s="215">
        <v>0</v>
      </c>
      <c r="J370" s="215">
        <v>0</v>
      </c>
      <c r="K370" s="215">
        <v>0</v>
      </c>
      <c r="L370" s="146">
        <v>7231</v>
      </c>
    </row>
    <row r="371" spans="1:12" outlineLevel="2" x14ac:dyDescent="0.25">
      <c r="A371" s="40" t="s">
        <v>84</v>
      </c>
      <c r="B371" s="196" t="s">
        <v>325</v>
      </c>
      <c r="C371" s="3" t="s">
        <v>326</v>
      </c>
      <c r="D371" s="40">
        <v>308</v>
      </c>
      <c r="E371" s="146">
        <v>242733</v>
      </c>
      <c r="F371" s="146">
        <v>87061</v>
      </c>
      <c r="G371" s="213" t="s">
        <v>500</v>
      </c>
      <c r="H371" s="146">
        <v>155672</v>
      </c>
      <c r="I371" s="215">
        <v>0</v>
      </c>
      <c r="J371" s="215">
        <v>0</v>
      </c>
      <c r="K371" s="215">
        <v>0</v>
      </c>
      <c r="L371" s="146">
        <v>155672</v>
      </c>
    </row>
    <row r="372" spans="1:12" outlineLevel="2" x14ac:dyDescent="0.25">
      <c r="A372" s="40" t="s">
        <v>84</v>
      </c>
      <c r="B372" s="196" t="s">
        <v>153</v>
      </c>
      <c r="C372" s="3" t="s">
        <v>126</v>
      </c>
      <c r="D372" s="40">
        <v>260</v>
      </c>
      <c r="E372" s="146">
        <v>17524560</v>
      </c>
      <c r="F372" s="146">
        <v>14643538</v>
      </c>
      <c r="G372" s="213" t="s">
        <v>500</v>
      </c>
      <c r="H372" s="146">
        <v>2881022</v>
      </c>
      <c r="I372" s="215">
        <v>0</v>
      </c>
      <c r="J372" s="215">
        <v>0</v>
      </c>
      <c r="K372" s="215">
        <v>0</v>
      </c>
      <c r="L372" s="146">
        <v>2881022</v>
      </c>
    </row>
    <row r="373" spans="1:12" outlineLevel="2" x14ac:dyDescent="0.25">
      <c r="A373" s="40" t="s">
        <v>84</v>
      </c>
      <c r="B373" s="196" t="s">
        <v>180</v>
      </c>
      <c r="C373" s="3" t="s">
        <v>181</v>
      </c>
      <c r="D373" s="40">
        <v>346</v>
      </c>
      <c r="E373" s="146">
        <v>32108</v>
      </c>
      <c r="F373" s="146">
        <v>16987</v>
      </c>
      <c r="G373" s="213" t="s">
        <v>500</v>
      </c>
      <c r="H373" s="146">
        <v>15121</v>
      </c>
      <c r="I373" s="215">
        <v>0</v>
      </c>
      <c r="J373" s="215">
        <v>0</v>
      </c>
      <c r="K373" s="215">
        <v>0</v>
      </c>
      <c r="L373" s="146">
        <v>15121</v>
      </c>
    </row>
    <row r="374" spans="1:12" ht="15.6" customHeight="1" outlineLevel="2" x14ac:dyDescent="0.25">
      <c r="A374" s="40" t="s">
        <v>84</v>
      </c>
      <c r="B374" s="196" t="s">
        <v>156</v>
      </c>
      <c r="C374" s="3" t="s">
        <v>157</v>
      </c>
      <c r="D374" s="40">
        <v>351</v>
      </c>
      <c r="E374" s="146">
        <v>122036</v>
      </c>
      <c r="F374" s="146">
        <v>112462</v>
      </c>
      <c r="G374" s="213" t="s">
        <v>500</v>
      </c>
      <c r="H374" s="146">
        <v>9574</v>
      </c>
      <c r="I374" s="215">
        <v>0</v>
      </c>
      <c r="J374" s="215">
        <v>0</v>
      </c>
      <c r="K374" s="215">
        <v>0</v>
      </c>
      <c r="L374" s="146">
        <v>9574</v>
      </c>
    </row>
    <row r="375" spans="1:12" outlineLevel="2" x14ac:dyDescent="0.25">
      <c r="A375" s="216" t="s">
        <v>223</v>
      </c>
      <c r="B375" s="184" t="s">
        <v>500</v>
      </c>
      <c r="C375" s="74" t="s">
        <v>500</v>
      </c>
      <c r="D375" s="180" t="s">
        <v>500</v>
      </c>
      <c r="E375" s="78">
        <f>SUBTOTAL(109,school201011[Program
Costs])</f>
        <v>426537951</v>
      </c>
      <c r="F375" s="78">
        <f>SUBTOTAL(109,school201011[Less: Net Payments and Offsets 10])</f>
        <v>301477254</v>
      </c>
      <c r="G375" s="74" t="s">
        <v>500</v>
      </c>
      <c r="H375" s="78">
        <f>SUBTOTAL(109,school201011[Accounts Payable
Balance])</f>
        <v>125060697</v>
      </c>
      <c r="I375" s="179">
        <f>SUBTOTAL(109,school201011[Established
Accounts Receivable])</f>
        <v>0</v>
      </c>
      <c r="J375" s="179">
        <f>SUBTOTAL(109,school201011[Less: Recovered Amount])</f>
        <v>0</v>
      </c>
      <c r="K375" s="179">
        <f>SUBTOTAL(109,school201011[Accounts Receivable
Balance])</f>
        <v>0</v>
      </c>
      <c r="L375" s="78">
        <f>SUBTOTAL(109,school201011[Net
Balance])</f>
        <v>125060697</v>
      </c>
    </row>
    <row r="376" spans="1:12" s="3" customFormat="1" ht="15" outlineLevel="2" x14ac:dyDescent="0.2">
      <c r="A376" s="214" t="s">
        <v>508</v>
      </c>
      <c r="B376" s="196"/>
      <c r="D376" s="40"/>
      <c r="E376" s="146"/>
      <c r="F376" s="146"/>
      <c r="G376" s="146"/>
      <c r="H376" s="146"/>
      <c r="I376" s="146"/>
      <c r="J376" s="146"/>
      <c r="K376" s="146"/>
      <c r="L376" s="146"/>
    </row>
    <row r="377" spans="1:12" ht="50.1" customHeight="1" outlineLevel="2" x14ac:dyDescent="0.25">
      <c r="A377" s="204" t="s">
        <v>98</v>
      </c>
      <c r="B377" s="204" t="s">
        <v>99</v>
      </c>
      <c r="C377" s="176" t="s">
        <v>1</v>
      </c>
      <c r="D377" s="204" t="s">
        <v>195</v>
      </c>
      <c r="E377" s="238" t="s">
        <v>188</v>
      </c>
      <c r="F377" s="239" t="s">
        <v>533</v>
      </c>
      <c r="G377" s="212" t="s">
        <v>532</v>
      </c>
      <c r="H377" s="210" t="s">
        <v>528</v>
      </c>
      <c r="I377" s="210" t="s">
        <v>529</v>
      </c>
      <c r="J377" s="238" t="s">
        <v>197</v>
      </c>
      <c r="K377" s="210" t="s">
        <v>530</v>
      </c>
      <c r="L377" s="238" t="s">
        <v>196</v>
      </c>
    </row>
    <row r="378" spans="1:12" outlineLevel="2" x14ac:dyDescent="0.25">
      <c r="A378" s="40" t="s">
        <v>87</v>
      </c>
      <c r="B378" s="196" t="s">
        <v>313</v>
      </c>
      <c r="C378" s="3" t="s">
        <v>314</v>
      </c>
      <c r="D378" s="40">
        <v>305</v>
      </c>
      <c r="E378" s="146">
        <v>163684</v>
      </c>
      <c r="F378" s="146">
        <v>121828</v>
      </c>
      <c r="G378" s="213" t="s">
        <v>500</v>
      </c>
      <c r="H378" s="146">
        <v>41856</v>
      </c>
      <c r="I378" s="215">
        <v>0</v>
      </c>
      <c r="J378" s="215">
        <v>0</v>
      </c>
      <c r="K378" s="215">
        <v>0</v>
      </c>
      <c r="L378" s="146">
        <v>41856</v>
      </c>
    </row>
    <row r="379" spans="1:12" outlineLevel="2" x14ac:dyDescent="0.25">
      <c r="A379" s="40" t="s">
        <v>87</v>
      </c>
      <c r="B379" s="196" t="s">
        <v>346</v>
      </c>
      <c r="C379" s="3" t="s">
        <v>347</v>
      </c>
      <c r="D379" s="40">
        <v>269</v>
      </c>
      <c r="E379" s="146">
        <v>12470</v>
      </c>
      <c r="F379" s="146">
        <v>9355</v>
      </c>
      <c r="G379" s="213" t="s">
        <v>500</v>
      </c>
      <c r="H379" s="146">
        <v>3115</v>
      </c>
      <c r="I379" s="215">
        <v>0</v>
      </c>
      <c r="J379" s="215">
        <v>0</v>
      </c>
      <c r="K379" s="215">
        <v>0</v>
      </c>
      <c r="L379" s="146">
        <v>3115</v>
      </c>
    </row>
    <row r="380" spans="1:12" ht="30.95" customHeight="1" outlineLevel="2" x14ac:dyDescent="0.25">
      <c r="A380" s="40" t="s">
        <v>87</v>
      </c>
      <c r="B380" s="196" t="s">
        <v>101</v>
      </c>
      <c r="C380" s="3" t="s">
        <v>102</v>
      </c>
      <c r="D380" s="40">
        <v>250</v>
      </c>
      <c r="E380" s="146">
        <v>1382752</v>
      </c>
      <c r="F380" s="146">
        <v>1354624</v>
      </c>
      <c r="G380" s="213" t="s">
        <v>500</v>
      </c>
      <c r="H380" s="146">
        <v>28128</v>
      </c>
      <c r="I380" s="215">
        <v>0</v>
      </c>
      <c r="J380" s="215">
        <v>0</v>
      </c>
      <c r="K380" s="215">
        <v>0</v>
      </c>
      <c r="L380" s="146">
        <v>28128</v>
      </c>
    </row>
    <row r="381" spans="1:12" ht="30.75" outlineLevel="2" x14ac:dyDescent="0.25">
      <c r="A381" s="40" t="s">
        <v>87</v>
      </c>
      <c r="B381" s="196" t="s">
        <v>340</v>
      </c>
      <c r="C381" s="3" t="s">
        <v>335</v>
      </c>
      <c r="D381" s="40">
        <v>348</v>
      </c>
      <c r="E381" s="146">
        <v>54274890</v>
      </c>
      <c r="F381" s="146">
        <v>43186728</v>
      </c>
      <c r="G381" s="213" t="s">
        <v>500</v>
      </c>
      <c r="H381" s="146">
        <v>11088162</v>
      </c>
      <c r="I381" s="215">
        <v>0</v>
      </c>
      <c r="J381" s="215">
        <v>0</v>
      </c>
      <c r="K381" s="215">
        <v>0</v>
      </c>
      <c r="L381" s="146">
        <v>11088162</v>
      </c>
    </row>
    <row r="382" spans="1:12" outlineLevel="2" x14ac:dyDescent="0.25">
      <c r="A382" s="40" t="s">
        <v>87</v>
      </c>
      <c r="B382" s="196" t="s">
        <v>327</v>
      </c>
      <c r="C382" s="3" t="s">
        <v>174</v>
      </c>
      <c r="D382" s="40">
        <v>354</v>
      </c>
      <c r="E382" s="146">
        <v>49027</v>
      </c>
      <c r="F382" s="146">
        <v>43176</v>
      </c>
      <c r="G382" s="213" t="s">
        <v>500</v>
      </c>
      <c r="H382" s="146">
        <v>5851</v>
      </c>
      <c r="I382" s="215">
        <v>0</v>
      </c>
      <c r="J382" s="215">
        <v>0</v>
      </c>
      <c r="K382" s="215">
        <v>0</v>
      </c>
      <c r="L382" s="146">
        <v>5851</v>
      </c>
    </row>
    <row r="383" spans="1:12" outlineLevel="2" x14ac:dyDescent="0.25">
      <c r="A383" s="40" t="s">
        <v>87</v>
      </c>
      <c r="B383" s="196" t="s">
        <v>309</v>
      </c>
      <c r="C383" s="3" t="s">
        <v>310</v>
      </c>
      <c r="D383" s="40">
        <v>278</v>
      </c>
      <c r="E383" s="146">
        <v>1945612</v>
      </c>
      <c r="F383" s="146">
        <v>1771159</v>
      </c>
      <c r="G383" s="213" t="s">
        <v>500</v>
      </c>
      <c r="H383" s="146">
        <v>174453</v>
      </c>
      <c r="I383" s="215">
        <v>0</v>
      </c>
      <c r="J383" s="215">
        <v>0</v>
      </c>
      <c r="K383" s="215">
        <v>0</v>
      </c>
      <c r="L383" s="146">
        <v>174453</v>
      </c>
    </row>
    <row r="384" spans="1:12" outlineLevel="2" x14ac:dyDescent="0.25">
      <c r="A384" s="40" t="s">
        <v>87</v>
      </c>
      <c r="B384" s="196" t="s">
        <v>315</v>
      </c>
      <c r="C384" s="3" t="s">
        <v>316</v>
      </c>
      <c r="D384" s="40">
        <v>309</v>
      </c>
      <c r="E384" s="146">
        <v>10638</v>
      </c>
      <c r="F384" s="146">
        <v>1061</v>
      </c>
      <c r="G384" s="213" t="s">
        <v>500</v>
      </c>
      <c r="H384" s="146">
        <v>9577</v>
      </c>
      <c r="I384" s="215">
        <v>0</v>
      </c>
      <c r="J384" s="215">
        <v>0</v>
      </c>
      <c r="K384" s="215">
        <v>0</v>
      </c>
      <c r="L384" s="146">
        <v>9577</v>
      </c>
    </row>
    <row r="385" spans="1:12" ht="30.75" outlineLevel="2" x14ac:dyDescent="0.25">
      <c r="A385" s="40" t="s">
        <v>87</v>
      </c>
      <c r="B385" s="196" t="s">
        <v>115</v>
      </c>
      <c r="C385" s="3" t="s">
        <v>116</v>
      </c>
      <c r="D385" s="40">
        <v>11</v>
      </c>
      <c r="E385" s="146">
        <v>21146549</v>
      </c>
      <c r="F385" s="146">
        <v>17942274</v>
      </c>
      <c r="G385" s="213" t="s">
        <v>500</v>
      </c>
      <c r="H385" s="146">
        <v>3204275</v>
      </c>
      <c r="I385" s="146">
        <v>6116</v>
      </c>
      <c r="J385" s="146">
        <v>2133</v>
      </c>
      <c r="K385" s="146">
        <v>3983</v>
      </c>
      <c r="L385" s="146">
        <v>3200292</v>
      </c>
    </row>
    <row r="386" spans="1:12" ht="15.6" customHeight="1" outlineLevel="2" x14ac:dyDescent="0.25">
      <c r="A386" s="40" t="s">
        <v>87</v>
      </c>
      <c r="B386" s="196" t="s">
        <v>117</v>
      </c>
      <c r="C386" s="3" t="s">
        <v>118</v>
      </c>
      <c r="D386" s="40">
        <v>313</v>
      </c>
      <c r="E386" s="146">
        <v>3339644</v>
      </c>
      <c r="F386" s="146">
        <v>3296121</v>
      </c>
      <c r="G386" s="213" t="s">
        <v>500</v>
      </c>
      <c r="H386" s="146">
        <v>43523</v>
      </c>
      <c r="I386" s="215">
        <v>0</v>
      </c>
      <c r="J386" s="215">
        <v>0</v>
      </c>
      <c r="K386" s="215">
        <v>0</v>
      </c>
      <c r="L386" s="146">
        <v>43523</v>
      </c>
    </row>
    <row r="387" spans="1:12" ht="45.75" outlineLevel="2" x14ac:dyDescent="0.25">
      <c r="A387" s="40" t="s">
        <v>87</v>
      </c>
      <c r="B387" s="196" t="s">
        <v>103</v>
      </c>
      <c r="C387" s="3" t="s">
        <v>104</v>
      </c>
      <c r="D387" s="40">
        <v>272</v>
      </c>
      <c r="E387" s="146">
        <v>9245785</v>
      </c>
      <c r="F387" s="146">
        <v>9214618</v>
      </c>
      <c r="G387" s="213" t="s">
        <v>500</v>
      </c>
      <c r="H387" s="146">
        <v>31167</v>
      </c>
      <c r="I387" s="215">
        <v>0</v>
      </c>
      <c r="J387" s="215">
        <v>0</v>
      </c>
      <c r="K387" s="215">
        <v>0</v>
      </c>
      <c r="L387" s="146">
        <v>31167</v>
      </c>
    </row>
    <row r="388" spans="1:12" ht="45.75" outlineLevel="2" x14ac:dyDescent="0.25">
      <c r="A388" s="40" t="s">
        <v>87</v>
      </c>
      <c r="B388" s="196" t="s">
        <v>139</v>
      </c>
      <c r="C388" s="3" t="s">
        <v>140</v>
      </c>
      <c r="D388" s="40">
        <v>276</v>
      </c>
      <c r="E388" s="146">
        <v>824608</v>
      </c>
      <c r="F388" s="146">
        <v>616600</v>
      </c>
      <c r="G388" s="213" t="s">
        <v>500</v>
      </c>
      <c r="H388" s="146">
        <v>208008</v>
      </c>
      <c r="I388" s="215">
        <v>0</v>
      </c>
      <c r="J388" s="215">
        <v>0</v>
      </c>
      <c r="K388" s="215">
        <v>0</v>
      </c>
      <c r="L388" s="146">
        <v>208008</v>
      </c>
    </row>
    <row r="389" spans="1:12" ht="78" customHeight="1" outlineLevel="2" x14ac:dyDescent="0.25">
      <c r="A389" s="40" t="s">
        <v>87</v>
      </c>
      <c r="B389" s="196" t="s">
        <v>142</v>
      </c>
      <c r="C389" s="3" t="s">
        <v>143</v>
      </c>
      <c r="D389" s="40">
        <v>292</v>
      </c>
      <c r="E389" s="146">
        <v>8776032</v>
      </c>
      <c r="F389" s="146">
        <v>8520670</v>
      </c>
      <c r="G389" s="213" t="s">
        <v>500</v>
      </c>
      <c r="H389" s="146">
        <v>255362</v>
      </c>
      <c r="I389" s="146">
        <v>33477</v>
      </c>
      <c r="J389" s="146">
        <v>11081</v>
      </c>
      <c r="K389" s="146">
        <v>22396</v>
      </c>
      <c r="L389" s="146">
        <v>232966</v>
      </c>
    </row>
    <row r="390" spans="1:12" ht="30.75" outlineLevel="2" x14ac:dyDescent="0.25">
      <c r="A390" s="40" t="s">
        <v>87</v>
      </c>
      <c r="B390" s="196" t="s">
        <v>113</v>
      </c>
      <c r="C390" s="3" t="s">
        <v>114</v>
      </c>
      <c r="D390" s="40">
        <v>209</v>
      </c>
      <c r="E390" s="146">
        <v>337987</v>
      </c>
      <c r="F390" s="146">
        <v>316188</v>
      </c>
      <c r="G390" s="213" t="s">
        <v>500</v>
      </c>
      <c r="H390" s="146">
        <v>21799</v>
      </c>
      <c r="I390" s="215">
        <v>0</v>
      </c>
      <c r="J390" s="215">
        <v>0</v>
      </c>
      <c r="K390" s="215">
        <v>0</v>
      </c>
      <c r="L390" s="146">
        <v>21799</v>
      </c>
    </row>
    <row r="391" spans="1:12" outlineLevel="2" x14ac:dyDescent="0.25">
      <c r="A391" s="40" t="s">
        <v>87</v>
      </c>
      <c r="B391" s="196" t="s">
        <v>119</v>
      </c>
      <c r="C391" s="3" t="s">
        <v>120</v>
      </c>
      <c r="D391" s="40">
        <v>183</v>
      </c>
      <c r="E391" s="146">
        <v>444298</v>
      </c>
      <c r="F391" s="146">
        <v>442546</v>
      </c>
      <c r="G391" s="213" t="s">
        <v>500</v>
      </c>
      <c r="H391" s="146">
        <v>1752</v>
      </c>
      <c r="I391" s="215">
        <v>0</v>
      </c>
      <c r="J391" s="215">
        <v>0</v>
      </c>
      <c r="K391" s="215">
        <v>0</v>
      </c>
      <c r="L391" s="146">
        <v>1752</v>
      </c>
    </row>
    <row r="392" spans="1:12" outlineLevel="2" x14ac:dyDescent="0.25">
      <c r="A392" s="40" t="s">
        <v>87</v>
      </c>
      <c r="B392" s="196" t="s">
        <v>121</v>
      </c>
      <c r="C392" s="3" t="s">
        <v>122</v>
      </c>
      <c r="D392" s="40">
        <v>251</v>
      </c>
      <c r="E392" s="146">
        <v>382165</v>
      </c>
      <c r="F392" s="146">
        <v>323806</v>
      </c>
      <c r="G392" s="213" t="s">
        <v>500</v>
      </c>
      <c r="H392" s="146">
        <v>58359</v>
      </c>
      <c r="I392" s="215">
        <v>0</v>
      </c>
      <c r="J392" s="215">
        <v>0</v>
      </c>
      <c r="K392" s="215">
        <v>0</v>
      </c>
      <c r="L392" s="146">
        <v>58359</v>
      </c>
    </row>
    <row r="393" spans="1:12" outlineLevel="2" x14ac:dyDescent="0.25">
      <c r="A393" s="40" t="s">
        <v>87</v>
      </c>
      <c r="B393" s="196" t="s">
        <v>348</v>
      </c>
      <c r="C393" s="3" t="s">
        <v>349</v>
      </c>
      <c r="D393" s="40">
        <v>333</v>
      </c>
      <c r="E393" s="146">
        <v>65793</v>
      </c>
      <c r="F393" s="146">
        <v>47649</v>
      </c>
      <c r="G393" s="213" t="s">
        <v>500</v>
      </c>
      <c r="H393" s="146">
        <v>18144</v>
      </c>
      <c r="I393" s="215">
        <v>0</v>
      </c>
      <c r="J393" s="215">
        <v>0</v>
      </c>
      <c r="K393" s="215">
        <v>0</v>
      </c>
      <c r="L393" s="146">
        <v>18144</v>
      </c>
    </row>
    <row r="394" spans="1:12" ht="30.75" outlineLevel="2" x14ac:dyDescent="0.25">
      <c r="A394" s="40" t="s">
        <v>87</v>
      </c>
      <c r="B394" s="196" t="s">
        <v>317</v>
      </c>
      <c r="C394" s="3" t="s">
        <v>112</v>
      </c>
      <c r="D394" s="40">
        <v>91</v>
      </c>
      <c r="E394" s="146">
        <v>12754</v>
      </c>
      <c r="F394" s="146">
        <v>10819</v>
      </c>
      <c r="G394" s="213" t="s">
        <v>500</v>
      </c>
      <c r="H394" s="146">
        <v>1935</v>
      </c>
      <c r="I394" s="215">
        <v>0</v>
      </c>
      <c r="J394" s="215">
        <v>0</v>
      </c>
      <c r="K394" s="215">
        <v>0</v>
      </c>
      <c r="L394" s="146">
        <v>1935</v>
      </c>
    </row>
    <row r="395" spans="1:12" ht="30.75" outlineLevel="2" x14ac:dyDescent="0.25">
      <c r="A395" s="40" t="s">
        <v>87</v>
      </c>
      <c r="B395" s="196" t="s">
        <v>125</v>
      </c>
      <c r="C395" s="3" t="s">
        <v>126</v>
      </c>
      <c r="D395" s="40">
        <v>297</v>
      </c>
      <c r="E395" s="146">
        <v>256893924</v>
      </c>
      <c r="F395" s="146">
        <v>175216847</v>
      </c>
      <c r="G395" s="213" t="s">
        <v>500</v>
      </c>
      <c r="H395" s="146">
        <v>81677077</v>
      </c>
      <c r="I395" s="215">
        <v>0</v>
      </c>
      <c r="J395" s="215">
        <v>0</v>
      </c>
      <c r="K395" s="215">
        <v>0</v>
      </c>
      <c r="L395" s="146">
        <v>81677077</v>
      </c>
    </row>
    <row r="396" spans="1:12" outlineLevel="2" x14ac:dyDescent="0.25">
      <c r="A396" s="40" t="s">
        <v>87</v>
      </c>
      <c r="B396" s="196" t="s">
        <v>127</v>
      </c>
      <c r="C396" s="3" t="s">
        <v>128</v>
      </c>
      <c r="D396" s="40">
        <v>166</v>
      </c>
      <c r="E396" s="146">
        <v>8133459</v>
      </c>
      <c r="F396" s="146">
        <v>7007725</v>
      </c>
      <c r="G396" s="213" t="s">
        <v>500</v>
      </c>
      <c r="H396" s="146">
        <v>1125734</v>
      </c>
      <c r="I396" s="215">
        <v>0</v>
      </c>
      <c r="J396" s="215">
        <v>0</v>
      </c>
      <c r="K396" s="215">
        <v>0</v>
      </c>
      <c r="L396" s="146">
        <v>1125734</v>
      </c>
    </row>
    <row r="397" spans="1:12" outlineLevel="2" x14ac:dyDescent="0.25">
      <c r="A397" s="40" t="s">
        <v>87</v>
      </c>
      <c r="B397" s="196" t="s">
        <v>318</v>
      </c>
      <c r="C397" s="3" t="s">
        <v>319</v>
      </c>
      <c r="D397" s="40">
        <v>268</v>
      </c>
      <c r="E397" s="146">
        <v>7419164</v>
      </c>
      <c r="F397" s="146">
        <v>6754707</v>
      </c>
      <c r="G397" s="213" t="s">
        <v>500</v>
      </c>
      <c r="H397" s="146">
        <v>664457</v>
      </c>
      <c r="I397" s="215">
        <v>0</v>
      </c>
      <c r="J397" s="215">
        <v>0</v>
      </c>
      <c r="K397" s="215">
        <v>0</v>
      </c>
      <c r="L397" s="146">
        <v>664457</v>
      </c>
    </row>
    <row r="398" spans="1:12" outlineLevel="2" x14ac:dyDescent="0.25">
      <c r="A398" s="40" t="s">
        <v>87</v>
      </c>
      <c r="B398" s="196" t="s">
        <v>133</v>
      </c>
      <c r="C398" s="3" t="s">
        <v>134</v>
      </c>
      <c r="D398" s="40">
        <v>32</v>
      </c>
      <c r="E398" s="146">
        <v>4671453</v>
      </c>
      <c r="F398" s="146">
        <v>4619165</v>
      </c>
      <c r="G398" s="213" t="s">
        <v>500</v>
      </c>
      <c r="H398" s="146">
        <v>52288</v>
      </c>
      <c r="I398" s="215">
        <v>0</v>
      </c>
      <c r="J398" s="215">
        <v>0</v>
      </c>
      <c r="K398" s="215">
        <v>0</v>
      </c>
      <c r="L398" s="146">
        <v>52288</v>
      </c>
    </row>
    <row r="399" spans="1:12" ht="15.6" customHeight="1" outlineLevel="2" x14ac:dyDescent="0.25">
      <c r="A399" s="40" t="s">
        <v>87</v>
      </c>
      <c r="B399" s="196" t="s">
        <v>336</v>
      </c>
      <c r="C399" s="3" t="s">
        <v>130</v>
      </c>
      <c r="D399" s="40">
        <v>230</v>
      </c>
      <c r="E399" s="146">
        <v>5705616</v>
      </c>
      <c r="F399" s="146">
        <v>5667416</v>
      </c>
      <c r="G399" s="213" t="s">
        <v>500</v>
      </c>
      <c r="H399" s="146">
        <v>38200</v>
      </c>
      <c r="I399" s="146">
        <v>173</v>
      </c>
      <c r="J399" s="146">
        <v>173</v>
      </c>
      <c r="K399" s="215">
        <v>0</v>
      </c>
      <c r="L399" s="146">
        <v>38200</v>
      </c>
    </row>
    <row r="400" spans="1:12" outlineLevel="2" x14ac:dyDescent="0.25">
      <c r="A400" s="40" t="s">
        <v>87</v>
      </c>
      <c r="B400" s="196" t="s">
        <v>320</v>
      </c>
      <c r="C400" s="3" t="s">
        <v>321</v>
      </c>
      <c r="D400" s="40">
        <v>148</v>
      </c>
      <c r="E400" s="146">
        <v>199869</v>
      </c>
      <c r="F400" s="146">
        <v>7800</v>
      </c>
      <c r="G400" s="213" t="s">
        <v>500</v>
      </c>
      <c r="H400" s="146">
        <v>192069</v>
      </c>
      <c r="I400" s="215">
        <v>0</v>
      </c>
      <c r="J400" s="215">
        <v>0</v>
      </c>
      <c r="K400" s="215">
        <v>0</v>
      </c>
      <c r="L400" s="146">
        <v>192069</v>
      </c>
    </row>
    <row r="401" spans="1:12" outlineLevel="2" x14ac:dyDescent="0.25">
      <c r="A401" s="40" t="s">
        <v>87</v>
      </c>
      <c r="B401" s="196" t="s">
        <v>135</v>
      </c>
      <c r="C401" s="3" t="s">
        <v>136</v>
      </c>
      <c r="D401" s="40">
        <v>153</v>
      </c>
      <c r="E401" s="146">
        <v>4394453</v>
      </c>
      <c r="F401" s="146">
        <v>4276983</v>
      </c>
      <c r="G401" s="213" t="s">
        <v>500</v>
      </c>
      <c r="H401" s="146">
        <v>117470</v>
      </c>
      <c r="I401" s="215">
        <v>0</v>
      </c>
      <c r="J401" s="215">
        <v>0</v>
      </c>
      <c r="K401" s="215">
        <v>0</v>
      </c>
      <c r="L401" s="146">
        <v>117470</v>
      </c>
    </row>
    <row r="402" spans="1:12" ht="15" customHeight="1" outlineLevel="2" x14ac:dyDescent="0.25">
      <c r="A402" s="40" t="s">
        <v>87</v>
      </c>
      <c r="B402" s="196" t="s">
        <v>137</v>
      </c>
      <c r="C402" s="3" t="s">
        <v>138</v>
      </c>
      <c r="D402" s="40">
        <v>155</v>
      </c>
      <c r="E402" s="146">
        <v>1071881</v>
      </c>
      <c r="F402" s="146">
        <v>1019256</v>
      </c>
      <c r="G402" s="213" t="s">
        <v>500</v>
      </c>
      <c r="H402" s="146">
        <v>52625</v>
      </c>
      <c r="I402" s="215">
        <v>0</v>
      </c>
      <c r="J402" s="215">
        <v>0</v>
      </c>
      <c r="K402" s="215">
        <v>0</v>
      </c>
      <c r="L402" s="146">
        <v>52625</v>
      </c>
    </row>
    <row r="403" spans="1:12" outlineLevel="2" x14ac:dyDescent="0.25">
      <c r="A403" s="40" t="s">
        <v>87</v>
      </c>
      <c r="B403" s="196" t="s">
        <v>219</v>
      </c>
      <c r="C403" s="3" t="s">
        <v>220</v>
      </c>
      <c r="D403" s="40">
        <v>42</v>
      </c>
      <c r="E403" s="146">
        <v>16547869</v>
      </c>
      <c r="F403" s="146">
        <v>13812414</v>
      </c>
      <c r="G403" s="213" t="s">
        <v>500</v>
      </c>
      <c r="H403" s="146">
        <v>2735455</v>
      </c>
      <c r="I403" s="146">
        <v>5</v>
      </c>
      <c r="J403" s="146">
        <v>1</v>
      </c>
      <c r="K403" s="146">
        <v>4</v>
      </c>
      <c r="L403" s="146">
        <v>2735451</v>
      </c>
    </row>
    <row r="404" spans="1:12" outlineLevel="2" x14ac:dyDescent="0.25">
      <c r="A404" s="40" t="s">
        <v>87</v>
      </c>
      <c r="B404" s="196" t="s">
        <v>141</v>
      </c>
      <c r="C404" s="3" t="s">
        <v>126</v>
      </c>
      <c r="D404" s="40">
        <v>48</v>
      </c>
      <c r="E404" s="146">
        <v>18493781</v>
      </c>
      <c r="F404" s="146">
        <v>16223313</v>
      </c>
      <c r="G404" s="213" t="s">
        <v>500</v>
      </c>
      <c r="H404" s="146">
        <v>2270468</v>
      </c>
      <c r="I404" s="215">
        <v>0</v>
      </c>
      <c r="J404" s="215">
        <v>0</v>
      </c>
      <c r="K404" s="215">
        <v>0</v>
      </c>
      <c r="L404" s="146">
        <v>2270468</v>
      </c>
    </row>
    <row r="405" spans="1:12" outlineLevel="2" x14ac:dyDescent="0.25">
      <c r="A405" s="40" t="s">
        <v>87</v>
      </c>
      <c r="B405" s="196" t="s">
        <v>210</v>
      </c>
      <c r="C405" s="3" t="s">
        <v>211</v>
      </c>
      <c r="D405" s="40">
        <v>218</v>
      </c>
      <c r="E405" s="146">
        <v>3729137</v>
      </c>
      <c r="F405" s="146">
        <v>2850496</v>
      </c>
      <c r="G405" s="213" t="s">
        <v>500</v>
      </c>
      <c r="H405" s="146">
        <v>878641</v>
      </c>
      <c r="I405" s="215">
        <v>0</v>
      </c>
      <c r="J405" s="215">
        <v>0</v>
      </c>
      <c r="K405" s="215">
        <v>0</v>
      </c>
      <c r="L405" s="146">
        <v>878641</v>
      </c>
    </row>
    <row r="406" spans="1:12" outlineLevel="2" x14ac:dyDescent="0.25">
      <c r="A406" s="40" t="s">
        <v>87</v>
      </c>
      <c r="B406" s="196" t="s">
        <v>144</v>
      </c>
      <c r="C406" s="3" t="s">
        <v>145</v>
      </c>
      <c r="D406" s="40">
        <v>350</v>
      </c>
      <c r="E406" s="146">
        <v>66447</v>
      </c>
      <c r="F406" s="146">
        <v>54751</v>
      </c>
      <c r="G406" s="213" t="s">
        <v>500</v>
      </c>
      <c r="H406" s="146">
        <v>11696</v>
      </c>
      <c r="I406" s="215">
        <v>0</v>
      </c>
      <c r="J406" s="215">
        <v>0</v>
      </c>
      <c r="K406" s="215">
        <v>0</v>
      </c>
      <c r="L406" s="146">
        <v>11696</v>
      </c>
    </row>
    <row r="407" spans="1:12" ht="15.6" customHeight="1" outlineLevel="2" x14ac:dyDescent="0.25">
      <c r="A407" s="40" t="s">
        <v>87</v>
      </c>
      <c r="B407" s="196" t="s">
        <v>341</v>
      </c>
      <c r="C407" s="3" t="s">
        <v>342</v>
      </c>
      <c r="D407" s="40">
        <v>304</v>
      </c>
      <c r="E407" s="146">
        <v>22223</v>
      </c>
      <c r="F407" s="146">
        <v>5219</v>
      </c>
      <c r="G407" s="213" t="s">
        <v>500</v>
      </c>
      <c r="H407" s="146">
        <v>17004</v>
      </c>
      <c r="I407" s="215">
        <v>0</v>
      </c>
      <c r="J407" s="215">
        <v>0</v>
      </c>
      <c r="K407" s="215">
        <v>0</v>
      </c>
      <c r="L407" s="146">
        <v>17004</v>
      </c>
    </row>
    <row r="408" spans="1:12" ht="45.75" outlineLevel="2" x14ac:dyDescent="0.25">
      <c r="A408" s="40" t="s">
        <v>87</v>
      </c>
      <c r="B408" s="196" t="s">
        <v>343</v>
      </c>
      <c r="C408" s="3" t="s">
        <v>344</v>
      </c>
      <c r="D408" s="40">
        <v>329</v>
      </c>
      <c r="E408" s="146">
        <v>1446214</v>
      </c>
      <c r="F408" s="146">
        <v>1118940</v>
      </c>
      <c r="G408" s="213" t="s">
        <v>500</v>
      </c>
      <c r="H408" s="146">
        <v>327274</v>
      </c>
      <c r="I408" s="215">
        <v>0</v>
      </c>
      <c r="J408" s="215">
        <v>0</v>
      </c>
      <c r="K408" s="215">
        <v>0</v>
      </c>
      <c r="L408" s="146">
        <v>327274</v>
      </c>
    </row>
    <row r="409" spans="1:12" ht="30.95" customHeight="1" outlineLevel="2" x14ac:dyDescent="0.25">
      <c r="A409" s="40" t="s">
        <v>87</v>
      </c>
      <c r="B409" s="196" t="s">
        <v>311</v>
      </c>
      <c r="C409" s="3" t="s">
        <v>312</v>
      </c>
      <c r="D409" s="40">
        <v>261</v>
      </c>
      <c r="E409" s="146">
        <v>906604</v>
      </c>
      <c r="F409" s="146">
        <v>899722</v>
      </c>
      <c r="G409" s="213" t="s">
        <v>500</v>
      </c>
      <c r="H409" s="146">
        <v>6882</v>
      </c>
      <c r="I409" s="215">
        <v>0</v>
      </c>
      <c r="J409" s="215">
        <v>0</v>
      </c>
      <c r="K409" s="215">
        <v>0</v>
      </c>
      <c r="L409" s="146">
        <v>6882</v>
      </c>
    </row>
    <row r="410" spans="1:12" outlineLevel="2" x14ac:dyDescent="0.25">
      <c r="A410" s="40" t="s">
        <v>87</v>
      </c>
      <c r="B410" s="196" t="s">
        <v>148</v>
      </c>
      <c r="C410" s="3" t="s">
        <v>149</v>
      </c>
      <c r="D410" s="40">
        <v>244</v>
      </c>
      <c r="E410" s="146">
        <v>2764503</v>
      </c>
      <c r="F410" s="146">
        <v>2710687</v>
      </c>
      <c r="G410" s="213" t="s">
        <v>500</v>
      </c>
      <c r="H410" s="146">
        <v>53816</v>
      </c>
      <c r="I410" s="215">
        <v>0</v>
      </c>
      <c r="J410" s="215">
        <v>0</v>
      </c>
      <c r="K410" s="215">
        <v>0</v>
      </c>
      <c r="L410" s="146">
        <v>53816</v>
      </c>
    </row>
    <row r="411" spans="1:12" ht="15.6" customHeight="1" outlineLevel="2" x14ac:dyDescent="0.25">
      <c r="A411" s="40" t="s">
        <v>87</v>
      </c>
      <c r="B411" s="196" t="s">
        <v>356</v>
      </c>
      <c r="C411" s="3" t="s">
        <v>357</v>
      </c>
      <c r="D411" s="40">
        <v>182</v>
      </c>
      <c r="E411" s="146">
        <v>113910</v>
      </c>
      <c r="F411" s="146">
        <v>97651</v>
      </c>
      <c r="G411" s="213" t="s">
        <v>500</v>
      </c>
      <c r="H411" s="146">
        <v>16259</v>
      </c>
      <c r="I411" s="146">
        <v>19</v>
      </c>
      <c r="J411" s="146">
        <v>19</v>
      </c>
      <c r="K411" s="215">
        <v>0</v>
      </c>
      <c r="L411" s="146">
        <v>16259</v>
      </c>
    </row>
    <row r="412" spans="1:12" ht="14.45" customHeight="1" outlineLevel="2" x14ac:dyDescent="0.25">
      <c r="A412" s="40" t="s">
        <v>87</v>
      </c>
      <c r="B412" s="196" t="s">
        <v>322</v>
      </c>
      <c r="C412" s="3" t="s">
        <v>126</v>
      </c>
      <c r="D412" s="40">
        <v>280</v>
      </c>
      <c r="E412" s="146">
        <v>118719</v>
      </c>
      <c r="F412" s="146">
        <v>82734</v>
      </c>
      <c r="G412" s="213" t="s">
        <v>500</v>
      </c>
      <c r="H412" s="146">
        <v>35985</v>
      </c>
      <c r="I412" s="215">
        <v>0</v>
      </c>
      <c r="J412" s="215">
        <v>0</v>
      </c>
      <c r="K412" s="215">
        <v>0</v>
      </c>
      <c r="L412" s="146">
        <v>35985</v>
      </c>
    </row>
    <row r="413" spans="1:12" ht="30.75" outlineLevel="1" x14ac:dyDescent="0.25">
      <c r="A413" s="40" t="s">
        <v>87</v>
      </c>
      <c r="B413" s="196" t="s">
        <v>345</v>
      </c>
      <c r="C413" s="3" t="s">
        <v>112</v>
      </c>
      <c r="D413" s="40">
        <v>176</v>
      </c>
      <c r="E413" s="146">
        <v>5591939</v>
      </c>
      <c r="F413" s="146">
        <v>5576654</v>
      </c>
      <c r="G413" s="213" t="s">
        <v>500</v>
      </c>
      <c r="H413" s="146">
        <v>15285</v>
      </c>
      <c r="I413" s="146">
        <v>30395</v>
      </c>
      <c r="J413" s="215">
        <v>0</v>
      </c>
      <c r="K413" s="146">
        <v>30395</v>
      </c>
      <c r="L413" s="146">
        <v>-15110</v>
      </c>
    </row>
    <row r="414" spans="1:12" outlineLevel="2" x14ac:dyDescent="0.25">
      <c r="A414" s="40" t="s">
        <v>87</v>
      </c>
      <c r="B414" s="196" t="s">
        <v>352</v>
      </c>
      <c r="C414" s="3" t="s">
        <v>353</v>
      </c>
      <c r="D414" s="40">
        <v>57</v>
      </c>
      <c r="E414" s="146">
        <v>973526</v>
      </c>
      <c r="F414" s="146">
        <v>729055</v>
      </c>
      <c r="G414" s="213" t="s">
        <v>500</v>
      </c>
      <c r="H414" s="146">
        <v>244471</v>
      </c>
      <c r="I414" s="215">
        <v>0</v>
      </c>
      <c r="J414" s="215">
        <v>0</v>
      </c>
      <c r="K414" s="215">
        <v>0</v>
      </c>
      <c r="L414" s="146">
        <v>244471</v>
      </c>
    </row>
    <row r="415" spans="1:12" outlineLevel="2" x14ac:dyDescent="0.25">
      <c r="A415" s="40" t="s">
        <v>87</v>
      </c>
      <c r="B415" s="196" t="s">
        <v>150</v>
      </c>
      <c r="C415" s="3" t="s">
        <v>151</v>
      </c>
      <c r="D415" s="40">
        <v>171</v>
      </c>
      <c r="E415" s="146">
        <v>2358194</v>
      </c>
      <c r="F415" s="146">
        <v>2024268</v>
      </c>
      <c r="G415" s="213" t="s">
        <v>500</v>
      </c>
      <c r="H415" s="146">
        <v>333926</v>
      </c>
      <c r="I415" s="215">
        <v>0</v>
      </c>
      <c r="J415" s="215">
        <v>0</v>
      </c>
      <c r="K415" s="215">
        <v>0</v>
      </c>
      <c r="L415" s="146">
        <v>333926</v>
      </c>
    </row>
    <row r="416" spans="1:12" ht="45.75" outlineLevel="2" x14ac:dyDescent="0.25">
      <c r="A416" s="40" t="s">
        <v>87</v>
      </c>
      <c r="B416" s="196" t="s">
        <v>152</v>
      </c>
      <c r="C416" s="3" t="s">
        <v>149</v>
      </c>
      <c r="D416" s="40">
        <v>258</v>
      </c>
      <c r="E416" s="146">
        <v>3461835</v>
      </c>
      <c r="F416" s="146">
        <v>3265219</v>
      </c>
      <c r="G416" s="213" t="s">
        <v>500</v>
      </c>
      <c r="H416" s="146">
        <v>196616</v>
      </c>
      <c r="I416" s="215">
        <v>0</v>
      </c>
      <c r="J416" s="215">
        <v>0</v>
      </c>
      <c r="K416" s="215">
        <v>0</v>
      </c>
      <c r="L416" s="146">
        <v>196616</v>
      </c>
    </row>
    <row r="417" spans="1:12" outlineLevel="2" x14ac:dyDescent="0.25">
      <c r="A417" s="40" t="s">
        <v>87</v>
      </c>
      <c r="B417" s="196" t="s">
        <v>354</v>
      </c>
      <c r="C417" s="3" t="s">
        <v>355</v>
      </c>
      <c r="D417" s="40">
        <v>58</v>
      </c>
      <c r="E417" s="146">
        <v>3292644</v>
      </c>
      <c r="F417" s="146">
        <v>3008770</v>
      </c>
      <c r="G417" s="213" t="s">
        <v>500</v>
      </c>
      <c r="H417" s="146">
        <v>283874</v>
      </c>
      <c r="I417" s="215">
        <v>0</v>
      </c>
      <c r="J417" s="215">
        <v>0</v>
      </c>
      <c r="K417" s="215">
        <v>0</v>
      </c>
      <c r="L417" s="146">
        <v>283874</v>
      </c>
    </row>
    <row r="418" spans="1:12" outlineLevel="2" x14ac:dyDescent="0.25">
      <c r="A418" s="40" t="s">
        <v>87</v>
      </c>
      <c r="B418" s="196" t="s">
        <v>325</v>
      </c>
      <c r="C418" s="3" t="s">
        <v>326</v>
      </c>
      <c r="D418" s="40">
        <v>308</v>
      </c>
      <c r="E418" s="146">
        <v>224162</v>
      </c>
      <c r="F418" s="146">
        <v>116098</v>
      </c>
      <c r="G418" s="213" t="s">
        <v>500</v>
      </c>
      <c r="H418" s="146">
        <v>108064</v>
      </c>
      <c r="I418" s="215">
        <v>0</v>
      </c>
      <c r="J418" s="215">
        <v>0</v>
      </c>
      <c r="K418" s="215">
        <v>0</v>
      </c>
      <c r="L418" s="146">
        <v>108064</v>
      </c>
    </row>
    <row r="419" spans="1:12" outlineLevel="2" x14ac:dyDescent="0.25">
      <c r="A419" s="40" t="s">
        <v>87</v>
      </c>
      <c r="B419" s="196" t="s">
        <v>153</v>
      </c>
      <c r="C419" s="3" t="s">
        <v>126</v>
      </c>
      <c r="D419" s="40">
        <v>260</v>
      </c>
      <c r="E419" s="146">
        <v>19111083</v>
      </c>
      <c r="F419" s="146">
        <v>18993790</v>
      </c>
      <c r="G419" s="213" t="s">
        <v>500</v>
      </c>
      <c r="H419" s="146">
        <v>117293</v>
      </c>
      <c r="I419" s="146">
        <v>670053</v>
      </c>
      <c r="J419" s="146">
        <v>20116</v>
      </c>
      <c r="K419" s="146">
        <v>649937</v>
      </c>
      <c r="L419" s="146">
        <v>-532644</v>
      </c>
    </row>
    <row r="420" spans="1:12" outlineLevel="2" x14ac:dyDescent="0.25">
      <c r="A420" s="40" t="s">
        <v>87</v>
      </c>
      <c r="B420" s="196" t="s">
        <v>180</v>
      </c>
      <c r="C420" s="3" t="s">
        <v>181</v>
      </c>
      <c r="D420" s="40">
        <v>346</v>
      </c>
      <c r="E420" s="146">
        <v>49140</v>
      </c>
      <c r="F420" s="146">
        <v>42386</v>
      </c>
      <c r="G420" s="213" t="s">
        <v>500</v>
      </c>
      <c r="H420" s="146">
        <v>6754</v>
      </c>
      <c r="I420" s="215">
        <v>0</v>
      </c>
      <c r="J420" s="215">
        <v>0</v>
      </c>
      <c r="K420" s="215">
        <v>0</v>
      </c>
      <c r="L420" s="146">
        <v>6754</v>
      </c>
    </row>
    <row r="421" spans="1:12" ht="15.6" customHeight="1" outlineLevel="2" x14ac:dyDescent="0.25">
      <c r="A421" s="243" t="s">
        <v>87</v>
      </c>
      <c r="B421" s="196" t="s">
        <v>156</v>
      </c>
      <c r="C421" s="3" t="s">
        <v>157</v>
      </c>
      <c r="D421" s="40">
        <v>351</v>
      </c>
      <c r="E421" s="146">
        <v>99653</v>
      </c>
      <c r="F421" s="146">
        <v>89104</v>
      </c>
      <c r="G421" s="213" t="s">
        <v>500</v>
      </c>
      <c r="H421" s="146">
        <v>10549</v>
      </c>
      <c r="I421" s="215">
        <v>0</v>
      </c>
      <c r="J421" s="215">
        <v>0</v>
      </c>
      <c r="K421" s="215">
        <v>0</v>
      </c>
      <c r="L421" s="146">
        <v>10549</v>
      </c>
    </row>
    <row r="422" spans="1:12" outlineLevel="2" x14ac:dyDescent="0.25">
      <c r="A422" s="227" t="s">
        <v>258</v>
      </c>
      <c r="B422" s="184" t="s">
        <v>500</v>
      </c>
      <c r="C422" s="74" t="s">
        <v>500</v>
      </c>
      <c r="D422" s="180" t="s">
        <v>500</v>
      </c>
      <c r="E422" s="78">
        <f>SUBTOTAL(109,school200910[Program
Costs])</f>
        <v>470276090</v>
      </c>
      <c r="F422" s="78">
        <f>SUBTOTAL(109,school200910[Less: Net Payments and Offsets 10])</f>
        <v>363490392</v>
      </c>
      <c r="G422" s="74" t="s">
        <v>500</v>
      </c>
      <c r="H422" s="78">
        <f>SUBTOTAL(109,school200910[Accounts Payable
Balance])</f>
        <v>106785698</v>
      </c>
      <c r="I422" s="78">
        <f>SUBTOTAL(109,school200910[Established
Accounts Receivable])</f>
        <v>740238</v>
      </c>
      <c r="J422" s="78">
        <f>SUBTOTAL(109,school200910[Less: Recovered Amount])</f>
        <v>33523</v>
      </c>
      <c r="K422" s="78">
        <f>SUBTOTAL(109,school200910[Accounts Receivable
Balance])</f>
        <v>706715</v>
      </c>
      <c r="L422" s="78">
        <f>SUBTOTAL(109,school200910[Net
Balance])</f>
        <v>106078983</v>
      </c>
    </row>
    <row r="423" spans="1:12" s="242" customFormat="1" ht="15" outlineLevel="2" x14ac:dyDescent="0.2">
      <c r="A423" s="214" t="s">
        <v>508</v>
      </c>
      <c r="B423" s="196"/>
      <c r="C423" s="3"/>
      <c r="D423" s="40"/>
      <c r="E423" s="146"/>
      <c r="F423" s="146"/>
      <c r="G423" s="146"/>
      <c r="H423" s="146"/>
      <c r="I423" s="146"/>
      <c r="J423" s="146"/>
      <c r="K423" s="146"/>
      <c r="L423" s="146"/>
    </row>
    <row r="424" spans="1:12" ht="50.1" customHeight="1" outlineLevel="2" x14ac:dyDescent="0.25">
      <c r="A424" s="204" t="s">
        <v>98</v>
      </c>
      <c r="B424" s="204" t="s">
        <v>99</v>
      </c>
      <c r="C424" s="176" t="s">
        <v>1</v>
      </c>
      <c r="D424" s="204" t="s">
        <v>195</v>
      </c>
      <c r="E424" s="238" t="s">
        <v>188</v>
      </c>
      <c r="F424" s="239" t="s">
        <v>533</v>
      </c>
      <c r="G424" s="212" t="s">
        <v>532</v>
      </c>
      <c r="H424" s="210" t="s">
        <v>528</v>
      </c>
      <c r="I424" s="210" t="s">
        <v>529</v>
      </c>
      <c r="J424" s="238" t="s">
        <v>197</v>
      </c>
      <c r="K424" s="210" t="s">
        <v>530</v>
      </c>
      <c r="L424" s="238" t="s">
        <v>196</v>
      </c>
    </row>
    <row r="425" spans="1:12" outlineLevel="2" x14ac:dyDescent="0.25">
      <c r="A425" s="40" t="s">
        <v>76</v>
      </c>
      <c r="B425" s="196" t="s">
        <v>313</v>
      </c>
      <c r="C425" s="3" t="s">
        <v>314</v>
      </c>
      <c r="D425" s="40">
        <v>305</v>
      </c>
      <c r="E425" s="146">
        <v>125080</v>
      </c>
      <c r="F425" s="146">
        <v>102415</v>
      </c>
      <c r="G425" s="213" t="s">
        <v>500</v>
      </c>
      <c r="H425" s="146">
        <v>22665</v>
      </c>
      <c r="I425" s="215">
        <v>0</v>
      </c>
      <c r="J425" s="215">
        <v>0</v>
      </c>
      <c r="K425" s="215">
        <v>0</v>
      </c>
      <c r="L425" s="146">
        <v>22665</v>
      </c>
    </row>
    <row r="426" spans="1:12" ht="30.95" customHeight="1" outlineLevel="2" x14ac:dyDescent="0.25">
      <c r="A426" s="40" t="s">
        <v>76</v>
      </c>
      <c r="B426" s="196" t="s">
        <v>101</v>
      </c>
      <c r="C426" s="3" t="s">
        <v>102</v>
      </c>
      <c r="D426" s="40">
        <v>250</v>
      </c>
      <c r="E426" s="146">
        <v>1583086</v>
      </c>
      <c r="F426" s="146">
        <v>1583086</v>
      </c>
      <c r="G426" s="213" t="s">
        <v>500</v>
      </c>
      <c r="H426" s="215">
        <v>0</v>
      </c>
      <c r="I426" s="146">
        <v>5161</v>
      </c>
      <c r="J426" s="146">
        <v>4112</v>
      </c>
      <c r="K426" s="146">
        <v>1049</v>
      </c>
      <c r="L426" s="146">
        <v>-1049</v>
      </c>
    </row>
    <row r="427" spans="1:12" ht="30.75" outlineLevel="2" x14ac:dyDescent="0.25">
      <c r="A427" s="40" t="s">
        <v>76</v>
      </c>
      <c r="B427" s="196" t="s">
        <v>340</v>
      </c>
      <c r="C427" s="3" t="s">
        <v>335</v>
      </c>
      <c r="D427" s="40">
        <v>348</v>
      </c>
      <c r="E427" s="146">
        <v>54920146</v>
      </c>
      <c r="F427" s="146">
        <v>44829887</v>
      </c>
      <c r="G427" s="213" t="s">
        <v>500</v>
      </c>
      <c r="H427" s="146">
        <v>10090259</v>
      </c>
      <c r="I427" s="215">
        <v>0</v>
      </c>
      <c r="J427" s="215">
        <v>0</v>
      </c>
      <c r="K427" s="215">
        <v>0</v>
      </c>
      <c r="L427" s="146">
        <v>10090259</v>
      </c>
    </row>
    <row r="428" spans="1:12" outlineLevel="2" x14ac:dyDescent="0.25">
      <c r="A428" s="40" t="s">
        <v>76</v>
      </c>
      <c r="B428" s="196" t="s">
        <v>327</v>
      </c>
      <c r="C428" s="3" t="s">
        <v>174</v>
      </c>
      <c r="D428" s="40">
        <v>354</v>
      </c>
      <c r="E428" s="146">
        <v>34650</v>
      </c>
      <c r="F428" s="146">
        <v>24641</v>
      </c>
      <c r="G428" s="213" t="s">
        <v>500</v>
      </c>
      <c r="H428" s="146">
        <v>10009</v>
      </c>
      <c r="I428" s="215">
        <v>0</v>
      </c>
      <c r="J428" s="215">
        <v>0</v>
      </c>
      <c r="K428" s="215">
        <v>0</v>
      </c>
      <c r="L428" s="146">
        <v>10009</v>
      </c>
    </row>
    <row r="429" spans="1:12" ht="30.75" outlineLevel="2" x14ac:dyDescent="0.25">
      <c r="A429" s="40" t="s">
        <v>76</v>
      </c>
      <c r="B429" s="196" t="s">
        <v>328</v>
      </c>
      <c r="C429" s="3" t="s">
        <v>329</v>
      </c>
      <c r="D429" s="40">
        <v>286</v>
      </c>
      <c r="E429" s="146">
        <v>103369</v>
      </c>
      <c r="F429" s="146">
        <v>99494</v>
      </c>
      <c r="G429" s="213" t="s">
        <v>500</v>
      </c>
      <c r="H429" s="146">
        <v>3875</v>
      </c>
      <c r="I429" s="215">
        <v>0</v>
      </c>
      <c r="J429" s="215">
        <v>0</v>
      </c>
      <c r="K429" s="215">
        <v>0</v>
      </c>
      <c r="L429" s="146">
        <v>3875</v>
      </c>
    </row>
    <row r="430" spans="1:12" ht="30.75" outlineLevel="2" x14ac:dyDescent="0.25">
      <c r="A430" s="40" t="s">
        <v>76</v>
      </c>
      <c r="B430" s="196" t="s">
        <v>109</v>
      </c>
      <c r="C430" s="3" t="s">
        <v>110</v>
      </c>
      <c r="D430" s="40">
        <v>172</v>
      </c>
      <c r="E430" s="146">
        <v>614283</v>
      </c>
      <c r="F430" s="146">
        <v>610927</v>
      </c>
      <c r="G430" s="213" t="s">
        <v>500</v>
      </c>
      <c r="H430" s="146">
        <v>3356</v>
      </c>
      <c r="I430" s="146">
        <v>1120</v>
      </c>
      <c r="J430" s="146">
        <v>1120</v>
      </c>
      <c r="K430" s="215">
        <v>0</v>
      </c>
      <c r="L430" s="146">
        <v>3356</v>
      </c>
    </row>
    <row r="431" spans="1:12" outlineLevel="2" x14ac:dyDescent="0.25">
      <c r="A431" s="40" t="s">
        <v>76</v>
      </c>
      <c r="B431" s="196" t="s">
        <v>309</v>
      </c>
      <c r="C431" s="3" t="s">
        <v>310</v>
      </c>
      <c r="D431" s="40">
        <v>278</v>
      </c>
      <c r="E431" s="146">
        <v>1771291</v>
      </c>
      <c r="F431" s="146">
        <v>1699854</v>
      </c>
      <c r="G431" s="213" t="s">
        <v>500</v>
      </c>
      <c r="H431" s="146">
        <v>71437</v>
      </c>
      <c r="I431" s="215">
        <v>0</v>
      </c>
      <c r="J431" s="215">
        <v>0</v>
      </c>
      <c r="K431" s="215">
        <v>0</v>
      </c>
      <c r="L431" s="146">
        <v>71437</v>
      </c>
    </row>
    <row r="432" spans="1:12" ht="30.75" outlineLevel="2" x14ac:dyDescent="0.25">
      <c r="A432" s="40" t="s">
        <v>76</v>
      </c>
      <c r="B432" s="196" t="s">
        <v>115</v>
      </c>
      <c r="C432" s="3" t="s">
        <v>116</v>
      </c>
      <c r="D432" s="40">
        <v>11</v>
      </c>
      <c r="E432" s="146">
        <v>20470340</v>
      </c>
      <c r="F432" s="146">
        <v>17977474</v>
      </c>
      <c r="G432" s="213" t="s">
        <v>500</v>
      </c>
      <c r="H432" s="146">
        <v>2492866</v>
      </c>
      <c r="I432" s="146">
        <v>26683</v>
      </c>
      <c r="J432" s="146">
        <v>12350</v>
      </c>
      <c r="K432" s="146">
        <v>14333</v>
      </c>
      <c r="L432" s="146">
        <v>2478533</v>
      </c>
    </row>
    <row r="433" spans="1:12" outlineLevel="2" x14ac:dyDescent="0.25">
      <c r="A433" s="40" t="s">
        <v>76</v>
      </c>
      <c r="B433" s="196" t="s">
        <v>358</v>
      </c>
      <c r="C433" s="3" t="s">
        <v>118</v>
      </c>
      <c r="D433" s="40">
        <v>223</v>
      </c>
      <c r="E433" s="146">
        <v>4144990</v>
      </c>
      <c r="F433" s="146">
        <v>4098250</v>
      </c>
      <c r="G433" s="213" t="s">
        <v>500</v>
      </c>
      <c r="H433" s="146">
        <v>46740</v>
      </c>
      <c r="I433" s="146">
        <v>7808</v>
      </c>
      <c r="J433" s="146">
        <v>5918</v>
      </c>
      <c r="K433" s="146">
        <v>1890</v>
      </c>
      <c r="L433" s="146">
        <v>44850</v>
      </c>
    </row>
    <row r="434" spans="1:12" ht="45.75" outlineLevel="2" x14ac:dyDescent="0.25">
      <c r="A434" s="40" t="s">
        <v>76</v>
      </c>
      <c r="B434" s="196" t="s">
        <v>103</v>
      </c>
      <c r="C434" s="3" t="s">
        <v>104</v>
      </c>
      <c r="D434" s="40">
        <v>272</v>
      </c>
      <c r="E434" s="146">
        <v>10105872</v>
      </c>
      <c r="F434" s="146">
        <v>10100035</v>
      </c>
      <c r="G434" s="213" t="s">
        <v>500</v>
      </c>
      <c r="H434" s="146">
        <v>5837</v>
      </c>
      <c r="I434" s="146">
        <v>865406</v>
      </c>
      <c r="J434" s="146">
        <v>11587</v>
      </c>
      <c r="K434" s="146">
        <v>853819</v>
      </c>
      <c r="L434" s="146">
        <v>-847982</v>
      </c>
    </row>
    <row r="435" spans="1:12" ht="45.75" outlineLevel="2" x14ac:dyDescent="0.25">
      <c r="A435" s="40" t="s">
        <v>76</v>
      </c>
      <c r="B435" s="196" t="s">
        <v>139</v>
      </c>
      <c r="C435" s="3" t="s">
        <v>140</v>
      </c>
      <c r="D435" s="40">
        <v>276</v>
      </c>
      <c r="E435" s="146">
        <v>891533</v>
      </c>
      <c r="F435" s="146">
        <v>649528</v>
      </c>
      <c r="G435" s="213" t="s">
        <v>500</v>
      </c>
      <c r="H435" s="146">
        <v>242005</v>
      </c>
      <c r="I435" s="215">
        <v>0</v>
      </c>
      <c r="J435" s="215">
        <v>0</v>
      </c>
      <c r="K435" s="215">
        <v>0</v>
      </c>
      <c r="L435" s="146">
        <v>242005</v>
      </c>
    </row>
    <row r="436" spans="1:12" ht="78" customHeight="1" outlineLevel="2" x14ac:dyDescent="0.25">
      <c r="A436" s="40" t="s">
        <v>76</v>
      </c>
      <c r="B436" s="196" t="s">
        <v>142</v>
      </c>
      <c r="C436" s="3" t="s">
        <v>143</v>
      </c>
      <c r="D436" s="40">
        <v>292</v>
      </c>
      <c r="E436" s="146">
        <v>8511879</v>
      </c>
      <c r="F436" s="146">
        <v>8403076</v>
      </c>
      <c r="G436" s="213" t="s">
        <v>500</v>
      </c>
      <c r="H436" s="146">
        <v>108803</v>
      </c>
      <c r="I436" s="146">
        <v>2076</v>
      </c>
      <c r="J436" s="215">
        <v>0</v>
      </c>
      <c r="K436" s="146">
        <v>2076</v>
      </c>
      <c r="L436" s="146">
        <v>106727</v>
      </c>
    </row>
    <row r="437" spans="1:12" ht="30.75" outlineLevel="2" x14ac:dyDescent="0.25">
      <c r="A437" s="40" t="s">
        <v>76</v>
      </c>
      <c r="B437" s="196" t="s">
        <v>113</v>
      </c>
      <c r="C437" s="3" t="s">
        <v>114</v>
      </c>
      <c r="D437" s="40">
        <v>209</v>
      </c>
      <c r="E437" s="146">
        <v>346268</v>
      </c>
      <c r="F437" s="146">
        <v>326021</v>
      </c>
      <c r="G437" s="213" t="s">
        <v>500</v>
      </c>
      <c r="H437" s="146">
        <v>20247</v>
      </c>
      <c r="I437" s="215">
        <v>0</v>
      </c>
      <c r="J437" s="215">
        <v>0</v>
      </c>
      <c r="K437" s="215">
        <v>0</v>
      </c>
      <c r="L437" s="146">
        <v>20247</v>
      </c>
    </row>
    <row r="438" spans="1:12" outlineLevel="2" x14ac:dyDescent="0.25">
      <c r="A438" s="40" t="s">
        <v>76</v>
      </c>
      <c r="B438" s="196" t="s">
        <v>119</v>
      </c>
      <c r="C438" s="3" t="s">
        <v>120</v>
      </c>
      <c r="D438" s="40">
        <v>183</v>
      </c>
      <c r="E438" s="146">
        <v>697267</v>
      </c>
      <c r="F438" s="146">
        <v>693095</v>
      </c>
      <c r="G438" s="213" t="s">
        <v>500</v>
      </c>
      <c r="H438" s="146">
        <v>4172</v>
      </c>
      <c r="I438" s="146">
        <v>825</v>
      </c>
      <c r="J438" s="146">
        <v>825</v>
      </c>
      <c r="K438" s="215">
        <v>0</v>
      </c>
      <c r="L438" s="146">
        <v>4172</v>
      </c>
    </row>
    <row r="439" spans="1:12" outlineLevel="2" x14ac:dyDescent="0.25">
      <c r="A439" s="40" t="s">
        <v>76</v>
      </c>
      <c r="B439" s="196" t="s">
        <v>121</v>
      </c>
      <c r="C439" s="3" t="s">
        <v>122</v>
      </c>
      <c r="D439" s="40">
        <v>251</v>
      </c>
      <c r="E439" s="146">
        <v>368652</v>
      </c>
      <c r="F439" s="146">
        <v>365323</v>
      </c>
      <c r="G439" s="213" t="s">
        <v>500</v>
      </c>
      <c r="H439" s="146">
        <v>3329</v>
      </c>
      <c r="I439" s="146">
        <v>1055</v>
      </c>
      <c r="J439" s="215">
        <v>0</v>
      </c>
      <c r="K439" s="146">
        <v>1055</v>
      </c>
      <c r="L439" s="146">
        <v>2274</v>
      </c>
    </row>
    <row r="440" spans="1:12" outlineLevel="2" x14ac:dyDescent="0.25">
      <c r="A440" s="40" t="s">
        <v>76</v>
      </c>
      <c r="B440" s="196" t="s">
        <v>348</v>
      </c>
      <c r="C440" s="3" t="s">
        <v>349</v>
      </c>
      <c r="D440" s="40">
        <v>333</v>
      </c>
      <c r="E440" s="146">
        <v>34380</v>
      </c>
      <c r="F440" s="146">
        <v>31472</v>
      </c>
      <c r="G440" s="213" t="s">
        <v>500</v>
      </c>
      <c r="H440" s="146">
        <v>2908</v>
      </c>
      <c r="I440" s="215">
        <v>0</v>
      </c>
      <c r="J440" s="215">
        <v>0</v>
      </c>
      <c r="K440" s="215">
        <v>0</v>
      </c>
      <c r="L440" s="146">
        <v>2908</v>
      </c>
    </row>
    <row r="441" spans="1:12" ht="30.75" outlineLevel="2" x14ac:dyDescent="0.25">
      <c r="A441" s="40" t="s">
        <v>76</v>
      </c>
      <c r="B441" s="196" t="s">
        <v>317</v>
      </c>
      <c r="C441" s="3" t="s">
        <v>112</v>
      </c>
      <c r="D441" s="40">
        <v>91</v>
      </c>
      <c r="E441" s="146">
        <v>13929</v>
      </c>
      <c r="F441" s="146">
        <v>10640</v>
      </c>
      <c r="G441" s="213" t="s">
        <v>500</v>
      </c>
      <c r="H441" s="146">
        <v>3289</v>
      </c>
      <c r="I441" s="215">
        <v>0</v>
      </c>
      <c r="J441" s="215">
        <v>0</v>
      </c>
      <c r="K441" s="215">
        <v>0</v>
      </c>
      <c r="L441" s="146">
        <v>3289</v>
      </c>
    </row>
    <row r="442" spans="1:12" ht="15.6" customHeight="1" outlineLevel="2" x14ac:dyDescent="0.25">
      <c r="A442" s="40" t="s">
        <v>76</v>
      </c>
      <c r="B442" s="196" t="s">
        <v>123</v>
      </c>
      <c r="C442" s="3" t="s">
        <v>124</v>
      </c>
      <c r="D442" s="40">
        <v>192</v>
      </c>
      <c r="E442" s="146">
        <v>441304</v>
      </c>
      <c r="F442" s="146">
        <v>432014</v>
      </c>
      <c r="G442" s="213" t="s">
        <v>500</v>
      </c>
      <c r="H442" s="146">
        <v>9290</v>
      </c>
      <c r="I442" s="146">
        <v>2175</v>
      </c>
      <c r="J442" s="215">
        <v>0</v>
      </c>
      <c r="K442" s="146">
        <v>2175</v>
      </c>
      <c r="L442" s="146">
        <v>7115</v>
      </c>
    </row>
    <row r="443" spans="1:12" ht="30.75" outlineLevel="2" x14ac:dyDescent="0.25">
      <c r="A443" s="40" t="s">
        <v>76</v>
      </c>
      <c r="B443" s="196" t="s">
        <v>125</v>
      </c>
      <c r="C443" s="3" t="s">
        <v>126</v>
      </c>
      <c r="D443" s="40">
        <v>297</v>
      </c>
      <c r="E443" s="146">
        <v>257106709</v>
      </c>
      <c r="F443" s="146">
        <v>181188759</v>
      </c>
      <c r="G443" s="213" t="s">
        <v>500</v>
      </c>
      <c r="H443" s="146">
        <v>75917950</v>
      </c>
      <c r="I443" s="215">
        <v>0</v>
      </c>
      <c r="J443" s="215">
        <v>0</v>
      </c>
      <c r="K443" s="215">
        <v>0</v>
      </c>
      <c r="L443" s="146">
        <v>75917950</v>
      </c>
    </row>
    <row r="444" spans="1:12" outlineLevel="2" x14ac:dyDescent="0.25">
      <c r="A444" s="40" t="s">
        <v>76</v>
      </c>
      <c r="B444" s="196" t="s">
        <v>127</v>
      </c>
      <c r="C444" s="3" t="s">
        <v>128</v>
      </c>
      <c r="D444" s="40">
        <v>166</v>
      </c>
      <c r="E444" s="146">
        <v>8654726</v>
      </c>
      <c r="F444" s="146">
        <v>7222351</v>
      </c>
      <c r="G444" s="213" t="s">
        <v>500</v>
      </c>
      <c r="H444" s="146">
        <v>1432375</v>
      </c>
      <c r="I444" s="146">
        <v>1233</v>
      </c>
      <c r="J444" s="215">
        <v>0</v>
      </c>
      <c r="K444" s="146">
        <v>1233</v>
      </c>
      <c r="L444" s="146">
        <v>1431142</v>
      </c>
    </row>
    <row r="445" spans="1:12" outlineLevel="2" x14ac:dyDescent="0.25">
      <c r="A445" s="40" t="s">
        <v>76</v>
      </c>
      <c r="B445" s="196" t="s">
        <v>318</v>
      </c>
      <c r="C445" s="3" t="s">
        <v>319</v>
      </c>
      <c r="D445" s="40">
        <v>268</v>
      </c>
      <c r="E445" s="146">
        <v>7741343</v>
      </c>
      <c r="F445" s="146">
        <v>6923752</v>
      </c>
      <c r="G445" s="213" t="s">
        <v>500</v>
      </c>
      <c r="H445" s="146">
        <v>817591</v>
      </c>
      <c r="I445" s="215">
        <v>0</v>
      </c>
      <c r="J445" s="215">
        <v>0</v>
      </c>
      <c r="K445" s="215">
        <v>0</v>
      </c>
      <c r="L445" s="146">
        <v>817591</v>
      </c>
    </row>
    <row r="446" spans="1:12" outlineLevel="2" x14ac:dyDescent="0.25">
      <c r="A446" s="40" t="s">
        <v>76</v>
      </c>
      <c r="B446" s="196" t="s">
        <v>133</v>
      </c>
      <c r="C446" s="3" t="s">
        <v>134</v>
      </c>
      <c r="D446" s="40">
        <v>32</v>
      </c>
      <c r="E446" s="146">
        <v>4666144</v>
      </c>
      <c r="F446" s="146">
        <v>4664857</v>
      </c>
      <c r="G446" s="213" t="s">
        <v>500</v>
      </c>
      <c r="H446" s="146">
        <v>1287</v>
      </c>
      <c r="I446" s="146">
        <v>15736</v>
      </c>
      <c r="J446" s="146">
        <v>1126</v>
      </c>
      <c r="K446" s="146">
        <v>14610</v>
      </c>
      <c r="L446" s="146">
        <v>-13323</v>
      </c>
    </row>
    <row r="447" spans="1:12" outlineLevel="2" x14ac:dyDescent="0.25">
      <c r="A447" s="40" t="s">
        <v>76</v>
      </c>
      <c r="B447" s="196" t="s">
        <v>336</v>
      </c>
      <c r="C447" s="3" t="s">
        <v>130</v>
      </c>
      <c r="D447" s="40">
        <v>230</v>
      </c>
      <c r="E447" s="146">
        <v>5705041</v>
      </c>
      <c r="F447" s="146">
        <v>5704156</v>
      </c>
      <c r="G447" s="213" t="s">
        <v>500</v>
      </c>
      <c r="H447" s="146">
        <v>885</v>
      </c>
      <c r="I447" s="146">
        <v>18091</v>
      </c>
      <c r="J447" s="146">
        <v>3366</v>
      </c>
      <c r="K447" s="146">
        <v>14725</v>
      </c>
      <c r="L447" s="146">
        <v>-13840</v>
      </c>
    </row>
    <row r="448" spans="1:12" ht="15.6" customHeight="1" outlineLevel="2" x14ac:dyDescent="0.25">
      <c r="A448" s="40" t="s">
        <v>76</v>
      </c>
      <c r="B448" s="196" t="s">
        <v>320</v>
      </c>
      <c r="C448" s="3" t="s">
        <v>321</v>
      </c>
      <c r="D448" s="40">
        <v>148</v>
      </c>
      <c r="E448" s="146">
        <v>121053</v>
      </c>
      <c r="F448" s="146">
        <v>5779</v>
      </c>
      <c r="G448" s="213" t="s">
        <v>500</v>
      </c>
      <c r="H448" s="146">
        <v>115274</v>
      </c>
      <c r="I448" s="215">
        <v>0</v>
      </c>
      <c r="J448" s="215">
        <v>0</v>
      </c>
      <c r="K448" s="215">
        <v>0</v>
      </c>
      <c r="L448" s="146">
        <v>115274</v>
      </c>
    </row>
    <row r="449" spans="1:12" outlineLevel="2" x14ac:dyDescent="0.25">
      <c r="A449" s="40" t="s">
        <v>76</v>
      </c>
      <c r="B449" s="196" t="s">
        <v>135</v>
      </c>
      <c r="C449" s="3" t="s">
        <v>136</v>
      </c>
      <c r="D449" s="40">
        <v>153</v>
      </c>
      <c r="E449" s="146">
        <v>4435775</v>
      </c>
      <c r="F449" s="146">
        <v>4210760</v>
      </c>
      <c r="G449" s="213" t="s">
        <v>500</v>
      </c>
      <c r="H449" s="146">
        <v>225015</v>
      </c>
      <c r="I449" s="146">
        <v>12323</v>
      </c>
      <c r="J449" s="146">
        <v>8157</v>
      </c>
      <c r="K449" s="146">
        <v>4166</v>
      </c>
      <c r="L449" s="146">
        <v>220849</v>
      </c>
    </row>
    <row r="450" spans="1:12" outlineLevel="2" x14ac:dyDescent="0.25">
      <c r="A450" s="40" t="s">
        <v>76</v>
      </c>
      <c r="B450" s="196" t="s">
        <v>137</v>
      </c>
      <c r="C450" s="3" t="s">
        <v>138</v>
      </c>
      <c r="D450" s="40">
        <v>155</v>
      </c>
      <c r="E450" s="146">
        <v>1256537</v>
      </c>
      <c r="F450" s="146">
        <v>1159096</v>
      </c>
      <c r="G450" s="213" t="s">
        <v>500</v>
      </c>
      <c r="H450" s="146">
        <v>97441</v>
      </c>
      <c r="I450" s="215">
        <v>0</v>
      </c>
      <c r="J450" s="215">
        <v>0</v>
      </c>
      <c r="K450" s="215">
        <v>0</v>
      </c>
      <c r="L450" s="146">
        <v>97441</v>
      </c>
    </row>
    <row r="451" spans="1:12" ht="15" customHeight="1" outlineLevel="2" x14ac:dyDescent="0.25">
      <c r="A451" s="40" t="s">
        <v>76</v>
      </c>
      <c r="B451" s="196" t="s">
        <v>219</v>
      </c>
      <c r="C451" s="3" t="s">
        <v>220</v>
      </c>
      <c r="D451" s="40">
        <v>42</v>
      </c>
      <c r="E451" s="146">
        <v>16990141</v>
      </c>
      <c r="F451" s="146">
        <v>14707605</v>
      </c>
      <c r="G451" s="213" t="s">
        <v>500</v>
      </c>
      <c r="H451" s="146">
        <v>2282536</v>
      </c>
      <c r="I451" s="215">
        <v>0</v>
      </c>
      <c r="J451" s="215">
        <v>0</v>
      </c>
      <c r="K451" s="215">
        <v>0</v>
      </c>
      <c r="L451" s="146">
        <v>2282536</v>
      </c>
    </row>
    <row r="452" spans="1:12" ht="46.5" customHeight="1" outlineLevel="2" x14ac:dyDescent="0.25">
      <c r="A452" s="40" t="s">
        <v>76</v>
      </c>
      <c r="B452" s="196" t="s">
        <v>359</v>
      </c>
      <c r="C452" s="3" t="s">
        <v>360</v>
      </c>
      <c r="D452" s="40">
        <v>265</v>
      </c>
      <c r="E452" s="146">
        <v>65051</v>
      </c>
      <c r="F452" s="146">
        <v>63255</v>
      </c>
      <c r="G452" s="213" t="s">
        <v>500</v>
      </c>
      <c r="H452" s="146">
        <v>1796</v>
      </c>
      <c r="I452" s="215">
        <v>0</v>
      </c>
      <c r="J452" s="215">
        <v>0</v>
      </c>
      <c r="K452" s="215">
        <v>0</v>
      </c>
      <c r="L452" s="146">
        <v>1796</v>
      </c>
    </row>
    <row r="453" spans="1:12" outlineLevel="2" x14ac:dyDescent="0.25">
      <c r="A453" s="40" t="s">
        <v>76</v>
      </c>
      <c r="B453" s="196" t="s">
        <v>141</v>
      </c>
      <c r="C453" s="3" t="s">
        <v>126</v>
      </c>
      <c r="D453" s="40">
        <v>48</v>
      </c>
      <c r="E453" s="146">
        <v>17377719</v>
      </c>
      <c r="F453" s="146">
        <v>15811250</v>
      </c>
      <c r="G453" s="213" t="s">
        <v>500</v>
      </c>
      <c r="H453" s="146">
        <v>1566469</v>
      </c>
      <c r="I453" s="146">
        <v>1150</v>
      </c>
      <c r="J453" s="215">
        <v>0</v>
      </c>
      <c r="K453" s="146">
        <v>1150</v>
      </c>
      <c r="L453" s="146">
        <v>1565319</v>
      </c>
    </row>
    <row r="454" spans="1:12" outlineLevel="2" x14ac:dyDescent="0.25">
      <c r="A454" s="40" t="s">
        <v>76</v>
      </c>
      <c r="B454" s="196" t="s">
        <v>210</v>
      </c>
      <c r="C454" s="3" t="s">
        <v>211</v>
      </c>
      <c r="D454" s="40">
        <v>218</v>
      </c>
      <c r="E454" s="146">
        <v>3808780</v>
      </c>
      <c r="F454" s="146">
        <v>3065621</v>
      </c>
      <c r="G454" s="213" t="s">
        <v>500</v>
      </c>
      <c r="H454" s="146">
        <v>743159</v>
      </c>
      <c r="I454" s="215">
        <v>0</v>
      </c>
      <c r="J454" s="215">
        <v>0</v>
      </c>
      <c r="K454" s="215">
        <v>0</v>
      </c>
      <c r="L454" s="146">
        <v>743159</v>
      </c>
    </row>
    <row r="455" spans="1:12" outlineLevel="2" x14ac:dyDescent="0.25">
      <c r="A455" s="40" t="s">
        <v>76</v>
      </c>
      <c r="B455" s="196" t="s">
        <v>144</v>
      </c>
      <c r="C455" s="3" t="s">
        <v>145</v>
      </c>
      <c r="D455" s="40">
        <v>350</v>
      </c>
      <c r="E455" s="146">
        <v>59562</v>
      </c>
      <c r="F455" s="146">
        <v>51005</v>
      </c>
      <c r="G455" s="213" t="s">
        <v>500</v>
      </c>
      <c r="H455" s="146">
        <v>8557</v>
      </c>
      <c r="I455" s="215">
        <v>0</v>
      </c>
      <c r="J455" s="215">
        <v>0</v>
      </c>
      <c r="K455" s="215">
        <v>0</v>
      </c>
      <c r="L455" s="146">
        <v>8557</v>
      </c>
    </row>
    <row r="456" spans="1:12" ht="15.6" customHeight="1" outlineLevel="2" x14ac:dyDescent="0.25">
      <c r="A456" s="40" t="s">
        <v>76</v>
      </c>
      <c r="B456" s="196" t="s">
        <v>146</v>
      </c>
      <c r="C456" s="3" t="s">
        <v>147</v>
      </c>
      <c r="D456" s="40">
        <v>173</v>
      </c>
      <c r="E456" s="146">
        <v>1816992</v>
      </c>
      <c r="F456" s="146">
        <v>1816992</v>
      </c>
      <c r="G456" s="213" t="s">
        <v>500</v>
      </c>
      <c r="H456" s="215">
        <v>0</v>
      </c>
      <c r="I456" s="146">
        <v>4260</v>
      </c>
      <c r="J456" s="146">
        <v>1109</v>
      </c>
      <c r="K456" s="146">
        <v>3151</v>
      </c>
      <c r="L456" s="146">
        <v>-3151</v>
      </c>
    </row>
    <row r="457" spans="1:12" outlineLevel="2" x14ac:dyDescent="0.25">
      <c r="A457" s="40" t="s">
        <v>76</v>
      </c>
      <c r="B457" s="196" t="s">
        <v>338</v>
      </c>
      <c r="C457" s="3" t="s">
        <v>339</v>
      </c>
      <c r="D457" s="40">
        <v>335</v>
      </c>
      <c r="E457" s="146">
        <v>33394</v>
      </c>
      <c r="F457" s="146">
        <v>32132</v>
      </c>
      <c r="G457" s="213" t="s">
        <v>500</v>
      </c>
      <c r="H457" s="146">
        <v>1262</v>
      </c>
      <c r="I457" s="215">
        <v>0</v>
      </c>
      <c r="J457" s="215">
        <v>0</v>
      </c>
      <c r="K457" s="215">
        <v>0</v>
      </c>
      <c r="L457" s="146">
        <v>1262</v>
      </c>
    </row>
    <row r="458" spans="1:12" ht="45.75" outlineLevel="2" x14ac:dyDescent="0.25">
      <c r="A458" s="40" t="s">
        <v>76</v>
      </c>
      <c r="B458" s="196" t="s">
        <v>343</v>
      </c>
      <c r="C458" s="3" t="s">
        <v>344</v>
      </c>
      <c r="D458" s="40">
        <v>329</v>
      </c>
      <c r="E458" s="146">
        <v>1430358</v>
      </c>
      <c r="F458" s="146">
        <v>1149030</v>
      </c>
      <c r="G458" s="213" t="s">
        <v>500</v>
      </c>
      <c r="H458" s="146">
        <v>281328</v>
      </c>
      <c r="I458" s="215">
        <v>0</v>
      </c>
      <c r="J458" s="215">
        <v>0</v>
      </c>
      <c r="K458" s="215">
        <v>0</v>
      </c>
      <c r="L458" s="146">
        <v>281328</v>
      </c>
    </row>
    <row r="459" spans="1:12" ht="30.95" customHeight="1" outlineLevel="2" x14ac:dyDescent="0.25">
      <c r="A459" s="40" t="s">
        <v>76</v>
      </c>
      <c r="B459" s="196" t="s">
        <v>311</v>
      </c>
      <c r="C459" s="3" t="s">
        <v>312</v>
      </c>
      <c r="D459" s="40">
        <v>261</v>
      </c>
      <c r="E459" s="146">
        <v>927647</v>
      </c>
      <c r="F459" s="146">
        <v>917209</v>
      </c>
      <c r="G459" s="213" t="s">
        <v>500</v>
      </c>
      <c r="H459" s="146">
        <v>10438</v>
      </c>
      <c r="I459" s="146">
        <v>12411</v>
      </c>
      <c r="J459" s="146">
        <v>10089</v>
      </c>
      <c r="K459" s="146">
        <v>2322</v>
      </c>
      <c r="L459" s="146">
        <v>8116</v>
      </c>
    </row>
    <row r="460" spans="1:12" outlineLevel="2" x14ac:dyDescent="0.25">
      <c r="A460" s="40" t="s">
        <v>76</v>
      </c>
      <c r="B460" s="196" t="s">
        <v>148</v>
      </c>
      <c r="C460" s="3" t="s">
        <v>149</v>
      </c>
      <c r="D460" s="40">
        <v>244</v>
      </c>
      <c r="E460" s="146">
        <v>3164646</v>
      </c>
      <c r="F460" s="146">
        <v>3131852</v>
      </c>
      <c r="G460" s="213" t="s">
        <v>500</v>
      </c>
      <c r="H460" s="146">
        <v>32794</v>
      </c>
      <c r="I460" s="146">
        <v>471</v>
      </c>
      <c r="J460" s="146">
        <v>471</v>
      </c>
      <c r="K460" s="215">
        <v>0</v>
      </c>
      <c r="L460" s="146">
        <v>32794</v>
      </c>
    </row>
    <row r="461" spans="1:12" ht="14.45" customHeight="1" outlineLevel="2" x14ac:dyDescent="0.25">
      <c r="A461" s="40" t="s">
        <v>76</v>
      </c>
      <c r="B461" s="196" t="s">
        <v>356</v>
      </c>
      <c r="C461" s="3" t="s">
        <v>357</v>
      </c>
      <c r="D461" s="40">
        <v>182</v>
      </c>
      <c r="E461" s="146">
        <v>109517</v>
      </c>
      <c r="F461" s="146">
        <v>107006</v>
      </c>
      <c r="G461" s="213" t="s">
        <v>500</v>
      </c>
      <c r="H461" s="146">
        <v>2511</v>
      </c>
      <c r="I461" s="215">
        <v>0</v>
      </c>
      <c r="J461" s="215">
        <v>0</v>
      </c>
      <c r="K461" s="215">
        <v>0</v>
      </c>
      <c r="L461" s="146">
        <v>2511</v>
      </c>
    </row>
    <row r="462" spans="1:12" outlineLevel="1" x14ac:dyDescent="0.25">
      <c r="A462" s="40" t="s">
        <v>76</v>
      </c>
      <c r="B462" s="196" t="s">
        <v>322</v>
      </c>
      <c r="C462" s="3" t="s">
        <v>126</v>
      </c>
      <c r="D462" s="40">
        <v>280</v>
      </c>
      <c r="E462" s="146">
        <v>87954</v>
      </c>
      <c r="F462" s="146">
        <v>82480</v>
      </c>
      <c r="G462" s="213" t="s">
        <v>500</v>
      </c>
      <c r="H462" s="146">
        <v>5474</v>
      </c>
      <c r="I462" s="215">
        <v>0</v>
      </c>
      <c r="J462" s="215">
        <v>0</v>
      </c>
      <c r="K462" s="215">
        <v>0</v>
      </c>
      <c r="L462" s="146">
        <v>5474</v>
      </c>
    </row>
    <row r="463" spans="1:12" ht="30.75" outlineLevel="2" x14ac:dyDescent="0.25">
      <c r="A463" s="40" t="s">
        <v>76</v>
      </c>
      <c r="B463" s="196" t="s">
        <v>345</v>
      </c>
      <c r="C463" s="3" t="s">
        <v>112</v>
      </c>
      <c r="D463" s="40">
        <v>176</v>
      </c>
      <c r="E463" s="146">
        <v>6362242</v>
      </c>
      <c r="F463" s="146">
        <v>6209882</v>
      </c>
      <c r="G463" s="213" t="s">
        <v>500</v>
      </c>
      <c r="H463" s="146">
        <v>152360</v>
      </c>
      <c r="I463" s="146">
        <v>203356</v>
      </c>
      <c r="J463" s="146">
        <v>203356</v>
      </c>
      <c r="K463" s="215">
        <v>0</v>
      </c>
      <c r="L463" s="146">
        <v>152360</v>
      </c>
    </row>
    <row r="464" spans="1:12" outlineLevel="2" x14ac:dyDescent="0.25">
      <c r="A464" s="40" t="s">
        <v>76</v>
      </c>
      <c r="B464" s="196" t="s">
        <v>352</v>
      </c>
      <c r="C464" s="3" t="s">
        <v>353</v>
      </c>
      <c r="D464" s="40">
        <v>57</v>
      </c>
      <c r="E464" s="146">
        <v>1148847</v>
      </c>
      <c r="F464" s="146">
        <v>892434</v>
      </c>
      <c r="G464" s="213" t="s">
        <v>500</v>
      </c>
      <c r="H464" s="146">
        <v>256413</v>
      </c>
      <c r="I464" s="215">
        <v>0</v>
      </c>
      <c r="J464" s="215">
        <v>0</v>
      </c>
      <c r="K464" s="215">
        <v>0</v>
      </c>
      <c r="L464" s="146">
        <v>256413</v>
      </c>
    </row>
    <row r="465" spans="1:12" outlineLevel="2" x14ac:dyDescent="0.25">
      <c r="A465" s="40" t="s">
        <v>76</v>
      </c>
      <c r="B465" s="196" t="s">
        <v>150</v>
      </c>
      <c r="C465" s="3" t="s">
        <v>151</v>
      </c>
      <c r="D465" s="40">
        <v>171</v>
      </c>
      <c r="E465" s="146">
        <v>2152382</v>
      </c>
      <c r="F465" s="146">
        <v>1909924</v>
      </c>
      <c r="G465" s="213" t="s">
        <v>500</v>
      </c>
      <c r="H465" s="146">
        <v>242458</v>
      </c>
      <c r="I465" s="215">
        <v>0</v>
      </c>
      <c r="J465" s="215">
        <v>0</v>
      </c>
      <c r="K465" s="215">
        <v>0</v>
      </c>
      <c r="L465" s="146">
        <v>242458</v>
      </c>
    </row>
    <row r="466" spans="1:12" ht="45.75" outlineLevel="2" x14ac:dyDescent="0.25">
      <c r="A466" s="40" t="s">
        <v>76</v>
      </c>
      <c r="B466" s="196" t="s">
        <v>152</v>
      </c>
      <c r="C466" s="3" t="s">
        <v>149</v>
      </c>
      <c r="D466" s="40">
        <v>258</v>
      </c>
      <c r="E466" s="146">
        <v>3369668</v>
      </c>
      <c r="F466" s="146">
        <v>2647678</v>
      </c>
      <c r="G466" s="213" t="s">
        <v>500</v>
      </c>
      <c r="H466" s="146">
        <v>721990</v>
      </c>
      <c r="I466" s="215">
        <v>0</v>
      </c>
      <c r="J466" s="215">
        <v>0</v>
      </c>
      <c r="K466" s="215">
        <v>0</v>
      </c>
      <c r="L466" s="146">
        <v>721990</v>
      </c>
    </row>
    <row r="467" spans="1:12" outlineLevel="2" x14ac:dyDescent="0.25">
      <c r="A467" s="40" t="s">
        <v>76</v>
      </c>
      <c r="B467" s="196" t="s">
        <v>354</v>
      </c>
      <c r="C467" s="3" t="s">
        <v>355</v>
      </c>
      <c r="D467" s="40">
        <v>58</v>
      </c>
      <c r="E467" s="146">
        <v>3305227</v>
      </c>
      <c r="F467" s="146">
        <v>3224482</v>
      </c>
      <c r="G467" s="213" t="s">
        <v>500</v>
      </c>
      <c r="H467" s="146">
        <v>80745</v>
      </c>
      <c r="I467" s="215">
        <v>0</v>
      </c>
      <c r="J467" s="215">
        <v>0</v>
      </c>
      <c r="K467" s="215">
        <v>0</v>
      </c>
      <c r="L467" s="146">
        <v>80745</v>
      </c>
    </row>
    <row r="468" spans="1:12" outlineLevel="2" x14ac:dyDescent="0.25">
      <c r="A468" s="40" t="s">
        <v>76</v>
      </c>
      <c r="B468" s="196" t="s">
        <v>325</v>
      </c>
      <c r="C468" s="3" t="s">
        <v>326</v>
      </c>
      <c r="D468" s="40">
        <v>308</v>
      </c>
      <c r="E468" s="146">
        <v>135845</v>
      </c>
      <c r="F468" s="146">
        <v>43821</v>
      </c>
      <c r="G468" s="213" t="s">
        <v>500</v>
      </c>
      <c r="H468" s="146">
        <v>92024</v>
      </c>
      <c r="I468" s="215">
        <v>0</v>
      </c>
      <c r="J468" s="215">
        <v>0</v>
      </c>
      <c r="K468" s="215">
        <v>0</v>
      </c>
      <c r="L468" s="146">
        <v>92024</v>
      </c>
    </row>
    <row r="469" spans="1:12" outlineLevel="2" x14ac:dyDescent="0.25">
      <c r="A469" s="40" t="s">
        <v>76</v>
      </c>
      <c r="B469" s="196" t="s">
        <v>153</v>
      </c>
      <c r="C469" s="3" t="s">
        <v>126</v>
      </c>
      <c r="D469" s="40">
        <v>260</v>
      </c>
      <c r="E469" s="146">
        <v>21787691</v>
      </c>
      <c r="F469" s="146">
        <v>21509807</v>
      </c>
      <c r="G469" s="213" t="s">
        <v>500</v>
      </c>
      <c r="H469" s="146">
        <v>277884</v>
      </c>
      <c r="I469" s="146">
        <v>1090955</v>
      </c>
      <c r="J469" s="146">
        <v>31533</v>
      </c>
      <c r="K469" s="146">
        <v>1059422</v>
      </c>
      <c r="L469" s="146">
        <v>-781538</v>
      </c>
    </row>
    <row r="470" spans="1:12" outlineLevel="2" x14ac:dyDescent="0.25">
      <c r="A470" s="40" t="s">
        <v>76</v>
      </c>
      <c r="B470" s="196" t="s">
        <v>180</v>
      </c>
      <c r="C470" s="3" t="s">
        <v>181</v>
      </c>
      <c r="D470" s="40">
        <v>346</v>
      </c>
      <c r="E470" s="146">
        <v>51841</v>
      </c>
      <c r="F470" s="146">
        <v>50296</v>
      </c>
      <c r="G470" s="213" t="s">
        <v>500</v>
      </c>
      <c r="H470" s="146">
        <v>1545</v>
      </c>
      <c r="I470" s="215">
        <v>0</v>
      </c>
      <c r="J470" s="215">
        <v>0</v>
      </c>
      <c r="K470" s="215">
        <v>0</v>
      </c>
      <c r="L470" s="146">
        <v>1545</v>
      </c>
    </row>
    <row r="471" spans="1:12" ht="15.6" customHeight="1" outlineLevel="2" x14ac:dyDescent="0.25">
      <c r="A471" s="243" t="s">
        <v>76</v>
      </c>
      <c r="B471" s="196" t="s">
        <v>156</v>
      </c>
      <c r="C471" s="3" t="s">
        <v>157</v>
      </c>
      <c r="D471" s="40">
        <v>351</v>
      </c>
      <c r="E471" s="146">
        <v>63789</v>
      </c>
      <c r="F471" s="146">
        <v>58955</v>
      </c>
      <c r="G471" s="213" t="s">
        <v>500</v>
      </c>
      <c r="H471" s="146">
        <v>4834</v>
      </c>
      <c r="I471" s="215">
        <v>0</v>
      </c>
      <c r="J471" s="215">
        <v>0</v>
      </c>
      <c r="K471" s="215">
        <v>0</v>
      </c>
      <c r="L471" s="146">
        <v>4834</v>
      </c>
    </row>
    <row r="472" spans="1:12" outlineLevel="2" x14ac:dyDescent="0.25">
      <c r="A472" s="241" t="s">
        <v>269</v>
      </c>
      <c r="B472" s="184" t="s">
        <v>500</v>
      </c>
      <c r="C472" s="74" t="s">
        <v>500</v>
      </c>
      <c r="D472" s="180" t="s">
        <v>500</v>
      </c>
      <c r="E472" s="78">
        <f>SUBTOTAL(109,school200809[Program
Costs])</f>
        <v>479114940</v>
      </c>
      <c r="F472" s="78">
        <f>SUBTOTAL(109,school200809[Less: Net Payments and Offsets 10])</f>
        <v>380599458</v>
      </c>
      <c r="G472" s="74" t="s">
        <v>500</v>
      </c>
      <c r="H472" s="78">
        <f>SUBTOTAL(109,school200809[Accounts Payable
Balance])</f>
        <v>98515482</v>
      </c>
      <c r="I472" s="78">
        <f>SUBTOTAL(109,school200809[Established
Accounts Receivable])</f>
        <v>2272295</v>
      </c>
      <c r="J472" s="78">
        <f>SUBTOTAL(109,school200809[Less: Recovered Amount])</f>
        <v>295119</v>
      </c>
      <c r="K472" s="78">
        <f>SUBTOTAL(109,school200809[Accounts Receivable
Balance])</f>
        <v>1977176</v>
      </c>
      <c r="L472" s="78">
        <f>SUBTOTAL(109,school200809[Net
Balance])</f>
        <v>96538306</v>
      </c>
    </row>
    <row r="473" spans="1:12" s="244" customFormat="1" ht="15" outlineLevel="2" x14ac:dyDescent="0.2">
      <c r="A473" s="214" t="s">
        <v>508</v>
      </c>
      <c r="B473" s="196"/>
      <c r="C473" s="3"/>
      <c r="D473" s="40"/>
      <c r="E473" s="146"/>
      <c r="F473" s="146"/>
      <c r="G473" s="146"/>
      <c r="H473" s="146"/>
      <c r="I473" s="146"/>
      <c r="J473" s="146"/>
      <c r="K473" s="146"/>
      <c r="L473" s="146"/>
    </row>
    <row r="474" spans="1:12" ht="50.1" customHeight="1" outlineLevel="2" x14ac:dyDescent="0.25">
      <c r="A474" s="204" t="s">
        <v>98</v>
      </c>
      <c r="B474" s="204" t="s">
        <v>99</v>
      </c>
      <c r="C474" s="176" t="s">
        <v>1</v>
      </c>
      <c r="D474" s="204" t="s">
        <v>195</v>
      </c>
      <c r="E474" s="238" t="s">
        <v>188</v>
      </c>
      <c r="F474" s="239" t="s">
        <v>533</v>
      </c>
      <c r="G474" s="212" t="s">
        <v>532</v>
      </c>
      <c r="H474" s="210" t="s">
        <v>528</v>
      </c>
      <c r="I474" s="210" t="s">
        <v>529</v>
      </c>
      <c r="J474" s="238" t="s">
        <v>197</v>
      </c>
      <c r="K474" s="210" t="s">
        <v>530</v>
      </c>
      <c r="L474" s="238" t="s">
        <v>196</v>
      </c>
    </row>
    <row r="475" spans="1:12" ht="15.6" customHeight="1" outlineLevel="2" x14ac:dyDescent="0.25">
      <c r="A475" s="40" t="s">
        <v>79</v>
      </c>
      <c r="B475" s="196" t="s">
        <v>213</v>
      </c>
      <c r="C475" s="3" t="s">
        <v>214</v>
      </c>
      <c r="D475" s="40">
        <v>170</v>
      </c>
      <c r="E475" s="215">
        <v>0</v>
      </c>
      <c r="F475" s="215">
        <v>0</v>
      </c>
      <c r="G475" s="213" t="s">
        <v>500</v>
      </c>
      <c r="H475" s="215">
        <v>0</v>
      </c>
      <c r="I475" s="146">
        <v>1000</v>
      </c>
      <c r="J475" s="215">
        <v>0</v>
      </c>
      <c r="K475" s="146">
        <v>1000</v>
      </c>
      <c r="L475" s="146">
        <v>-1000</v>
      </c>
    </row>
    <row r="476" spans="1:12" outlineLevel="2" x14ac:dyDescent="0.25">
      <c r="A476" s="40" t="s">
        <v>79</v>
      </c>
      <c r="B476" s="196" t="s">
        <v>313</v>
      </c>
      <c r="C476" s="3" t="s">
        <v>314</v>
      </c>
      <c r="D476" s="40">
        <v>305</v>
      </c>
      <c r="E476" s="146">
        <v>117677</v>
      </c>
      <c r="F476" s="146">
        <v>104958</v>
      </c>
      <c r="G476" s="213" t="s">
        <v>500</v>
      </c>
      <c r="H476" s="146">
        <v>12719</v>
      </c>
      <c r="I476" s="215">
        <v>0</v>
      </c>
      <c r="J476" s="215">
        <v>0</v>
      </c>
      <c r="K476" s="215">
        <v>0</v>
      </c>
      <c r="L476" s="146">
        <v>12719</v>
      </c>
    </row>
    <row r="477" spans="1:12" ht="30.75" outlineLevel="2" x14ac:dyDescent="0.25">
      <c r="A477" s="40" t="s">
        <v>79</v>
      </c>
      <c r="B477" s="196" t="s">
        <v>101</v>
      </c>
      <c r="C477" s="3" t="s">
        <v>102</v>
      </c>
      <c r="D477" s="40">
        <v>250</v>
      </c>
      <c r="E477" s="146">
        <v>1709781</v>
      </c>
      <c r="F477" s="146">
        <v>1015426</v>
      </c>
      <c r="G477" s="213" t="s">
        <v>500</v>
      </c>
      <c r="H477" s="146">
        <v>694355</v>
      </c>
      <c r="I477" s="146">
        <v>7</v>
      </c>
      <c r="J477" s="146">
        <v>4</v>
      </c>
      <c r="K477" s="146">
        <v>3</v>
      </c>
      <c r="L477" s="146">
        <v>694352</v>
      </c>
    </row>
    <row r="478" spans="1:12" ht="30.75" outlineLevel="2" x14ac:dyDescent="0.25">
      <c r="A478" s="40" t="s">
        <v>79</v>
      </c>
      <c r="B478" s="196" t="s">
        <v>340</v>
      </c>
      <c r="C478" s="3" t="s">
        <v>335</v>
      </c>
      <c r="D478" s="40">
        <v>348</v>
      </c>
      <c r="E478" s="146">
        <v>53867214</v>
      </c>
      <c r="F478" s="146">
        <v>45736429</v>
      </c>
      <c r="G478" s="213" t="s">
        <v>500</v>
      </c>
      <c r="H478" s="146">
        <v>8130785</v>
      </c>
      <c r="I478" s="215">
        <v>0</v>
      </c>
      <c r="J478" s="215">
        <v>0</v>
      </c>
      <c r="K478" s="215">
        <v>0</v>
      </c>
      <c r="L478" s="146">
        <v>8130785</v>
      </c>
    </row>
    <row r="479" spans="1:12" ht="30.75" outlineLevel="2" x14ac:dyDescent="0.25">
      <c r="A479" s="40" t="s">
        <v>79</v>
      </c>
      <c r="B479" s="196" t="s">
        <v>328</v>
      </c>
      <c r="C479" s="3" t="s">
        <v>329</v>
      </c>
      <c r="D479" s="40">
        <v>286</v>
      </c>
      <c r="E479" s="146">
        <v>72259</v>
      </c>
      <c r="F479" s="146">
        <v>49294</v>
      </c>
      <c r="G479" s="213" t="s">
        <v>500</v>
      </c>
      <c r="H479" s="146">
        <v>22965</v>
      </c>
      <c r="I479" s="215">
        <v>0</v>
      </c>
      <c r="J479" s="215">
        <v>0</v>
      </c>
      <c r="K479" s="215">
        <v>0</v>
      </c>
      <c r="L479" s="146">
        <v>22965</v>
      </c>
    </row>
    <row r="480" spans="1:12" ht="30.75" outlineLevel="2" x14ac:dyDescent="0.25">
      <c r="A480" s="40" t="s">
        <v>79</v>
      </c>
      <c r="B480" s="196" t="s">
        <v>109</v>
      </c>
      <c r="C480" s="3" t="s">
        <v>110</v>
      </c>
      <c r="D480" s="40">
        <v>172</v>
      </c>
      <c r="E480" s="146">
        <v>624944</v>
      </c>
      <c r="F480" s="146">
        <v>536418</v>
      </c>
      <c r="G480" s="213" t="s">
        <v>500</v>
      </c>
      <c r="H480" s="146">
        <v>88526</v>
      </c>
      <c r="I480" s="215">
        <v>0</v>
      </c>
      <c r="J480" s="215">
        <v>0</v>
      </c>
      <c r="K480" s="215">
        <v>0</v>
      </c>
      <c r="L480" s="146">
        <v>88526</v>
      </c>
    </row>
    <row r="481" spans="1:12" outlineLevel="2" x14ac:dyDescent="0.25">
      <c r="A481" s="40" t="s">
        <v>79</v>
      </c>
      <c r="B481" s="196" t="s">
        <v>309</v>
      </c>
      <c r="C481" s="3" t="s">
        <v>310</v>
      </c>
      <c r="D481" s="40">
        <v>278</v>
      </c>
      <c r="E481" s="146">
        <v>1740107</v>
      </c>
      <c r="F481" s="146">
        <v>1552010</v>
      </c>
      <c r="G481" s="213" t="s">
        <v>500</v>
      </c>
      <c r="H481" s="146">
        <v>188097</v>
      </c>
      <c r="I481" s="215">
        <v>0</v>
      </c>
      <c r="J481" s="215">
        <v>0</v>
      </c>
      <c r="K481" s="215">
        <v>0</v>
      </c>
      <c r="L481" s="146">
        <v>188097</v>
      </c>
    </row>
    <row r="482" spans="1:12" ht="30.75" outlineLevel="2" x14ac:dyDescent="0.25">
      <c r="A482" s="40" t="s">
        <v>79</v>
      </c>
      <c r="B482" s="196" t="s">
        <v>115</v>
      </c>
      <c r="C482" s="3" t="s">
        <v>116</v>
      </c>
      <c r="D482" s="40">
        <v>11</v>
      </c>
      <c r="E482" s="146">
        <v>23972104</v>
      </c>
      <c r="F482" s="146">
        <v>21133564</v>
      </c>
      <c r="G482" s="213" t="s">
        <v>500</v>
      </c>
      <c r="H482" s="146">
        <v>2838540</v>
      </c>
      <c r="I482" s="146">
        <v>2</v>
      </c>
      <c r="J482" s="215">
        <v>0</v>
      </c>
      <c r="K482" s="146">
        <v>2</v>
      </c>
      <c r="L482" s="146">
        <v>2838538</v>
      </c>
    </row>
    <row r="483" spans="1:12" outlineLevel="2" x14ac:dyDescent="0.25">
      <c r="A483" s="40" t="s">
        <v>79</v>
      </c>
      <c r="B483" s="196" t="s">
        <v>358</v>
      </c>
      <c r="C483" s="3" t="s">
        <v>118</v>
      </c>
      <c r="D483" s="40">
        <v>223</v>
      </c>
      <c r="E483" s="146">
        <v>4039486</v>
      </c>
      <c r="F483" s="146">
        <v>3691207</v>
      </c>
      <c r="G483" s="213" t="s">
        <v>500</v>
      </c>
      <c r="H483" s="146">
        <v>348279</v>
      </c>
      <c r="I483" s="146">
        <v>3</v>
      </c>
      <c r="J483" s="215">
        <v>0</v>
      </c>
      <c r="K483" s="146">
        <v>3</v>
      </c>
      <c r="L483" s="146">
        <v>348276</v>
      </c>
    </row>
    <row r="484" spans="1:12" ht="45.75" outlineLevel="2" x14ac:dyDescent="0.25">
      <c r="A484" s="40" t="s">
        <v>79</v>
      </c>
      <c r="B484" s="196" t="s">
        <v>103</v>
      </c>
      <c r="C484" s="3" t="s">
        <v>104</v>
      </c>
      <c r="D484" s="40">
        <v>272</v>
      </c>
      <c r="E484" s="146">
        <v>9224219</v>
      </c>
      <c r="F484" s="146">
        <v>8491932</v>
      </c>
      <c r="G484" s="213" t="s">
        <v>500</v>
      </c>
      <c r="H484" s="146">
        <v>732287</v>
      </c>
      <c r="I484" s="146">
        <v>2</v>
      </c>
      <c r="J484" s="215">
        <v>0</v>
      </c>
      <c r="K484" s="146">
        <v>2</v>
      </c>
      <c r="L484" s="146">
        <v>732285</v>
      </c>
    </row>
    <row r="485" spans="1:12" ht="45.75" outlineLevel="2" x14ac:dyDescent="0.25">
      <c r="A485" s="40" t="s">
        <v>79</v>
      </c>
      <c r="B485" s="196" t="s">
        <v>139</v>
      </c>
      <c r="C485" s="3" t="s">
        <v>140</v>
      </c>
      <c r="D485" s="40">
        <v>276</v>
      </c>
      <c r="E485" s="146">
        <v>891073</v>
      </c>
      <c r="F485" s="146">
        <v>717431</v>
      </c>
      <c r="G485" s="213" t="s">
        <v>500</v>
      </c>
      <c r="H485" s="146">
        <v>173642</v>
      </c>
      <c r="I485" s="215">
        <v>0</v>
      </c>
      <c r="J485" s="215">
        <v>0</v>
      </c>
      <c r="K485" s="215">
        <v>0</v>
      </c>
      <c r="L485" s="146">
        <v>173642</v>
      </c>
    </row>
    <row r="486" spans="1:12" ht="46.5" customHeight="1" outlineLevel="2" x14ac:dyDescent="0.25">
      <c r="A486" s="40" t="s">
        <v>79</v>
      </c>
      <c r="B486" s="196" t="s">
        <v>361</v>
      </c>
      <c r="C486" s="3" t="s">
        <v>362</v>
      </c>
      <c r="D486" s="40">
        <v>291</v>
      </c>
      <c r="E486" s="146">
        <v>346400</v>
      </c>
      <c r="F486" s="146">
        <v>287064</v>
      </c>
      <c r="G486" s="213" t="s">
        <v>500</v>
      </c>
      <c r="H486" s="146">
        <v>59336</v>
      </c>
      <c r="I486" s="215">
        <v>0</v>
      </c>
      <c r="J486" s="215">
        <v>0</v>
      </c>
      <c r="K486" s="215">
        <v>0</v>
      </c>
      <c r="L486" s="146">
        <v>59336</v>
      </c>
    </row>
    <row r="487" spans="1:12" ht="30.75" outlineLevel="2" x14ac:dyDescent="0.25">
      <c r="A487" s="40" t="s">
        <v>79</v>
      </c>
      <c r="B487" s="196" t="s">
        <v>113</v>
      </c>
      <c r="C487" s="3" t="s">
        <v>114</v>
      </c>
      <c r="D487" s="40">
        <v>209</v>
      </c>
      <c r="E487" s="146">
        <v>309546</v>
      </c>
      <c r="F487" s="146">
        <v>224475</v>
      </c>
      <c r="G487" s="213" t="s">
        <v>500</v>
      </c>
      <c r="H487" s="146">
        <v>85071</v>
      </c>
      <c r="I487" s="215">
        <v>0</v>
      </c>
      <c r="J487" s="215">
        <v>0</v>
      </c>
      <c r="K487" s="215">
        <v>0</v>
      </c>
      <c r="L487" s="146">
        <v>85071</v>
      </c>
    </row>
    <row r="488" spans="1:12" outlineLevel="2" x14ac:dyDescent="0.25">
      <c r="A488" s="40" t="s">
        <v>79</v>
      </c>
      <c r="B488" s="196" t="s">
        <v>119</v>
      </c>
      <c r="C488" s="3" t="s">
        <v>120</v>
      </c>
      <c r="D488" s="40">
        <v>183</v>
      </c>
      <c r="E488" s="146">
        <v>868045</v>
      </c>
      <c r="F488" s="146">
        <v>731745</v>
      </c>
      <c r="G488" s="213" t="s">
        <v>500</v>
      </c>
      <c r="H488" s="146">
        <v>136300</v>
      </c>
      <c r="I488" s="146">
        <v>1</v>
      </c>
      <c r="J488" s="146">
        <v>1</v>
      </c>
      <c r="K488" s="215">
        <v>0</v>
      </c>
      <c r="L488" s="146">
        <v>136300</v>
      </c>
    </row>
    <row r="489" spans="1:12" outlineLevel="2" x14ac:dyDescent="0.25">
      <c r="A489" s="40" t="s">
        <v>79</v>
      </c>
      <c r="B489" s="196" t="s">
        <v>121</v>
      </c>
      <c r="C489" s="3" t="s">
        <v>122</v>
      </c>
      <c r="D489" s="40">
        <v>251</v>
      </c>
      <c r="E489" s="146">
        <v>459132</v>
      </c>
      <c r="F489" s="146">
        <v>388107</v>
      </c>
      <c r="G489" s="213" t="s">
        <v>500</v>
      </c>
      <c r="H489" s="146">
        <v>71025</v>
      </c>
      <c r="I489" s="215">
        <v>0</v>
      </c>
      <c r="J489" s="215">
        <v>0</v>
      </c>
      <c r="K489" s="215">
        <v>0</v>
      </c>
      <c r="L489" s="146">
        <v>71025</v>
      </c>
    </row>
    <row r="490" spans="1:12" ht="30.75" outlineLevel="2" x14ac:dyDescent="0.25">
      <c r="A490" s="40" t="s">
        <v>79</v>
      </c>
      <c r="B490" s="196" t="s">
        <v>317</v>
      </c>
      <c r="C490" s="3" t="s">
        <v>112</v>
      </c>
      <c r="D490" s="40">
        <v>91</v>
      </c>
      <c r="E490" s="146">
        <v>13054</v>
      </c>
      <c r="F490" s="146">
        <v>11243</v>
      </c>
      <c r="G490" s="213" t="s">
        <v>500</v>
      </c>
      <c r="H490" s="146">
        <v>1811</v>
      </c>
      <c r="I490" s="215">
        <v>0</v>
      </c>
      <c r="J490" s="215">
        <v>0</v>
      </c>
      <c r="K490" s="215">
        <v>0</v>
      </c>
      <c r="L490" s="146">
        <v>1811</v>
      </c>
    </row>
    <row r="491" spans="1:12" ht="15.6" customHeight="1" outlineLevel="2" x14ac:dyDescent="0.25">
      <c r="A491" s="40" t="s">
        <v>79</v>
      </c>
      <c r="B491" s="196" t="s">
        <v>123</v>
      </c>
      <c r="C491" s="3" t="s">
        <v>124</v>
      </c>
      <c r="D491" s="40">
        <v>192</v>
      </c>
      <c r="E491" s="146">
        <v>415489</v>
      </c>
      <c r="F491" s="146">
        <v>357800</v>
      </c>
      <c r="G491" s="213" t="s">
        <v>500</v>
      </c>
      <c r="H491" s="146">
        <v>57689</v>
      </c>
      <c r="I491" s="215">
        <v>0</v>
      </c>
      <c r="J491" s="215">
        <v>0</v>
      </c>
      <c r="K491" s="215">
        <v>0</v>
      </c>
      <c r="L491" s="146">
        <v>57689</v>
      </c>
    </row>
    <row r="492" spans="1:12" outlineLevel="2" x14ac:dyDescent="0.25">
      <c r="A492" s="40" t="s">
        <v>79</v>
      </c>
      <c r="B492" s="196" t="s">
        <v>363</v>
      </c>
      <c r="C492" s="3" t="s">
        <v>126</v>
      </c>
      <c r="D492" s="40">
        <v>26</v>
      </c>
      <c r="E492" s="146">
        <v>27025365</v>
      </c>
      <c r="F492" s="146">
        <v>19200448</v>
      </c>
      <c r="G492" s="213" t="s">
        <v>500</v>
      </c>
      <c r="H492" s="146">
        <v>7824917</v>
      </c>
      <c r="I492" s="215">
        <v>0</v>
      </c>
      <c r="J492" s="215">
        <v>0</v>
      </c>
      <c r="K492" s="215">
        <v>0</v>
      </c>
      <c r="L492" s="146">
        <v>7824917</v>
      </c>
    </row>
    <row r="493" spans="1:12" ht="30.75" outlineLevel="2" x14ac:dyDescent="0.25">
      <c r="A493" s="40" t="s">
        <v>79</v>
      </c>
      <c r="B493" s="196" t="s">
        <v>125</v>
      </c>
      <c r="C493" s="3" t="s">
        <v>126</v>
      </c>
      <c r="D493" s="40">
        <v>297</v>
      </c>
      <c r="E493" s="146">
        <v>231343214</v>
      </c>
      <c r="F493" s="146">
        <v>180663161</v>
      </c>
      <c r="G493" s="213" t="s">
        <v>500</v>
      </c>
      <c r="H493" s="146">
        <v>50680053</v>
      </c>
      <c r="I493" s="215">
        <v>0</v>
      </c>
      <c r="J493" s="215">
        <v>0</v>
      </c>
      <c r="K493" s="215">
        <v>0</v>
      </c>
      <c r="L493" s="146">
        <v>50680053</v>
      </c>
    </row>
    <row r="494" spans="1:12" outlineLevel="2" x14ac:dyDescent="0.25">
      <c r="A494" s="40" t="s">
        <v>79</v>
      </c>
      <c r="B494" s="196" t="s">
        <v>127</v>
      </c>
      <c r="C494" s="3" t="s">
        <v>128</v>
      </c>
      <c r="D494" s="40">
        <v>166</v>
      </c>
      <c r="E494" s="146">
        <v>9142743</v>
      </c>
      <c r="F494" s="146">
        <v>7632371</v>
      </c>
      <c r="G494" s="213" t="s">
        <v>500</v>
      </c>
      <c r="H494" s="146">
        <v>1510372</v>
      </c>
      <c r="I494" s="146">
        <v>1</v>
      </c>
      <c r="J494" s="215">
        <v>0</v>
      </c>
      <c r="K494" s="146">
        <v>1</v>
      </c>
      <c r="L494" s="146">
        <v>1510371</v>
      </c>
    </row>
    <row r="495" spans="1:12" outlineLevel="2" x14ac:dyDescent="0.25">
      <c r="A495" s="40" t="s">
        <v>79</v>
      </c>
      <c r="B495" s="196" t="s">
        <v>318</v>
      </c>
      <c r="C495" s="3" t="s">
        <v>319</v>
      </c>
      <c r="D495" s="40">
        <v>268</v>
      </c>
      <c r="E495" s="146">
        <v>6821348</v>
      </c>
      <c r="F495" s="146">
        <v>4845414</v>
      </c>
      <c r="G495" s="213" t="s">
        <v>500</v>
      </c>
      <c r="H495" s="146">
        <v>1975934</v>
      </c>
      <c r="I495" s="215">
        <v>0</v>
      </c>
      <c r="J495" s="215">
        <v>0</v>
      </c>
      <c r="K495" s="215">
        <v>0</v>
      </c>
      <c r="L495" s="146">
        <v>1975934</v>
      </c>
    </row>
    <row r="496" spans="1:12" outlineLevel="2" x14ac:dyDescent="0.25">
      <c r="A496" s="40" t="s">
        <v>79</v>
      </c>
      <c r="B496" s="196" t="s">
        <v>133</v>
      </c>
      <c r="C496" s="3" t="s">
        <v>134</v>
      </c>
      <c r="D496" s="40">
        <v>32</v>
      </c>
      <c r="E496" s="146">
        <v>4365949</v>
      </c>
      <c r="F496" s="146">
        <v>4220239</v>
      </c>
      <c r="G496" s="213" t="s">
        <v>500</v>
      </c>
      <c r="H496" s="146">
        <v>145710</v>
      </c>
      <c r="I496" s="146">
        <v>2</v>
      </c>
      <c r="J496" s="215">
        <v>0</v>
      </c>
      <c r="K496" s="146">
        <v>2</v>
      </c>
      <c r="L496" s="146">
        <v>145708</v>
      </c>
    </row>
    <row r="497" spans="1:12" outlineLevel="2" x14ac:dyDescent="0.25">
      <c r="A497" s="40" t="s">
        <v>79</v>
      </c>
      <c r="B497" s="196" t="s">
        <v>336</v>
      </c>
      <c r="C497" s="3" t="s">
        <v>130</v>
      </c>
      <c r="D497" s="40">
        <v>230</v>
      </c>
      <c r="E497" s="146">
        <v>5527460</v>
      </c>
      <c r="F497" s="146">
        <v>5438722</v>
      </c>
      <c r="G497" s="213" t="s">
        <v>500</v>
      </c>
      <c r="H497" s="146">
        <v>88738</v>
      </c>
      <c r="I497" s="146">
        <v>3</v>
      </c>
      <c r="J497" s="215">
        <v>0</v>
      </c>
      <c r="K497" s="146">
        <v>3</v>
      </c>
      <c r="L497" s="146">
        <v>88735</v>
      </c>
    </row>
    <row r="498" spans="1:12" ht="15.6" customHeight="1" outlineLevel="2" x14ac:dyDescent="0.25">
      <c r="A498" s="40" t="s">
        <v>79</v>
      </c>
      <c r="B498" s="196" t="s">
        <v>320</v>
      </c>
      <c r="C498" s="3" t="s">
        <v>321</v>
      </c>
      <c r="D498" s="40">
        <v>148</v>
      </c>
      <c r="E498" s="146">
        <v>35051</v>
      </c>
      <c r="F498" s="146">
        <v>9658</v>
      </c>
      <c r="G498" s="213" t="s">
        <v>500</v>
      </c>
      <c r="H498" s="146">
        <v>25393</v>
      </c>
      <c r="I498" s="215">
        <v>0</v>
      </c>
      <c r="J498" s="215">
        <v>0</v>
      </c>
      <c r="K498" s="215">
        <v>0</v>
      </c>
      <c r="L498" s="146">
        <v>25393</v>
      </c>
    </row>
    <row r="499" spans="1:12" outlineLevel="2" x14ac:dyDescent="0.25">
      <c r="A499" s="40" t="s">
        <v>79</v>
      </c>
      <c r="B499" s="196" t="s">
        <v>135</v>
      </c>
      <c r="C499" s="3" t="s">
        <v>136</v>
      </c>
      <c r="D499" s="40">
        <v>153</v>
      </c>
      <c r="E499" s="146">
        <v>4238386</v>
      </c>
      <c r="F499" s="146">
        <v>3825740</v>
      </c>
      <c r="G499" s="213" t="s">
        <v>500</v>
      </c>
      <c r="H499" s="146">
        <v>412646</v>
      </c>
      <c r="I499" s="215">
        <v>0</v>
      </c>
      <c r="J499" s="215">
        <v>0</v>
      </c>
      <c r="K499" s="215">
        <v>0</v>
      </c>
      <c r="L499" s="146">
        <v>412646</v>
      </c>
    </row>
    <row r="500" spans="1:12" outlineLevel="2" x14ac:dyDescent="0.25">
      <c r="A500" s="40" t="s">
        <v>79</v>
      </c>
      <c r="B500" s="196" t="s">
        <v>137</v>
      </c>
      <c r="C500" s="3" t="s">
        <v>138</v>
      </c>
      <c r="D500" s="40">
        <v>155</v>
      </c>
      <c r="E500" s="146">
        <v>1159907</v>
      </c>
      <c r="F500" s="146">
        <v>470577</v>
      </c>
      <c r="G500" s="213" t="s">
        <v>500</v>
      </c>
      <c r="H500" s="146">
        <v>689330</v>
      </c>
      <c r="I500" s="215">
        <v>0</v>
      </c>
      <c r="J500" s="215">
        <v>0</v>
      </c>
      <c r="K500" s="215">
        <v>0</v>
      </c>
      <c r="L500" s="146">
        <v>689330</v>
      </c>
    </row>
    <row r="501" spans="1:12" ht="15" customHeight="1" outlineLevel="2" x14ac:dyDescent="0.25">
      <c r="A501" s="40" t="s">
        <v>79</v>
      </c>
      <c r="B501" s="196" t="s">
        <v>219</v>
      </c>
      <c r="C501" s="3" t="s">
        <v>220</v>
      </c>
      <c r="D501" s="40">
        <v>42</v>
      </c>
      <c r="E501" s="146">
        <v>16405291</v>
      </c>
      <c r="F501" s="146">
        <v>14589752</v>
      </c>
      <c r="G501" s="213" t="s">
        <v>500</v>
      </c>
      <c r="H501" s="146">
        <v>1815539</v>
      </c>
      <c r="I501" s="215">
        <v>0</v>
      </c>
      <c r="J501" s="215">
        <v>0</v>
      </c>
      <c r="K501" s="215">
        <v>0</v>
      </c>
      <c r="L501" s="146">
        <v>1815539</v>
      </c>
    </row>
    <row r="502" spans="1:12" ht="46.5" customHeight="1" outlineLevel="2" x14ac:dyDescent="0.25">
      <c r="A502" s="40" t="s">
        <v>79</v>
      </c>
      <c r="B502" s="196" t="s">
        <v>359</v>
      </c>
      <c r="C502" s="3" t="s">
        <v>360</v>
      </c>
      <c r="D502" s="40">
        <v>265</v>
      </c>
      <c r="E502" s="146">
        <v>3431203</v>
      </c>
      <c r="F502" s="146">
        <v>3273018</v>
      </c>
      <c r="G502" s="213" t="s">
        <v>500</v>
      </c>
      <c r="H502" s="146">
        <v>158185</v>
      </c>
      <c r="I502" s="215">
        <v>0</v>
      </c>
      <c r="J502" s="215">
        <v>0</v>
      </c>
      <c r="K502" s="215">
        <v>0</v>
      </c>
      <c r="L502" s="146">
        <v>158185</v>
      </c>
    </row>
    <row r="503" spans="1:12" outlineLevel="2" x14ac:dyDescent="0.25">
      <c r="A503" s="40" t="s">
        <v>79</v>
      </c>
      <c r="B503" s="196" t="s">
        <v>141</v>
      </c>
      <c r="C503" s="3" t="s">
        <v>126</v>
      </c>
      <c r="D503" s="40">
        <v>48</v>
      </c>
      <c r="E503" s="146">
        <v>16695259</v>
      </c>
      <c r="F503" s="146">
        <v>14809884</v>
      </c>
      <c r="G503" s="213" t="s">
        <v>500</v>
      </c>
      <c r="H503" s="146">
        <v>1885375</v>
      </c>
      <c r="I503" s="146">
        <v>10</v>
      </c>
      <c r="J503" s="146">
        <v>9</v>
      </c>
      <c r="K503" s="146">
        <v>1</v>
      </c>
      <c r="L503" s="146">
        <v>1885374</v>
      </c>
    </row>
    <row r="504" spans="1:12" ht="30.75" outlineLevel="2" x14ac:dyDescent="0.25">
      <c r="A504" s="40" t="s">
        <v>79</v>
      </c>
      <c r="B504" s="196" t="s">
        <v>364</v>
      </c>
      <c r="C504" s="3" t="s">
        <v>143</v>
      </c>
      <c r="D504" s="40">
        <v>150</v>
      </c>
      <c r="E504" s="146">
        <v>7031995</v>
      </c>
      <c r="F504" s="146">
        <v>6148659</v>
      </c>
      <c r="G504" s="213" t="s">
        <v>500</v>
      </c>
      <c r="H504" s="146">
        <v>883336</v>
      </c>
      <c r="I504" s="146">
        <v>9</v>
      </c>
      <c r="J504" s="146">
        <v>7</v>
      </c>
      <c r="K504" s="146">
        <v>2</v>
      </c>
      <c r="L504" s="146">
        <v>883334</v>
      </c>
    </row>
    <row r="505" spans="1:12" outlineLevel="2" x14ac:dyDescent="0.25">
      <c r="A505" s="40" t="s">
        <v>79</v>
      </c>
      <c r="B505" s="196" t="s">
        <v>210</v>
      </c>
      <c r="C505" s="3" t="s">
        <v>211</v>
      </c>
      <c r="D505" s="40">
        <v>218</v>
      </c>
      <c r="E505" s="146">
        <v>3819044</v>
      </c>
      <c r="F505" s="146">
        <v>3199438</v>
      </c>
      <c r="G505" s="213" t="s">
        <v>500</v>
      </c>
      <c r="H505" s="146">
        <v>619606</v>
      </c>
      <c r="I505" s="215">
        <v>0</v>
      </c>
      <c r="J505" s="215">
        <v>0</v>
      </c>
      <c r="K505" s="215">
        <v>0</v>
      </c>
      <c r="L505" s="146">
        <v>619606</v>
      </c>
    </row>
    <row r="506" spans="1:12" ht="15.6" customHeight="1" outlineLevel="2" x14ac:dyDescent="0.25">
      <c r="A506" s="40" t="s">
        <v>79</v>
      </c>
      <c r="B506" s="196" t="s">
        <v>144</v>
      </c>
      <c r="C506" s="3" t="s">
        <v>145</v>
      </c>
      <c r="D506" s="40">
        <v>350</v>
      </c>
      <c r="E506" s="146">
        <v>51370</v>
      </c>
      <c r="F506" s="146">
        <v>39338</v>
      </c>
      <c r="G506" s="213" t="s">
        <v>500</v>
      </c>
      <c r="H506" s="146">
        <v>12032</v>
      </c>
      <c r="I506" s="215">
        <v>0</v>
      </c>
      <c r="J506" s="215">
        <v>0</v>
      </c>
      <c r="K506" s="215">
        <v>0</v>
      </c>
      <c r="L506" s="146">
        <v>12032</v>
      </c>
    </row>
    <row r="507" spans="1:12" outlineLevel="2" x14ac:dyDescent="0.25">
      <c r="A507" s="40" t="s">
        <v>79</v>
      </c>
      <c r="B507" s="196" t="s">
        <v>146</v>
      </c>
      <c r="C507" s="3" t="s">
        <v>147</v>
      </c>
      <c r="D507" s="40">
        <v>173</v>
      </c>
      <c r="E507" s="146">
        <v>1914565</v>
      </c>
      <c r="F507" s="146">
        <v>1846192</v>
      </c>
      <c r="G507" s="213" t="s">
        <v>500</v>
      </c>
      <c r="H507" s="146">
        <v>68373</v>
      </c>
      <c r="I507" s="146">
        <v>2</v>
      </c>
      <c r="J507" s="215">
        <v>0</v>
      </c>
      <c r="K507" s="146">
        <v>2</v>
      </c>
      <c r="L507" s="146">
        <v>68371</v>
      </c>
    </row>
    <row r="508" spans="1:12" outlineLevel="2" x14ac:dyDescent="0.25">
      <c r="A508" s="40" t="s">
        <v>79</v>
      </c>
      <c r="B508" s="196" t="s">
        <v>338</v>
      </c>
      <c r="C508" s="3" t="s">
        <v>339</v>
      </c>
      <c r="D508" s="40">
        <v>335</v>
      </c>
      <c r="E508" s="146">
        <v>52155</v>
      </c>
      <c r="F508" s="146">
        <v>50686</v>
      </c>
      <c r="G508" s="213" t="s">
        <v>500</v>
      </c>
      <c r="H508" s="146">
        <v>1469</v>
      </c>
      <c r="I508" s="215">
        <v>0</v>
      </c>
      <c r="J508" s="215">
        <v>0</v>
      </c>
      <c r="K508" s="215">
        <v>0</v>
      </c>
      <c r="L508" s="146">
        <v>1469</v>
      </c>
    </row>
    <row r="509" spans="1:12" ht="45.75" outlineLevel="2" x14ac:dyDescent="0.25">
      <c r="A509" s="40" t="s">
        <v>79</v>
      </c>
      <c r="B509" s="196" t="s">
        <v>343</v>
      </c>
      <c r="C509" s="3" t="s">
        <v>344</v>
      </c>
      <c r="D509" s="40">
        <v>329</v>
      </c>
      <c r="E509" s="146">
        <v>1130326</v>
      </c>
      <c r="F509" s="146">
        <v>964197</v>
      </c>
      <c r="G509" s="213" t="s">
        <v>500</v>
      </c>
      <c r="H509" s="146">
        <v>166129</v>
      </c>
      <c r="I509" s="215">
        <v>0</v>
      </c>
      <c r="J509" s="215">
        <v>0</v>
      </c>
      <c r="K509" s="215">
        <v>0</v>
      </c>
      <c r="L509" s="146">
        <v>166129</v>
      </c>
    </row>
    <row r="510" spans="1:12" ht="30.95" customHeight="1" outlineLevel="2" x14ac:dyDescent="0.25">
      <c r="A510" s="40" t="s">
        <v>79</v>
      </c>
      <c r="B510" s="196" t="s">
        <v>311</v>
      </c>
      <c r="C510" s="3" t="s">
        <v>312</v>
      </c>
      <c r="D510" s="40">
        <v>261</v>
      </c>
      <c r="E510" s="146">
        <v>840768</v>
      </c>
      <c r="F510" s="146">
        <v>814684</v>
      </c>
      <c r="G510" s="213" t="s">
        <v>500</v>
      </c>
      <c r="H510" s="146">
        <v>26084</v>
      </c>
      <c r="I510" s="146">
        <v>2</v>
      </c>
      <c r="J510" s="215">
        <v>0</v>
      </c>
      <c r="K510" s="146">
        <v>2</v>
      </c>
      <c r="L510" s="146">
        <v>26082</v>
      </c>
    </row>
    <row r="511" spans="1:12" outlineLevel="2" x14ac:dyDescent="0.25">
      <c r="A511" s="40" t="s">
        <v>79</v>
      </c>
      <c r="B511" s="196" t="s">
        <v>148</v>
      </c>
      <c r="C511" s="3" t="s">
        <v>149</v>
      </c>
      <c r="D511" s="40">
        <v>244</v>
      </c>
      <c r="E511" s="146">
        <v>2791621</v>
      </c>
      <c r="F511" s="146">
        <v>2744445</v>
      </c>
      <c r="G511" s="213" t="s">
        <v>500</v>
      </c>
      <c r="H511" s="146">
        <v>47176</v>
      </c>
      <c r="I511" s="215">
        <v>0</v>
      </c>
      <c r="J511" s="215">
        <v>0</v>
      </c>
      <c r="K511" s="215">
        <v>0</v>
      </c>
      <c r="L511" s="146">
        <v>47176</v>
      </c>
    </row>
    <row r="512" spans="1:12" ht="14.45" customHeight="1" outlineLevel="2" x14ac:dyDescent="0.25">
      <c r="A512" s="40" t="s">
        <v>79</v>
      </c>
      <c r="B512" s="196" t="s">
        <v>356</v>
      </c>
      <c r="C512" s="3" t="s">
        <v>357</v>
      </c>
      <c r="D512" s="40">
        <v>182</v>
      </c>
      <c r="E512" s="146">
        <v>90993</v>
      </c>
      <c r="F512" s="146">
        <v>85092</v>
      </c>
      <c r="G512" s="213" t="s">
        <v>500</v>
      </c>
      <c r="H512" s="146">
        <v>5901</v>
      </c>
      <c r="I512" s="215">
        <v>0</v>
      </c>
      <c r="J512" s="215">
        <v>0</v>
      </c>
      <c r="K512" s="215">
        <v>0</v>
      </c>
      <c r="L512" s="146">
        <v>5901</v>
      </c>
    </row>
    <row r="513" spans="1:12" outlineLevel="1" x14ac:dyDescent="0.25">
      <c r="A513" s="40" t="s">
        <v>79</v>
      </c>
      <c r="B513" s="196" t="s">
        <v>322</v>
      </c>
      <c r="C513" s="3" t="s">
        <v>126</v>
      </c>
      <c r="D513" s="40">
        <v>280</v>
      </c>
      <c r="E513" s="146">
        <v>23080</v>
      </c>
      <c r="F513" s="146">
        <v>9194</v>
      </c>
      <c r="G513" s="213" t="s">
        <v>500</v>
      </c>
      <c r="H513" s="146">
        <v>13886</v>
      </c>
      <c r="I513" s="215">
        <v>0</v>
      </c>
      <c r="J513" s="215">
        <v>0</v>
      </c>
      <c r="K513" s="215">
        <v>0</v>
      </c>
      <c r="L513" s="146">
        <v>13886</v>
      </c>
    </row>
    <row r="514" spans="1:12" ht="30.75" outlineLevel="2" x14ac:dyDescent="0.25">
      <c r="A514" s="40" t="s">
        <v>79</v>
      </c>
      <c r="B514" s="196" t="s">
        <v>345</v>
      </c>
      <c r="C514" s="3" t="s">
        <v>112</v>
      </c>
      <c r="D514" s="40">
        <v>176</v>
      </c>
      <c r="E514" s="146">
        <v>7082086</v>
      </c>
      <c r="F514" s="146">
        <v>6048055</v>
      </c>
      <c r="G514" s="213" t="s">
        <v>500</v>
      </c>
      <c r="H514" s="146">
        <v>1034031</v>
      </c>
      <c r="I514" s="146">
        <v>22</v>
      </c>
      <c r="J514" s="146">
        <v>21</v>
      </c>
      <c r="K514" s="146">
        <v>1</v>
      </c>
      <c r="L514" s="146">
        <v>1034030</v>
      </c>
    </row>
    <row r="515" spans="1:12" outlineLevel="2" x14ac:dyDescent="0.25">
      <c r="A515" s="40" t="s">
        <v>79</v>
      </c>
      <c r="B515" s="196" t="s">
        <v>352</v>
      </c>
      <c r="C515" s="3" t="s">
        <v>353</v>
      </c>
      <c r="D515" s="40">
        <v>57</v>
      </c>
      <c r="E515" s="146">
        <v>1377233</v>
      </c>
      <c r="F515" s="146">
        <v>1090334</v>
      </c>
      <c r="G515" s="213" t="s">
        <v>500</v>
      </c>
      <c r="H515" s="146">
        <v>286899</v>
      </c>
      <c r="I515" s="215">
        <v>0</v>
      </c>
      <c r="J515" s="215">
        <v>0</v>
      </c>
      <c r="K515" s="215">
        <v>0</v>
      </c>
      <c r="L515" s="146">
        <v>286899</v>
      </c>
    </row>
    <row r="516" spans="1:12" outlineLevel="2" x14ac:dyDescent="0.25">
      <c r="A516" s="40" t="s">
        <v>79</v>
      </c>
      <c r="B516" s="196" t="s">
        <v>150</v>
      </c>
      <c r="C516" s="3" t="s">
        <v>151</v>
      </c>
      <c r="D516" s="40">
        <v>171</v>
      </c>
      <c r="E516" s="146">
        <v>2194019</v>
      </c>
      <c r="F516" s="146">
        <v>1998085</v>
      </c>
      <c r="G516" s="213" t="s">
        <v>500</v>
      </c>
      <c r="H516" s="146">
        <v>195934</v>
      </c>
      <c r="I516" s="215">
        <v>0</v>
      </c>
      <c r="J516" s="215">
        <v>0</v>
      </c>
      <c r="K516" s="215">
        <v>0</v>
      </c>
      <c r="L516" s="146">
        <v>195934</v>
      </c>
    </row>
    <row r="517" spans="1:12" ht="45.75" outlineLevel="2" x14ac:dyDescent="0.25">
      <c r="A517" s="40" t="s">
        <v>79</v>
      </c>
      <c r="B517" s="196" t="s">
        <v>152</v>
      </c>
      <c r="C517" s="3" t="s">
        <v>149</v>
      </c>
      <c r="D517" s="40">
        <v>258</v>
      </c>
      <c r="E517" s="146">
        <v>3252118</v>
      </c>
      <c r="F517" s="146">
        <v>2699148</v>
      </c>
      <c r="G517" s="213" t="s">
        <v>500</v>
      </c>
      <c r="H517" s="146">
        <v>552970</v>
      </c>
      <c r="I517" s="146">
        <v>1</v>
      </c>
      <c r="J517" s="215">
        <v>0</v>
      </c>
      <c r="K517" s="146">
        <v>1</v>
      </c>
      <c r="L517" s="146">
        <v>552969</v>
      </c>
    </row>
    <row r="518" spans="1:12" outlineLevel="2" x14ac:dyDescent="0.25">
      <c r="A518" s="40" t="s">
        <v>79</v>
      </c>
      <c r="B518" s="196" t="s">
        <v>323</v>
      </c>
      <c r="C518" s="3" t="s">
        <v>324</v>
      </c>
      <c r="D518" s="40">
        <v>228</v>
      </c>
      <c r="E518" s="146">
        <v>47447</v>
      </c>
      <c r="F518" s="146">
        <v>12735</v>
      </c>
      <c r="G518" s="213" t="s">
        <v>500</v>
      </c>
      <c r="H518" s="146">
        <v>34712</v>
      </c>
      <c r="I518" s="215">
        <v>0</v>
      </c>
      <c r="J518" s="215">
        <v>0</v>
      </c>
      <c r="K518" s="215">
        <v>0</v>
      </c>
      <c r="L518" s="146">
        <v>34712</v>
      </c>
    </row>
    <row r="519" spans="1:12" outlineLevel="2" x14ac:dyDescent="0.25">
      <c r="A519" s="40" t="s">
        <v>79</v>
      </c>
      <c r="B519" s="196" t="s">
        <v>354</v>
      </c>
      <c r="C519" s="3" t="s">
        <v>355</v>
      </c>
      <c r="D519" s="40">
        <v>58</v>
      </c>
      <c r="E519" s="146">
        <v>3358948</v>
      </c>
      <c r="F519" s="146">
        <v>3271536</v>
      </c>
      <c r="G519" s="213" t="s">
        <v>500</v>
      </c>
      <c r="H519" s="146">
        <v>87412</v>
      </c>
      <c r="I519" s="146">
        <v>2</v>
      </c>
      <c r="J519" s="215">
        <v>0</v>
      </c>
      <c r="K519" s="146">
        <v>2</v>
      </c>
      <c r="L519" s="146">
        <v>87410</v>
      </c>
    </row>
    <row r="520" spans="1:12" outlineLevel="2" x14ac:dyDescent="0.25">
      <c r="A520" s="40" t="s">
        <v>79</v>
      </c>
      <c r="B520" s="196" t="s">
        <v>325</v>
      </c>
      <c r="C520" s="3" t="s">
        <v>326</v>
      </c>
      <c r="D520" s="40">
        <v>308</v>
      </c>
      <c r="E520" s="146">
        <v>124119</v>
      </c>
      <c r="F520" s="146">
        <v>55815</v>
      </c>
      <c r="G520" s="213" t="s">
        <v>500</v>
      </c>
      <c r="H520" s="146">
        <v>68304</v>
      </c>
      <c r="I520" s="215">
        <v>0</v>
      </c>
      <c r="J520" s="215">
        <v>0</v>
      </c>
      <c r="K520" s="215">
        <v>0</v>
      </c>
      <c r="L520" s="146">
        <v>68304</v>
      </c>
    </row>
    <row r="521" spans="1:12" outlineLevel="2" x14ac:dyDescent="0.25">
      <c r="A521" s="40" t="s">
        <v>79</v>
      </c>
      <c r="B521" s="196" t="s">
        <v>153</v>
      </c>
      <c r="C521" s="3" t="s">
        <v>126</v>
      </c>
      <c r="D521" s="40">
        <v>260</v>
      </c>
      <c r="E521" s="146">
        <v>19376634</v>
      </c>
      <c r="F521" s="146">
        <v>17627080</v>
      </c>
      <c r="G521" s="213" t="s">
        <v>500</v>
      </c>
      <c r="H521" s="146">
        <v>1749554</v>
      </c>
      <c r="I521" s="146">
        <v>1086531</v>
      </c>
      <c r="J521" s="146">
        <v>1086531</v>
      </c>
      <c r="K521" s="215">
        <v>0</v>
      </c>
      <c r="L521" s="146">
        <v>1749554</v>
      </c>
    </row>
    <row r="522" spans="1:12" outlineLevel="2" x14ac:dyDescent="0.25">
      <c r="A522" s="40" t="s">
        <v>79</v>
      </c>
      <c r="B522" s="196" t="s">
        <v>180</v>
      </c>
      <c r="C522" s="3" t="s">
        <v>181</v>
      </c>
      <c r="D522" s="40">
        <v>346</v>
      </c>
      <c r="E522" s="146">
        <v>9782</v>
      </c>
      <c r="F522" s="146">
        <v>8596</v>
      </c>
      <c r="G522" s="213" t="s">
        <v>500</v>
      </c>
      <c r="H522" s="146">
        <v>1186</v>
      </c>
      <c r="I522" s="215">
        <v>0</v>
      </c>
      <c r="J522" s="215">
        <v>0</v>
      </c>
      <c r="K522" s="215">
        <v>0</v>
      </c>
      <c r="L522" s="146">
        <v>1186</v>
      </c>
    </row>
    <row r="523" spans="1:12" ht="15.6" customHeight="1" outlineLevel="2" x14ac:dyDescent="0.25">
      <c r="A523" s="243" t="s">
        <v>79</v>
      </c>
      <c r="B523" s="196" t="s">
        <v>156</v>
      </c>
      <c r="C523" s="3" t="s">
        <v>157</v>
      </c>
      <c r="D523" s="40">
        <v>351</v>
      </c>
      <c r="E523" s="146">
        <v>91173</v>
      </c>
      <c r="F523" s="146">
        <v>85157</v>
      </c>
      <c r="G523" s="213" t="s">
        <v>500</v>
      </c>
      <c r="H523" s="146">
        <v>6016</v>
      </c>
      <c r="I523" s="215">
        <v>0</v>
      </c>
      <c r="J523" s="215">
        <v>0</v>
      </c>
      <c r="K523" s="215">
        <v>0</v>
      </c>
      <c r="L523" s="146">
        <v>6016</v>
      </c>
    </row>
    <row r="524" spans="1:12" outlineLevel="2" x14ac:dyDescent="0.25">
      <c r="A524" s="241" t="s">
        <v>274</v>
      </c>
      <c r="B524" s="184" t="s">
        <v>500</v>
      </c>
      <c r="C524" s="74" t="s">
        <v>500</v>
      </c>
      <c r="D524" s="180" t="s">
        <v>500</v>
      </c>
      <c r="E524" s="78">
        <f>SUBTOTAL(109,school200708[Program
Costs])</f>
        <v>479521182</v>
      </c>
      <c r="F524" s="78">
        <f>SUBTOTAL(109,school200708[Less: Net Payments and Offsets 10])</f>
        <v>392806553</v>
      </c>
      <c r="G524" s="74" t="s">
        <v>500</v>
      </c>
      <c r="H524" s="78">
        <f>SUBTOTAL(109,school200708[Accounts Payable
Balance])</f>
        <v>86714629</v>
      </c>
      <c r="I524" s="78">
        <f>SUBTOTAL(109,school200708[Established
Accounts Receivable])</f>
        <v>1087600</v>
      </c>
      <c r="J524" s="78">
        <f>SUBTOTAL(109,school200708[Less: Recovered Amount])</f>
        <v>1086573</v>
      </c>
      <c r="K524" s="78">
        <f>SUBTOTAL(109,school200708[Accounts Receivable
Balance])</f>
        <v>1027</v>
      </c>
      <c r="L524" s="78">
        <f>SUBTOTAL(109,school200708[Net
Balance])</f>
        <v>86713602</v>
      </c>
    </row>
    <row r="525" spans="1:12" s="244" customFormat="1" ht="15" outlineLevel="2" x14ac:dyDescent="0.2">
      <c r="A525" s="214" t="s">
        <v>508</v>
      </c>
      <c r="B525" s="196"/>
      <c r="C525" s="3"/>
      <c r="D525" s="40"/>
      <c r="E525" s="146"/>
      <c r="F525" s="146"/>
      <c r="G525" s="146"/>
      <c r="H525" s="146"/>
      <c r="I525" s="146"/>
      <c r="J525" s="146"/>
      <c r="K525" s="146"/>
      <c r="L525" s="146"/>
    </row>
    <row r="526" spans="1:12" ht="50.1" customHeight="1" outlineLevel="2" x14ac:dyDescent="0.25">
      <c r="A526" s="204" t="s">
        <v>98</v>
      </c>
      <c r="B526" s="204" t="s">
        <v>99</v>
      </c>
      <c r="C526" s="176" t="s">
        <v>1</v>
      </c>
      <c r="D526" s="204" t="s">
        <v>195</v>
      </c>
      <c r="E526" s="238" t="s">
        <v>188</v>
      </c>
      <c r="F526" s="239" t="s">
        <v>533</v>
      </c>
      <c r="G526" s="212" t="s">
        <v>532</v>
      </c>
      <c r="H526" s="210" t="s">
        <v>528</v>
      </c>
      <c r="I526" s="210" t="s">
        <v>529</v>
      </c>
      <c r="J526" s="238" t="s">
        <v>197</v>
      </c>
      <c r="K526" s="210" t="s">
        <v>530</v>
      </c>
      <c r="L526" s="238" t="s">
        <v>196</v>
      </c>
    </row>
    <row r="527" spans="1:12" outlineLevel="2" x14ac:dyDescent="0.25">
      <c r="A527" s="40" t="s">
        <v>80</v>
      </c>
      <c r="B527" s="196" t="s">
        <v>313</v>
      </c>
      <c r="C527" s="3" t="s">
        <v>314</v>
      </c>
      <c r="D527" s="40">
        <v>305</v>
      </c>
      <c r="E527" s="146">
        <v>110375</v>
      </c>
      <c r="F527" s="146">
        <v>106797</v>
      </c>
      <c r="G527" s="213" t="s">
        <v>500</v>
      </c>
      <c r="H527" s="146">
        <v>3578</v>
      </c>
      <c r="I527" s="215">
        <v>0</v>
      </c>
      <c r="J527" s="215">
        <v>0</v>
      </c>
      <c r="K527" s="215">
        <v>0</v>
      </c>
      <c r="L527" s="146">
        <v>3578</v>
      </c>
    </row>
    <row r="528" spans="1:12" outlineLevel="2" x14ac:dyDescent="0.25">
      <c r="A528" s="40" t="s">
        <v>80</v>
      </c>
      <c r="B528" s="196" t="s">
        <v>346</v>
      </c>
      <c r="C528" s="3" t="s">
        <v>347</v>
      </c>
      <c r="D528" s="40">
        <v>269</v>
      </c>
      <c r="E528" s="146">
        <v>6011</v>
      </c>
      <c r="F528" s="146">
        <v>4843</v>
      </c>
      <c r="G528" s="213" t="s">
        <v>500</v>
      </c>
      <c r="H528" s="146">
        <v>1168</v>
      </c>
      <c r="I528" s="215">
        <v>0</v>
      </c>
      <c r="J528" s="215">
        <v>0</v>
      </c>
      <c r="K528" s="215">
        <v>0</v>
      </c>
      <c r="L528" s="146">
        <v>1168</v>
      </c>
    </row>
    <row r="529" spans="1:12" ht="30.75" outlineLevel="2" x14ac:dyDescent="0.25">
      <c r="A529" s="40" t="s">
        <v>80</v>
      </c>
      <c r="B529" s="196" t="s">
        <v>101</v>
      </c>
      <c r="C529" s="3" t="s">
        <v>102</v>
      </c>
      <c r="D529" s="40">
        <v>250</v>
      </c>
      <c r="E529" s="146">
        <v>1560401</v>
      </c>
      <c r="F529" s="146">
        <v>1454516</v>
      </c>
      <c r="G529" s="213" t="s">
        <v>500</v>
      </c>
      <c r="H529" s="146">
        <v>105885</v>
      </c>
      <c r="I529" s="146">
        <v>54327</v>
      </c>
      <c r="J529" s="146">
        <v>52385</v>
      </c>
      <c r="K529" s="146">
        <v>1942</v>
      </c>
      <c r="L529" s="146">
        <v>103943</v>
      </c>
    </row>
    <row r="530" spans="1:12" ht="30.75" outlineLevel="2" x14ac:dyDescent="0.25">
      <c r="A530" s="40" t="s">
        <v>80</v>
      </c>
      <c r="B530" s="196" t="s">
        <v>340</v>
      </c>
      <c r="C530" s="3" t="s">
        <v>335</v>
      </c>
      <c r="D530" s="40">
        <v>348</v>
      </c>
      <c r="E530" s="146">
        <v>50727286</v>
      </c>
      <c r="F530" s="146">
        <v>43697065</v>
      </c>
      <c r="G530" s="213" t="s">
        <v>500</v>
      </c>
      <c r="H530" s="146">
        <v>7030221</v>
      </c>
      <c r="I530" s="247">
        <v>0</v>
      </c>
      <c r="J530" s="247">
        <v>0</v>
      </c>
      <c r="K530" s="247">
        <v>0</v>
      </c>
      <c r="L530" s="146">
        <v>7030221</v>
      </c>
    </row>
    <row r="531" spans="1:12" ht="30.75" outlineLevel="2" x14ac:dyDescent="0.25">
      <c r="A531" s="40" t="s">
        <v>80</v>
      </c>
      <c r="B531" s="196" t="s">
        <v>328</v>
      </c>
      <c r="C531" s="3" t="s">
        <v>329</v>
      </c>
      <c r="D531" s="40">
        <v>286</v>
      </c>
      <c r="E531" s="146">
        <v>87725</v>
      </c>
      <c r="F531" s="146">
        <v>61922</v>
      </c>
      <c r="G531" s="213" t="s">
        <v>500</v>
      </c>
      <c r="H531" s="146">
        <v>25803</v>
      </c>
      <c r="I531" s="247">
        <v>0</v>
      </c>
      <c r="J531" s="247">
        <v>0</v>
      </c>
      <c r="K531" s="247">
        <v>0</v>
      </c>
      <c r="L531" s="146">
        <v>25803</v>
      </c>
    </row>
    <row r="532" spans="1:12" ht="30.75" outlineLevel="2" x14ac:dyDescent="0.25">
      <c r="A532" s="40" t="s">
        <v>80</v>
      </c>
      <c r="B532" s="196" t="s">
        <v>109</v>
      </c>
      <c r="C532" s="3" t="s">
        <v>110</v>
      </c>
      <c r="D532" s="40">
        <v>172</v>
      </c>
      <c r="E532" s="146">
        <v>713312</v>
      </c>
      <c r="F532" s="146">
        <v>650007</v>
      </c>
      <c r="G532" s="213" t="s">
        <v>500</v>
      </c>
      <c r="H532" s="146">
        <v>63305</v>
      </c>
      <c r="I532" s="146">
        <v>28693</v>
      </c>
      <c r="J532" s="146">
        <v>15027</v>
      </c>
      <c r="K532" s="146">
        <v>13666</v>
      </c>
      <c r="L532" s="146">
        <v>49639</v>
      </c>
    </row>
    <row r="533" spans="1:12" outlineLevel="2" x14ac:dyDescent="0.25">
      <c r="A533" s="40" t="s">
        <v>80</v>
      </c>
      <c r="B533" s="196" t="s">
        <v>365</v>
      </c>
      <c r="C533" s="3" t="s">
        <v>366</v>
      </c>
      <c r="D533" s="40">
        <v>249</v>
      </c>
      <c r="E533" s="146">
        <v>2310086</v>
      </c>
      <c r="F533" s="146">
        <v>2072028</v>
      </c>
      <c r="G533" s="213" t="s">
        <v>500</v>
      </c>
      <c r="H533" s="146">
        <v>238058</v>
      </c>
      <c r="I533" s="146">
        <v>20038</v>
      </c>
      <c r="J533" s="146">
        <v>20038</v>
      </c>
      <c r="K533" s="247">
        <v>0</v>
      </c>
      <c r="L533" s="146">
        <v>238058</v>
      </c>
    </row>
    <row r="534" spans="1:12" outlineLevel="2" x14ac:dyDescent="0.25">
      <c r="A534" s="40" t="s">
        <v>80</v>
      </c>
      <c r="B534" s="196" t="s">
        <v>367</v>
      </c>
      <c r="C534" s="3" t="s">
        <v>366</v>
      </c>
      <c r="D534" s="40">
        <v>277</v>
      </c>
      <c r="E534" s="146">
        <v>84983</v>
      </c>
      <c r="F534" s="146">
        <v>83679</v>
      </c>
      <c r="G534" s="213" t="s">
        <v>500</v>
      </c>
      <c r="H534" s="146">
        <v>1304</v>
      </c>
      <c r="I534" s="247">
        <v>0</v>
      </c>
      <c r="J534" s="247">
        <v>0</v>
      </c>
      <c r="K534" s="247">
        <v>0</v>
      </c>
      <c r="L534" s="146">
        <v>1304</v>
      </c>
    </row>
    <row r="535" spans="1:12" ht="30.75" outlineLevel="2" x14ac:dyDescent="0.25">
      <c r="A535" s="40" t="s">
        <v>80</v>
      </c>
      <c r="B535" s="196" t="s">
        <v>115</v>
      </c>
      <c r="C535" s="3" t="s">
        <v>116</v>
      </c>
      <c r="D535" s="40">
        <v>11</v>
      </c>
      <c r="E535" s="146">
        <v>27712461</v>
      </c>
      <c r="F535" s="146">
        <v>25951794</v>
      </c>
      <c r="G535" s="213" t="s">
        <v>500</v>
      </c>
      <c r="H535" s="146">
        <v>1760667</v>
      </c>
      <c r="I535" s="146">
        <v>147591</v>
      </c>
      <c r="J535" s="146">
        <v>118837</v>
      </c>
      <c r="K535" s="146">
        <v>28754</v>
      </c>
      <c r="L535" s="146">
        <v>1731913</v>
      </c>
    </row>
    <row r="536" spans="1:12" outlineLevel="2" x14ac:dyDescent="0.25">
      <c r="A536" s="40" t="s">
        <v>80</v>
      </c>
      <c r="B536" s="196" t="s">
        <v>358</v>
      </c>
      <c r="C536" s="3" t="s">
        <v>118</v>
      </c>
      <c r="D536" s="40">
        <v>223</v>
      </c>
      <c r="E536" s="146">
        <v>3840616</v>
      </c>
      <c r="F536" s="146">
        <v>3651128</v>
      </c>
      <c r="G536" s="213" t="s">
        <v>500</v>
      </c>
      <c r="H536" s="146">
        <v>189488</v>
      </c>
      <c r="I536" s="146">
        <v>93330</v>
      </c>
      <c r="J536" s="146">
        <v>46371</v>
      </c>
      <c r="K536" s="146">
        <v>46959</v>
      </c>
      <c r="L536" s="146">
        <v>142529</v>
      </c>
    </row>
    <row r="537" spans="1:12" ht="45.75" outlineLevel="2" x14ac:dyDescent="0.25">
      <c r="A537" s="40" t="s">
        <v>80</v>
      </c>
      <c r="B537" s="196" t="s">
        <v>103</v>
      </c>
      <c r="C537" s="3" t="s">
        <v>104</v>
      </c>
      <c r="D537" s="40">
        <v>272</v>
      </c>
      <c r="E537" s="146">
        <v>9087987</v>
      </c>
      <c r="F537" s="146">
        <v>8656133</v>
      </c>
      <c r="G537" s="213" t="s">
        <v>500</v>
      </c>
      <c r="H537" s="146">
        <v>431854</v>
      </c>
      <c r="I537" s="146">
        <v>55256</v>
      </c>
      <c r="J537" s="146">
        <v>49366</v>
      </c>
      <c r="K537" s="146">
        <v>5890</v>
      </c>
      <c r="L537" s="146">
        <v>425964</v>
      </c>
    </row>
    <row r="538" spans="1:12" ht="46.5" customHeight="1" outlineLevel="2" x14ac:dyDescent="0.25">
      <c r="A538" s="40" t="s">
        <v>80</v>
      </c>
      <c r="B538" s="196" t="s">
        <v>361</v>
      </c>
      <c r="C538" s="3" t="s">
        <v>362</v>
      </c>
      <c r="D538" s="40">
        <v>291</v>
      </c>
      <c r="E538" s="146">
        <v>215949</v>
      </c>
      <c r="F538" s="146">
        <v>138573</v>
      </c>
      <c r="G538" s="213" t="s">
        <v>500</v>
      </c>
      <c r="H538" s="146">
        <v>77376</v>
      </c>
      <c r="I538" s="247">
        <v>0</v>
      </c>
      <c r="J538" s="247">
        <v>0</v>
      </c>
      <c r="K538" s="247">
        <v>0</v>
      </c>
      <c r="L538" s="146">
        <v>77376</v>
      </c>
    </row>
    <row r="539" spans="1:12" ht="30.75" outlineLevel="2" x14ac:dyDescent="0.25">
      <c r="A539" s="40" t="s">
        <v>80</v>
      </c>
      <c r="B539" s="196" t="s">
        <v>113</v>
      </c>
      <c r="C539" s="3" t="s">
        <v>114</v>
      </c>
      <c r="D539" s="40">
        <v>209</v>
      </c>
      <c r="E539" s="146">
        <v>271074</v>
      </c>
      <c r="F539" s="146">
        <v>209349</v>
      </c>
      <c r="G539" s="213" t="s">
        <v>500</v>
      </c>
      <c r="H539" s="146">
        <v>61725</v>
      </c>
      <c r="I539" s="146">
        <v>15158</v>
      </c>
      <c r="J539" s="146">
        <v>15158</v>
      </c>
      <c r="K539" s="247">
        <v>0</v>
      </c>
      <c r="L539" s="146">
        <v>61725</v>
      </c>
    </row>
    <row r="540" spans="1:12" outlineLevel="2" x14ac:dyDescent="0.25">
      <c r="A540" s="40" t="s">
        <v>80</v>
      </c>
      <c r="B540" s="196" t="s">
        <v>119</v>
      </c>
      <c r="C540" s="3" t="s">
        <v>120</v>
      </c>
      <c r="D540" s="40">
        <v>183</v>
      </c>
      <c r="E540" s="146">
        <v>814197</v>
      </c>
      <c r="F540" s="146">
        <v>747791</v>
      </c>
      <c r="G540" s="213" t="s">
        <v>500</v>
      </c>
      <c r="H540" s="146">
        <v>66406</v>
      </c>
      <c r="I540" s="146">
        <v>40116</v>
      </c>
      <c r="J540" s="146">
        <v>39635</v>
      </c>
      <c r="K540" s="146">
        <v>481</v>
      </c>
      <c r="L540" s="146">
        <v>65925</v>
      </c>
    </row>
    <row r="541" spans="1:12" outlineLevel="2" x14ac:dyDescent="0.25">
      <c r="A541" s="40" t="s">
        <v>80</v>
      </c>
      <c r="B541" s="196" t="s">
        <v>121</v>
      </c>
      <c r="C541" s="3" t="s">
        <v>122</v>
      </c>
      <c r="D541" s="40">
        <v>251</v>
      </c>
      <c r="E541" s="146">
        <v>550864</v>
      </c>
      <c r="F541" s="146">
        <v>508168</v>
      </c>
      <c r="G541" s="213" t="s">
        <v>500</v>
      </c>
      <c r="H541" s="146">
        <v>42696</v>
      </c>
      <c r="I541" s="146">
        <v>6681</v>
      </c>
      <c r="J541" s="146">
        <v>4892</v>
      </c>
      <c r="K541" s="146">
        <v>1789</v>
      </c>
      <c r="L541" s="146">
        <v>40907</v>
      </c>
    </row>
    <row r="542" spans="1:12" ht="15" customHeight="1" outlineLevel="2" x14ac:dyDescent="0.25">
      <c r="A542" s="40" t="s">
        <v>80</v>
      </c>
      <c r="B542" s="196" t="s">
        <v>368</v>
      </c>
      <c r="C542" s="3" t="s">
        <v>369</v>
      </c>
      <c r="D542" s="40">
        <v>253</v>
      </c>
      <c r="E542" s="146">
        <v>2919</v>
      </c>
      <c r="F542" s="146">
        <v>2919</v>
      </c>
      <c r="G542" s="213" t="s">
        <v>500</v>
      </c>
      <c r="H542" s="247">
        <v>0</v>
      </c>
      <c r="I542" s="146">
        <v>1262</v>
      </c>
      <c r="J542" s="247">
        <v>0</v>
      </c>
      <c r="K542" s="146">
        <v>1262</v>
      </c>
      <c r="L542" s="146">
        <v>-1262</v>
      </c>
    </row>
    <row r="543" spans="1:12" ht="30.75" outlineLevel="2" x14ac:dyDescent="0.25">
      <c r="A543" s="40" t="s">
        <v>80</v>
      </c>
      <c r="B543" s="196" t="s">
        <v>317</v>
      </c>
      <c r="C543" s="3" t="s">
        <v>112</v>
      </c>
      <c r="D543" s="40">
        <v>91</v>
      </c>
      <c r="E543" s="146">
        <v>14079</v>
      </c>
      <c r="F543" s="146">
        <v>12534</v>
      </c>
      <c r="G543" s="213" t="s">
        <v>500</v>
      </c>
      <c r="H543" s="146">
        <v>1545</v>
      </c>
      <c r="I543" s="247">
        <v>0</v>
      </c>
      <c r="J543" s="247">
        <v>0</v>
      </c>
      <c r="K543" s="247">
        <v>0</v>
      </c>
      <c r="L543" s="146">
        <v>1545</v>
      </c>
    </row>
    <row r="544" spans="1:12" outlineLevel="2" x14ac:dyDescent="0.25">
      <c r="A544" s="40" t="s">
        <v>80</v>
      </c>
      <c r="B544" s="196" t="s">
        <v>123</v>
      </c>
      <c r="C544" s="3" t="s">
        <v>124</v>
      </c>
      <c r="D544" s="40">
        <v>192</v>
      </c>
      <c r="E544" s="146">
        <v>386700</v>
      </c>
      <c r="F544" s="146">
        <v>337072</v>
      </c>
      <c r="G544" s="213" t="s">
        <v>500</v>
      </c>
      <c r="H544" s="146">
        <v>49628</v>
      </c>
      <c r="I544" s="146">
        <v>16641</v>
      </c>
      <c r="J544" s="146">
        <v>15516</v>
      </c>
      <c r="K544" s="146">
        <v>1125</v>
      </c>
      <c r="L544" s="146">
        <v>48503</v>
      </c>
    </row>
    <row r="545" spans="1:12" ht="15.6" customHeight="1" outlineLevel="2" x14ac:dyDescent="0.25">
      <c r="A545" s="40" t="s">
        <v>80</v>
      </c>
      <c r="B545" s="196" t="s">
        <v>363</v>
      </c>
      <c r="C545" s="3" t="s">
        <v>126</v>
      </c>
      <c r="D545" s="40">
        <v>26</v>
      </c>
      <c r="E545" s="146">
        <v>65296715</v>
      </c>
      <c r="F545" s="146">
        <v>59462481</v>
      </c>
      <c r="G545" s="213" t="s">
        <v>500</v>
      </c>
      <c r="H545" s="146">
        <v>5834234</v>
      </c>
      <c r="I545" s="146">
        <v>484254</v>
      </c>
      <c r="J545" s="146">
        <v>19323</v>
      </c>
      <c r="K545" s="146">
        <v>464931</v>
      </c>
      <c r="L545" s="146">
        <v>5369303</v>
      </c>
    </row>
    <row r="546" spans="1:12" ht="30.75" outlineLevel="2" x14ac:dyDescent="0.25">
      <c r="A546" s="40" t="s">
        <v>80</v>
      </c>
      <c r="B546" s="196" t="s">
        <v>125</v>
      </c>
      <c r="C546" s="3" t="s">
        <v>126</v>
      </c>
      <c r="D546" s="40">
        <v>297</v>
      </c>
      <c r="E546" s="146">
        <v>173189364</v>
      </c>
      <c r="F546" s="146">
        <v>139389904</v>
      </c>
      <c r="G546" s="213" t="s">
        <v>500</v>
      </c>
      <c r="H546" s="146">
        <v>33799460</v>
      </c>
      <c r="I546" s="247">
        <v>0</v>
      </c>
      <c r="J546" s="247">
        <v>0</v>
      </c>
      <c r="K546" s="247">
        <v>0</v>
      </c>
      <c r="L546" s="146">
        <v>33799460</v>
      </c>
    </row>
    <row r="547" spans="1:12" outlineLevel="2" x14ac:dyDescent="0.25">
      <c r="A547" s="40" t="s">
        <v>80</v>
      </c>
      <c r="B547" s="196" t="s">
        <v>127</v>
      </c>
      <c r="C547" s="3" t="s">
        <v>128</v>
      </c>
      <c r="D547" s="40">
        <v>166</v>
      </c>
      <c r="E547" s="146">
        <v>8049732</v>
      </c>
      <c r="F547" s="146">
        <v>7094812</v>
      </c>
      <c r="G547" s="213" t="s">
        <v>500</v>
      </c>
      <c r="H547" s="146">
        <v>954920</v>
      </c>
      <c r="I547" s="146">
        <v>69622</v>
      </c>
      <c r="J547" s="146">
        <v>49468</v>
      </c>
      <c r="K547" s="146">
        <v>20154</v>
      </c>
      <c r="L547" s="146">
        <v>934766</v>
      </c>
    </row>
    <row r="548" spans="1:12" outlineLevel="2" x14ac:dyDescent="0.25">
      <c r="A548" s="40" t="s">
        <v>80</v>
      </c>
      <c r="B548" s="196" t="s">
        <v>318</v>
      </c>
      <c r="C548" s="3" t="s">
        <v>319</v>
      </c>
      <c r="D548" s="40">
        <v>268</v>
      </c>
      <c r="E548" s="146">
        <v>6474647</v>
      </c>
      <c r="F548" s="146">
        <v>5139413</v>
      </c>
      <c r="G548" s="213" t="s">
        <v>500</v>
      </c>
      <c r="H548" s="146">
        <v>1335234</v>
      </c>
      <c r="I548" s="247">
        <v>0</v>
      </c>
      <c r="J548" s="247">
        <v>0</v>
      </c>
      <c r="K548" s="247">
        <v>0</v>
      </c>
      <c r="L548" s="146">
        <v>1335234</v>
      </c>
    </row>
    <row r="549" spans="1:12" outlineLevel="2" x14ac:dyDescent="0.25">
      <c r="A549" s="40" t="s">
        <v>80</v>
      </c>
      <c r="B549" s="196" t="s">
        <v>133</v>
      </c>
      <c r="C549" s="3" t="s">
        <v>134</v>
      </c>
      <c r="D549" s="40">
        <v>32</v>
      </c>
      <c r="E549" s="146">
        <v>4151507</v>
      </c>
      <c r="F549" s="146">
        <v>4077222</v>
      </c>
      <c r="G549" s="213" t="s">
        <v>500</v>
      </c>
      <c r="H549" s="146">
        <v>74285</v>
      </c>
      <c r="I549" s="146">
        <v>1352</v>
      </c>
      <c r="J549" s="146">
        <v>912</v>
      </c>
      <c r="K549" s="146">
        <v>440</v>
      </c>
      <c r="L549" s="146">
        <v>73845</v>
      </c>
    </row>
    <row r="550" spans="1:12" ht="15.6" customHeight="1" outlineLevel="2" x14ac:dyDescent="0.25">
      <c r="A550" s="40" t="s">
        <v>80</v>
      </c>
      <c r="B550" s="196" t="s">
        <v>336</v>
      </c>
      <c r="C550" s="3" t="s">
        <v>130</v>
      </c>
      <c r="D550" s="40">
        <v>230</v>
      </c>
      <c r="E550" s="146">
        <v>5373701</v>
      </c>
      <c r="F550" s="146">
        <v>5309206</v>
      </c>
      <c r="G550" s="213" t="s">
        <v>500</v>
      </c>
      <c r="H550" s="146">
        <v>64495</v>
      </c>
      <c r="I550" s="146">
        <v>10680</v>
      </c>
      <c r="J550" s="146">
        <v>8110</v>
      </c>
      <c r="K550" s="146">
        <v>2570</v>
      </c>
      <c r="L550" s="146">
        <v>61925</v>
      </c>
    </row>
    <row r="551" spans="1:12" outlineLevel="2" x14ac:dyDescent="0.25">
      <c r="A551" s="40" t="s">
        <v>80</v>
      </c>
      <c r="B551" s="196" t="s">
        <v>320</v>
      </c>
      <c r="C551" s="3" t="s">
        <v>321</v>
      </c>
      <c r="D551" s="40">
        <v>148</v>
      </c>
      <c r="E551" s="146">
        <v>17124</v>
      </c>
      <c r="F551" s="146">
        <v>6568</v>
      </c>
      <c r="G551" s="213" t="s">
        <v>500</v>
      </c>
      <c r="H551" s="146">
        <v>10556</v>
      </c>
      <c r="I551" s="247">
        <v>0</v>
      </c>
      <c r="J551" s="247">
        <v>0</v>
      </c>
      <c r="K551" s="247">
        <v>0</v>
      </c>
      <c r="L551" s="146">
        <v>10556</v>
      </c>
    </row>
    <row r="552" spans="1:12" outlineLevel="2" x14ac:dyDescent="0.25">
      <c r="A552" s="40" t="s">
        <v>80</v>
      </c>
      <c r="B552" s="196" t="s">
        <v>135</v>
      </c>
      <c r="C552" s="3" t="s">
        <v>136</v>
      </c>
      <c r="D552" s="40">
        <v>153</v>
      </c>
      <c r="E552" s="146">
        <v>4509810</v>
      </c>
      <c r="F552" s="146">
        <v>4361183</v>
      </c>
      <c r="G552" s="213" t="s">
        <v>500</v>
      </c>
      <c r="H552" s="146">
        <v>148627</v>
      </c>
      <c r="I552" s="146">
        <v>65813</v>
      </c>
      <c r="J552" s="146">
        <v>59790</v>
      </c>
      <c r="K552" s="146">
        <v>6023</v>
      </c>
      <c r="L552" s="146">
        <v>142604</v>
      </c>
    </row>
    <row r="553" spans="1:12" ht="15" customHeight="1" outlineLevel="2" x14ac:dyDescent="0.25">
      <c r="A553" s="40" t="s">
        <v>80</v>
      </c>
      <c r="B553" s="196" t="s">
        <v>137</v>
      </c>
      <c r="C553" s="3" t="s">
        <v>138</v>
      </c>
      <c r="D553" s="40">
        <v>155</v>
      </c>
      <c r="E553" s="146">
        <v>1176856</v>
      </c>
      <c r="F553" s="146">
        <v>651415</v>
      </c>
      <c r="G553" s="213" t="s">
        <v>500</v>
      </c>
      <c r="H553" s="146">
        <v>525441</v>
      </c>
      <c r="I553" s="146">
        <v>28652</v>
      </c>
      <c r="J553" s="146">
        <v>27448</v>
      </c>
      <c r="K553" s="146">
        <v>1204</v>
      </c>
      <c r="L553" s="146">
        <v>524237</v>
      </c>
    </row>
    <row r="554" spans="1:12" outlineLevel="2" x14ac:dyDescent="0.25">
      <c r="A554" s="40" t="s">
        <v>80</v>
      </c>
      <c r="B554" s="196" t="s">
        <v>370</v>
      </c>
      <c r="C554" s="3" t="s">
        <v>371</v>
      </c>
      <c r="D554" s="40">
        <v>157</v>
      </c>
      <c r="E554" s="146">
        <v>1656765</v>
      </c>
      <c r="F554" s="146">
        <v>1480782</v>
      </c>
      <c r="G554" s="213" t="s">
        <v>500</v>
      </c>
      <c r="H554" s="146">
        <v>175983</v>
      </c>
      <c r="I554" s="146">
        <v>32178</v>
      </c>
      <c r="J554" s="146">
        <v>30021</v>
      </c>
      <c r="K554" s="146">
        <v>2157</v>
      </c>
      <c r="L554" s="146">
        <v>173826</v>
      </c>
    </row>
    <row r="555" spans="1:12" outlineLevel="2" x14ac:dyDescent="0.25">
      <c r="A555" s="40" t="s">
        <v>80</v>
      </c>
      <c r="B555" s="196" t="s">
        <v>219</v>
      </c>
      <c r="C555" s="3" t="s">
        <v>220</v>
      </c>
      <c r="D555" s="40">
        <v>42</v>
      </c>
      <c r="E555" s="146">
        <v>15540692</v>
      </c>
      <c r="F555" s="146">
        <v>14149028</v>
      </c>
      <c r="G555" s="213" t="s">
        <v>500</v>
      </c>
      <c r="H555" s="146">
        <v>1391664</v>
      </c>
      <c r="I555" s="247">
        <v>0</v>
      </c>
      <c r="J555" s="247">
        <v>0</v>
      </c>
      <c r="K555" s="247">
        <v>0</v>
      </c>
      <c r="L555" s="146">
        <v>1391664</v>
      </c>
    </row>
    <row r="556" spans="1:12" outlineLevel="2" x14ac:dyDescent="0.25">
      <c r="A556" s="40" t="s">
        <v>80</v>
      </c>
      <c r="B556" s="196" t="s">
        <v>372</v>
      </c>
      <c r="C556" s="3" t="s">
        <v>140</v>
      </c>
      <c r="D556" s="40">
        <v>275</v>
      </c>
      <c r="E556" s="146">
        <v>23761</v>
      </c>
      <c r="F556" s="146">
        <v>22690</v>
      </c>
      <c r="G556" s="213" t="s">
        <v>500</v>
      </c>
      <c r="H556" s="146">
        <v>1071</v>
      </c>
      <c r="I556" s="247">
        <v>0</v>
      </c>
      <c r="J556" s="247">
        <v>0</v>
      </c>
      <c r="K556" s="247">
        <v>0</v>
      </c>
      <c r="L556" s="146">
        <v>1071</v>
      </c>
    </row>
    <row r="557" spans="1:12" ht="46.5" customHeight="1" outlineLevel="2" x14ac:dyDescent="0.25">
      <c r="A557" s="40" t="s">
        <v>80</v>
      </c>
      <c r="B557" s="196" t="s">
        <v>359</v>
      </c>
      <c r="C557" s="3" t="s">
        <v>360</v>
      </c>
      <c r="D557" s="40">
        <v>265</v>
      </c>
      <c r="E557" s="146">
        <v>3247854</v>
      </c>
      <c r="F557" s="146">
        <v>3128316</v>
      </c>
      <c r="G557" s="213" t="s">
        <v>500</v>
      </c>
      <c r="H557" s="146">
        <v>119538</v>
      </c>
      <c r="I557" s="215">
        <v>0</v>
      </c>
      <c r="J557" s="215">
        <v>0</v>
      </c>
      <c r="K557" s="215">
        <v>0</v>
      </c>
      <c r="L557" s="146">
        <v>119538</v>
      </c>
    </row>
    <row r="558" spans="1:12" ht="15.6" customHeight="1" outlineLevel="2" x14ac:dyDescent="0.25">
      <c r="A558" s="40" t="s">
        <v>80</v>
      </c>
      <c r="B558" s="196" t="s">
        <v>141</v>
      </c>
      <c r="C558" s="3" t="s">
        <v>126</v>
      </c>
      <c r="D558" s="40">
        <v>48</v>
      </c>
      <c r="E558" s="146">
        <v>14658917</v>
      </c>
      <c r="F558" s="146">
        <v>13490929</v>
      </c>
      <c r="G558" s="213" t="s">
        <v>500</v>
      </c>
      <c r="H558" s="146">
        <v>1167988</v>
      </c>
      <c r="I558" s="146">
        <v>203988</v>
      </c>
      <c r="J558" s="146">
        <v>199903</v>
      </c>
      <c r="K558" s="146">
        <v>4085</v>
      </c>
      <c r="L558" s="146">
        <v>1163903</v>
      </c>
    </row>
    <row r="559" spans="1:12" ht="30.75" outlineLevel="2" x14ac:dyDescent="0.25">
      <c r="A559" s="40" t="s">
        <v>80</v>
      </c>
      <c r="B559" s="196" t="s">
        <v>364</v>
      </c>
      <c r="C559" s="3" t="s">
        <v>143</v>
      </c>
      <c r="D559" s="40">
        <v>150</v>
      </c>
      <c r="E559" s="146">
        <v>6617290</v>
      </c>
      <c r="F559" s="146">
        <v>6100481</v>
      </c>
      <c r="G559" s="213" t="s">
        <v>500</v>
      </c>
      <c r="H559" s="146">
        <v>516809</v>
      </c>
      <c r="I559" s="146">
        <v>60300</v>
      </c>
      <c r="J559" s="146">
        <v>54923</v>
      </c>
      <c r="K559" s="146">
        <v>5377</v>
      </c>
      <c r="L559" s="146">
        <v>511432</v>
      </c>
    </row>
    <row r="560" spans="1:12" outlineLevel="2" x14ac:dyDescent="0.25">
      <c r="A560" s="40" t="s">
        <v>80</v>
      </c>
      <c r="B560" s="196" t="s">
        <v>210</v>
      </c>
      <c r="C560" s="3" t="s">
        <v>211</v>
      </c>
      <c r="D560" s="40">
        <v>218</v>
      </c>
      <c r="E560" s="146">
        <v>3715071</v>
      </c>
      <c r="F560" s="146">
        <v>3238954</v>
      </c>
      <c r="G560" s="213" t="s">
        <v>500</v>
      </c>
      <c r="H560" s="146">
        <v>476117</v>
      </c>
      <c r="I560" s="215">
        <v>0</v>
      </c>
      <c r="J560" s="215">
        <v>0</v>
      </c>
      <c r="K560" s="215">
        <v>0</v>
      </c>
      <c r="L560" s="146">
        <v>476117</v>
      </c>
    </row>
    <row r="561" spans="1:12" outlineLevel="2" x14ac:dyDescent="0.25">
      <c r="A561" s="40" t="s">
        <v>80</v>
      </c>
      <c r="B561" s="196" t="s">
        <v>146</v>
      </c>
      <c r="C561" s="3" t="s">
        <v>147</v>
      </c>
      <c r="D561" s="40">
        <v>173</v>
      </c>
      <c r="E561" s="146">
        <v>1759730</v>
      </c>
      <c r="F561" s="146">
        <v>1759730</v>
      </c>
      <c r="G561" s="213" t="s">
        <v>500</v>
      </c>
      <c r="H561" s="215">
        <v>0</v>
      </c>
      <c r="I561" s="146">
        <v>43451</v>
      </c>
      <c r="J561" s="146">
        <v>38616</v>
      </c>
      <c r="K561" s="146">
        <v>4835</v>
      </c>
      <c r="L561" s="146">
        <v>-4835</v>
      </c>
    </row>
    <row r="562" spans="1:12" ht="45.75" outlineLevel="2" x14ac:dyDescent="0.25">
      <c r="A562" s="40" t="s">
        <v>80</v>
      </c>
      <c r="B562" s="196" t="s">
        <v>343</v>
      </c>
      <c r="C562" s="3" t="s">
        <v>344</v>
      </c>
      <c r="D562" s="40">
        <v>329</v>
      </c>
      <c r="E562" s="146">
        <v>930860</v>
      </c>
      <c r="F562" s="146">
        <v>831450</v>
      </c>
      <c r="G562" s="213" t="s">
        <v>500</v>
      </c>
      <c r="H562" s="146">
        <v>99410</v>
      </c>
      <c r="I562" s="215">
        <v>0</v>
      </c>
      <c r="J562" s="215">
        <v>0</v>
      </c>
      <c r="K562" s="215">
        <v>0</v>
      </c>
      <c r="L562" s="146">
        <v>99410</v>
      </c>
    </row>
    <row r="563" spans="1:12" ht="30.95" customHeight="1" outlineLevel="2" x14ac:dyDescent="0.25">
      <c r="A563" s="40" t="s">
        <v>80</v>
      </c>
      <c r="B563" s="196" t="s">
        <v>311</v>
      </c>
      <c r="C563" s="3" t="s">
        <v>312</v>
      </c>
      <c r="D563" s="40">
        <v>261</v>
      </c>
      <c r="E563" s="146">
        <v>814086</v>
      </c>
      <c r="F563" s="146">
        <v>797084</v>
      </c>
      <c r="G563" s="213" t="s">
        <v>500</v>
      </c>
      <c r="H563" s="146">
        <v>17002</v>
      </c>
      <c r="I563" s="146">
        <v>72250</v>
      </c>
      <c r="J563" s="146">
        <v>29296</v>
      </c>
      <c r="K563" s="146">
        <v>42954</v>
      </c>
      <c r="L563" s="146">
        <v>-25952</v>
      </c>
    </row>
    <row r="564" spans="1:12" ht="14.45" customHeight="1" outlineLevel="2" x14ac:dyDescent="0.25">
      <c r="A564" s="40" t="s">
        <v>80</v>
      </c>
      <c r="B564" s="196" t="s">
        <v>148</v>
      </c>
      <c r="C564" s="3" t="s">
        <v>149</v>
      </c>
      <c r="D564" s="40">
        <v>244</v>
      </c>
      <c r="E564" s="146">
        <v>3239841</v>
      </c>
      <c r="F564" s="146">
        <v>3209138</v>
      </c>
      <c r="G564" s="213" t="s">
        <v>500</v>
      </c>
      <c r="H564" s="146">
        <v>30703</v>
      </c>
      <c r="I564" s="146">
        <v>73306</v>
      </c>
      <c r="J564" s="146">
        <v>50579</v>
      </c>
      <c r="K564" s="146">
        <v>22727</v>
      </c>
      <c r="L564" s="146">
        <v>7976</v>
      </c>
    </row>
    <row r="565" spans="1:12" ht="15.6" customHeight="1" outlineLevel="1" x14ac:dyDescent="0.25">
      <c r="A565" s="40" t="s">
        <v>80</v>
      </c>
      <c r="B565" s="196" t="s">
        <v>356</v>
      </c>
      <c r="C565" s="3" t="s">
        <v>357</v>
      </c>
      <c r="D565" s="40">
        <v>182</v>
      </c>
      <c r="E565" s="146">
        <v>68265</v>
      </c>
      <c r="F565" s="146">
        <v>55179</v>
      </c>
      <c r="G565" s="213" t="s">
        <v>500</v>
      </c>
      <c r="H565" s="146">
        <v>13086</v>
      </c>
      <c r="I565" s="146">
        <v>1388</v>
      </c>
      <c r="J565" s="146">
        <v>1388</v>
      </c>
      <c r="K565" s="215">
        <v>0</v>
      </c>
      <c r="L565" s="146">
        <v>13086</v>
      </c>
    </row>
    <row r="566" spans="1:12" outlineLevel="2" x14ac:dyDescent="0.25">
      <c r="A566" s="40" t="s">
        <v>80</v>
      </c>
      <c r="B566" s="196" t="s">
        <v>322</v>
      </c>
      <c r="C566" s="3" t="s">
        <v>126</v>
      </c>
      <c r="D566" s="40">
        <v>280</v>
      </c>
      <c r="E566" s="146">
        <v>14665</v>
      </c>
      <c r="F566" s="146">
        <v>11241</v>
      </c>
      <c r="G566" s="213" t="s">
        <v>500</v>
      </c>
      <c r="H566" s="146">
        <v>3424</v>
      </c>
      <c r="I566" s="215">
        <v>0</v>
      </c>
      <c r="J566" s="215">
        <v>0</v>
      </c>
      <c r="K566" s="215">
        <v>0</v>
      </c>
      <c r="L566" s="146">
        <v>3424</v>
      </c>
    </row>
    <row r="567" spans="1:12" ht="30.75" outlineLevel="2" x14ac:dyDescent="0.25">
      <c r="A567" s="40" t="s">
        <v>80</v>
      </c>
      <c r="B567" s="196" t="s">
        <v>345</v>
      </c>
      <c r="C567" s="3" t="s">
        <v>112</v>
      </c>
      <c r="D567" s="40">
        <v>176</v>
      </c>
      <c r="E567" s="146">
        <v>7230014</v>
      </c>
      <c r="F567" s="146">
        <v>6313475</v>
      </c>
      <c r="G567" s="213" t="s">
        <v>500</v>
      </c>
      <c r="H567" s="146">
        <v>916539</v>
      </c>
      <c r="I567" s="146">
        <v>35024</v>
      </c>
      <c r="J567" s="146">
        <v>25955</v>
      </c>
      <c r="K567" s="146">
        <v>9069</v>
      </c>
      <c r="L567" s="146">
        <v>907470</v>
      </c>
    </row>
    <row r="568" spans="1:12" outlineLevel="2" x14ac:dyDescent="0.25">
      <c r="A568" s="40" t="s">
        <v>80</v>
      </c>
      <c r="B568" s="196" t="s">
        <v>352</v>
      </c>
      <c r="C568" s="3" t="s">
        <v>353</v>
      </c>
      <c r="D568" s="40">
        <v>57</v>
      </c>
      <c r="E568" s="146">
        <v>964299</v>
      </c>
      <c r="F568" s="146">
        <v>880791</v>
      </c>
      <c r="G568" s="213" t="s">
        <v>500</v>
      </c>
      <c r="H568" s="146">
        <v>83508</v>
      </c>
      <c r="I568" s="146">
        <v>14205</v>
      </c>
      <c r="J568" s="146">
        <v>14205</v>
      </c>
      <c r="K568" s="215">
        <v>0</v>
      </c>
      <c r="L568" s="146">
        <v>83508</v>
      </c>
    </row>
    <row r="569" spans="1:12" outlineLevel="2" x14ac:dyDescent="0.25">
      <c r="A569" s="40" t="s">
        <v>80</v>
      </c>
      <c r="B569" s="196" t="s">
        <v>150</v>
      </c>
      <c r="C569" s="3" t="s">
        <v>151</v>
      </c>
      <c r="D569" s="40">
        <v>171</v>
      </c>
      <c r="E569" s="146">
        <v>2196908</v>
      </c>
      <c r="F569" s="146">
        <v>2046608</v>
      </c>
      <c r="G569" s="213" t="s">
        <v>500</v>
      </c>
      <c r="H569" s="146">
        <v>150300</v>
      </c>
      <c r="I569" s="215">
        <v>0</v>
      </c>
      <c r="J569" s="215">
        <v>0</v>
      </c>
      <c r="K569" s="215">
        <v>0</v>
      </c>
      <c r="L569" s="146">
        <v>150300</v>
      </c>
    </row>
    <row r="570" spans="1:12" ht="45.75" outlineLevel="2" x14ac:dyDescent="0.25">
      <c r="A570" s="40" t="s">
        <v>80</v>
      </c>
      <c r="B570" s="196" t="s">
        <v>152</v>
      </c>
      <c r="C570" s="3" t="s">
        <v>149</v>
      </c>
      <c r="D570" s="40">
        <v>258</v>
      </c>
      <c r="E570" s="146">
        <v>2759263</v>
      </c>
      <c r="F570" s="146">
        <v>2425375</v>
      </c>
      <c r="G570" s="213" t="s">
        <v>500</v>
      </c>
      <c r="H570" s="146">
        <v>333888</v>
      </c>
      <c r="I570" s="146">
        <v>42825</v>
      </c>
      <c r="J570" s="146">
        <v>40423</v>
      </c>
      <c r="K570" s="146">
        <v>2402</v>
      </c>
      <c r="L570" s="146">
        <v>331486</v>
      </c>
    </row>
    <row r="571" spans="1:12" outlineLevel="2" x14ac:dyDescent="0.25">
      <c r="A571" s="40" t="s">
        <v>80</v>
      </c>
      <c r="B571" s="196" t="s">
        <v>323</v>
      </c>
      <c r="C571" s="3" t="s">
        <v>324</v>
      </c>
      <c r="D571" s="40">
        <v>228</v>
      </c>
      <c r="E571" s="146">
        <v>14952</v>
      </c>
      <c r="F571" s="146">
        <v>6939</v>
      </c>
      <c r="G571" s="213" t="s">
        <v>500</v>
      </c>
      <c r="H571" s="146">
        <v>8013</v>
      </c>
      <c r="I571" s="215">
        <v>0</v>
      </c>
      <c r="J571" s="215">
        <v>0</v>
      </c>
      <c r="K571" s="215">
        <v>0</v>
      </c>
      <c r="L571" s="146">
        <v>8013</v>
      </c>
    </row>
    <row r="572" spans="1:12" outlineLevel="2" x14ac:dyDescent="0.25">
      <c r="A572" s="40" t="s">
        <v>80</v>
      </c>
      <c r="B572" s="196" t="s">
        <v>354</v>
      </c>
      <c r="C572" s="3" t="s">
        <v>355</v>
      </c>
      <c r="D572" s="40">
        <v>58</v>
      </c>
      <c r="E572" s="146">
        <v>3087850</v>
      </c>
      <c r="F572" s="146">
        <v>3059030</v>
      </c>
      <c r="G572" s="213" t="s">
        <v>500</v>
      </c>
      <c r="H572" s="146">
        <v>28820</v>
      </c>
      <c r="I572" s="146">
        <v>15442</v>
      </c>
      <c r="J572" s="146">
        <v>13765</v>
      </c>
      <c r="K572" s="146">
        <v>1677</v>
      </c>
      <c r="L572" s="146">
        <v>27143</v>
      </c>
    </row>
    <row r="573" spans="1:12" outlineLevel="2" x14ac:dyDescent="0.25">
      <c r="A573" s="40" t="s">
        <v>80</v>
      </c>
      <c r="B573" s="196" t="s">
        <v>325</v>
      </c>
      <c r="C573" s="3" t="s">
        <v>326</v>
      </c>
      <c r="D573" s="40">
        <v>308</v>
      </c>
      <c r="E573" s="146">
        <v>83236</v>
      </c>
      <c r="F573" s="146">
        <v>46217</v>
      </c>
      <c r="G573" s="213" t="s">
        <v>500</v>
      </c>
      <c r="H573" s="146">
        <v>37019</v>
      </c>
      <c r="I573" s="215">
        <v>0</v>
      </c>
      <c r="J573" s="215">
        <v>0</v>
      </c>
      <c r="K573" s="215">
        <v>0</v>
      </c>
      <c r="L573" s="146">
        <v>37019</v>
      </c>
    </row>
    <row r="574" spans="1:12" outlineLevel="2" x14ac:dyDescent="0.25">
      <c r="A574" s="40" t="s">
        <v>80</v>
      </c>
      <c r="B574" s="196" t="s">
        <v>153</v>
      </c>
      <c r="C574" s="3" t="s">
        <v>126</v>
      </c>
      <c r="D574" s="40">
        <v>260</v>
      </c>
      <c r="E574" s="146">
        <v>18231549</v>
      </c>
      <c r="F574" s="146">
        <v>17200676</v>
      </c>
      <c r="G574" s="213" t="s">
        <v>500</v>
      </c>
      <c r="H574" s="146">
        <v>1030873</v>
      </c>
      <c r="I574" s="146">
        <v>608055</v>
      </c>
      <c r="J574" s="146">
        <v>608055</v>
      </c>
      <c r="K574" s="215">
        <v>0</v>
      </c>
      <c r="L574" s="146">
        <v>1030873</v>
      </c>
    </row>
    <row r="575" spans="1:12" outlineLevel="2" x14ac:dyDescent="0.25">
      <c r="A575" s="40" t="s">
        <v>80</v>
      </c>
      <c r="B575" s="196" t="s">
        <v>180</v>
      </c>
      <c r="C575" s="3" t="s">
        <v>181</v>
      </c>
      <c r="D575" s="40">
        <v>346</v>
      </c>
      <c r="E575" s="146">
        <v>7378</v>
      </c>
      <c r="F575" s="146">
        <v>1834</v>
      </c>
      <c r="G575" s="213" t="s">
        <v>500</v>
      </c>
      <c r="H575" s="146">
        <v>5544</v>
      </c>
      <c r="I575" s="215">
        <v>0</v>
      </c>
      <c r="J575" s="215">
        <v>0</v>
      </c>
      <c r="K575" s="215">
        <v>0</v>
      </c>
      <c r="L575" s="146">
        <v>5544</v>
      </c>
    </row>
    <row r="576" spans="1:12" ht="15.6" customHeight="1" outlineLevel="2" x14ac:dyDescent="0.25">
      <c r="A576" s="243" t="s">
        <v>80</v>
      </c>
      <c r="B576" s="196" t="s">
        <v>156</v>
      </c>
      <c r="C576" s="3" t="s">
        <v>157</v>
      </c>
      <c r="D576" s="40">
        <v>351</v>
      </c>
      <c r="E576" s="146">
        <v>52143</v>
      </c>
      <c r="F576" s="146">
        <v>47396</v>
      </c>
      <c r="G576" s="213" t="s">
        <v>500</v>
      </c>
      <c r="H576" s="146">
        <v>4747</v>
      </c>
      <c r="I576" s="215">
        <v>0</v>
      </c>
      <c r="J576" s="215">
        <v>0</v>
      </c>
      <c r="K576" s="215">
        <v>0</v>
      </c>
      <c r="L576" s="146">
        <v>4747</v>
      </c>
    </row>
    <row r="577" spans="1:12" s="20" customFormat="1" outlineLevel="2" x14ac:dyDescent="0.25">
      <c r="A577" s="241" t="s">
        <v>275</v>
      </c>
      <c r="B577" s="184" t="s">
        <v>500</v>
      </c>
      <c r="C577" s="74" t="s">
        <v>500</v>
      </c>
      <c r="D577" s="180" t="s">
        <v>500</v>
      </c>
      <c r="E577" s="78">
        <f>SUBTOTAL(109,school200607[Program
Costs])</f>
        <v>453651870</v>
      </c>
      <c r="F577" s="78">
        <f>SUBTOTAL(109,school200607[Less: Net Payments and Offsets 10])</f>
        <v>394141865</v>
      </c>
      <c r="G577" s="74" t="s">
        <v>500</v>
      </c>
      <c r="H577" s="78">
        <f>SUBTOTAL(109,school200607[Accounts Payable
Balance])</f>
        <v>59510005</v>
      </c>
      <c r="I577" s="78">
        <f>SUBTOTAL(109,school200607[Established
Accounts Receivable])</f>
        <v>2341878</v>
      </c>
      <c r="J577" s="78">
        <f>SUBTOTAL(109,school200607[Less: Recovered Amount])</f>
        <v>1649405</v>
      </c>
      <c r="K577" s="78">
        <f>SUBTOTAL(109,school200607[Accounts Receivable
Balance])</f>
        <v>692473</v>
      </c>
      <c r="L577" s="78">
        <f>SUBTOTAL(109,school200607[Net
Balance])</f>
        <v>58817532</v>
      </c>
    </row>
    <row r="578" spans="1:12" s="244" customFormat="1" ht="15" outlineLevel="2" x14ac:dyDescent="0.2">
      <c r="A578" s="214" t="s">
        <v>508</v>
      </c>
      <c r="B578" s="245"/>
      <c r="D578" s="243"/>
      <c r="E578" s="246"/>
      <c r="F578" s="246"/>
      <c r="G578" s="57"/>
      <c r="H578" s="246"/>
      <c r="I578" s="246"/>
      <c r="J578" s="246"/>
      <c r="K578" s="246"/>
      <c r="L578" s="246"/>
    </row>
    <row r="579" spans="1:12" ht="50.1" customHeight="1" outlineLevel="2" x14ac:dyDescent="0.25">
      <c r="A579" s="204" t="s">
        <v>98</v>
      </c>
      <c r="B579" s="204" t="s">
        <v>99</v>
      </c>
      <c r="C579" s="176" t="s">
        <v>1</v>
      </c>
      <c r="D579" s="204" t="s">
        <v>195</v>
      </c>
      <c r="E579" s="238" t="s">
        <v>188</v>
      </c>
      <c r="F579" s="239" t="s">
        <v>533</v>
      </c>
      <c r="G579" s="212" t="s">
        <v>532</v>
      </c>
      <c r="H579" s="210" t="s">
        <v>528</v>
      </c>
      <c r="I579" s="210" t="s">
        <v>529</v>
      </c>
      <c r="J579" s="238" t="s">
        <v>197</v>
      </c>
      <c r="K579" s="210" t="s">
        <v>530</v>
      </c>
      <c r="L579" s="238" t="s">
        <v>196</v>
      </c>
    </row>
    <row r="580" spans="1:12" outlineLevel="2" x14ac:dyDescent="0.25">
      <c r="A580" s="40" t="s">
        <v>81</v>
      </c>
      <c r="B580" s="196" t="s">
        <v>313</v>
      </c>
      <c r="C580" s="3" t="s">
        <v>314</v>
      </c>
      <c r="D580" s="40">
        <v>305</v>
      </c>
      <c r="E580" s="146">
        <v>91574</v>
      </c>
      <c r="F580" s="146">
        <v>89307</v>
      </c>
      <c r="G580" s="213" t="s">
        <v>500</v>
      </c>
      <c r="H580" s="146">
        <v>2267</v>
      </c>
      <c r="I580" s="215">
        <v>0</v>
      </c>
      <c r="J580" s="215">
        <v>0</v>
      </c>
      <c r="K580" s="215">
        <v>0</v>
      </c>
      <c r="L580" s="146">
        <v>2267</v>
      </c>
    </row>
    <row r="581" spans="1:12" outlineLevel="2" x14ac:dyDescent="0.25">
      <c r="A581" s="40" t="s">
        <v>81</v>
      </c>
      <c r="B581" s="196" t="s">
        <v>346</v>
      </c>
      <c r="C581" s="3" t="s">
        <v>347</v>
      </c>
      <c r="D581" s="40">
        <v>269</v>
      </c>
      <c r="E581" s="146">
        <v>13832</v>
      </c>
      <c r="F581" s="146">
        <v>12143</v>
      </c>
      <c r="G581" s="213" t="s">
        <v>500</v>
      </c>
      <c r="H581" s="146">
        <v>1689</v>
      </c>
      <c r="I581" s="215">
        <v>0</v>
      </c>
      <c r="J581" s="215">
        <v>0</v>
      </c>
      <c r="K581" s="215">
        <v>0</v>
      </c>
      <c r="L581" s="146">
        <v>1689</v>
      </c>
    </row>
    <row r="582" spans="1:12" ht="30.75" outlineLevel="2" x14ac:dyDescent="0.25">
      <c r="A582" s="40" t="s">
        <v>81</v>
      </c>
      <c r="B582" s="196" t="s">
        <v>101</v>
      </c>
      <c r="C582" s="3" t="s">
        <v>102</v>
      </c>
      <c r="D582" s="40">
        <v>250</v>
      </c>
      <c r="E582" s="146">
        <v>1529642</v>
      </c>
      <c r="F582" s="146">
        <v>1448507</v>
      </c>
      <c r="G582" s="213" t="s">
        <v>500</v>
      </c>
      <c r="H582" s="146">
        <v>81135</v>
      </c>
      <c r="I582" s="215">
        <v>0</v>
      </c>
      <c r="J582" s="215">
        <v>0</v>
      </c>
      <c r="K582" s="215">
        <v>0</v>
      </c>
      <c r="L582" s="146">
        <v>81135</v>
      </c>
    </row>
    <row r="583" spans="1:12" ht="30.75" outlineLevel="2" x14ac:dyDescent="0.25">
      <c r="A583" s="40" t="s">
        <v>81</v>
      </c>
      <c r="B583" s="196" t="s">
        <v>340</v>
      </c>
      <c r="C583" s="3" t="s">
        <v>335</v>
      </c>
      <c r="D583" s="40">
        <v>348</v>
      </c>
      <c r="E583" s="146">
        <v>48538143</v>
      </c>
      <c r="F583" s="146">
        <v>42415623</v>
      </c>
      <c r="G583" s="213" t="s">
        <v>500</v>
      </c>
      <c r="H583" s="146">
        <v>6122520</v>
      </c>
      <c r="I583" s="215">
        <v>0</v>
      </c>
      <c r="J583" s="215">
        <v>0</v>
      </c>
      <c r="K583" s="215">
        <v>0</v>
      </c>
      <c r="L583" s="146">
        <v>6122520</v>
      </c>
    </row>
    <row r="584" spans="1:12" ht="30.75" outlineLevel="2" x14ac:dyDescent="0.25">
      <c r="A584" s="40" t="s">
        <v>81</v>
      </c>
      <c r="B584" s="196" t="s">
        <v>328</v>
      </c>
      <c r="C584" s="3" t="s">
        <v>329</v>
      </c>
      <c r="D584" s="40">
        <v>286</v>
      </c>
      <c r="E584" s="146">
        <v>81632</v>
      </c>
      <c r="F584" s="146">
        <v>66048</v>
      </c>
      <c r="G584" s="213" t="s">
        <v>500</v>
      </c>
      <c r="H584" s="146">
        <v>15584</v>
      </c>
      <c r="I584" s="215">
        <v>0</v>
      </c>
      <c r="J584" s="215">
        <v>0</v>
      </c>
      <c r="K584" s="215">
        <v>0</v>
      </c>
      <c r="L584" s="146">
        <v>15584</v>
      </c>
    </row>
    <row r="585" spans="1:12" ht="30.75" outlineLevel="2" x14ac:dyDescent="0.25">
      <c r="A585" s="40" t="s">
        <v>81</v>
      </c>
      <c r="B585" s="196" t="s">
        <v>109</v>
      </c>
      <c r="C585" s="3" t="s">
        <v>110</v>
      </c>
      <c r="D585" s="40">
        <v>172</v>
      </c>
      <c r="E585" s="146">
        <v>789966</v>
      </c>
      <c r="F585" s="146">
        <v>701787</v>
      </c>
      <c r="G585" s="213" t="s">
        <v>500</v>
      </c>
      <c r="H585" s="146">
        <v>88179</v>
      </c>
      <c r="I585" s="215">
        <v>0</v>
      </c>
      <c r="J585" s="215">
        <v>0</v>
      </c>
      <c r="K585" s="215">
        <v>0</v>
      </c>
      <c r="L585" s="146">
        <v>88179</v>
      </c>
    </row>
    <row r="586" spans="1:12" outlineLevel="2" x14ac:dyDescent="0.25">
      <c r="A586" s="40" t="s">
        <v>81</v>
      </c>
      <c r="B586" s="196" t="s">
        <v>365</v>
      </c>
      <c r="C586" s="3" t="s">
        <v>366</v>
      </c>
      <c r="D586" s="40">
        <v>249</v>
      </c>
      <c r="E586" s="146">
        <v>1894352</v>
      </c>
      <c r="F586" s="146">
        <v>1761720</v>
      </c>
      <c r="G586" s="213" t="s">
        <v>500</v>
      </c>
      <c r="H586" s="146">
        <v>132632</v>
      </c>
      <c r="I586" s="215">
        <v>0</v>
      </c>
      <c r="J586" s="215">
        <v>0</v>
      </c>
      <c r="K586" s="215">
        <v>0</v>
      </c>
      <c r="L586" s="146">
        <v>132632</v>
      </c>
    </row>
    <row r="587" spans="1:12" ht="30.75" outlineLevel="2" x14ac:dyDescent="0.25">
      <c r="A587" s="40" t="s">
        <v>81</v>
      </c>
      <c r="B587" s="196" t="s">
        <v>115</v>
      </c>
      <c r="C587" s="3" t="s">
        <v>116</v>
      </c>
      <c r="D587" s="40">
        <v>11</v>
      </c>
      <c r="E587" s="146">
        <v>28118251</v>
      </c>
      <c r="F587" s="146">
        <v>27647949</v>
      </c>
      <c r="G587" s="213" t="s">
        <v>500</v>
      </c>
      <c r="H587" s="146">
        <v>470302</v>
      </c>
      <c r="I587" s="146">
        <v>6504563</v>
      </c>
      <c r="J587" s="146">
        <v>5420317</v>
      </c>
      <c r="K587" s="146">
        <v>1084246</v>
      </c>
      <c r="L587" s="146">
        <v>-613944</v>
      </c>
    </row>
    <row r="588" spans="1:12" outlineLevel="2" x14ac:dyDescent="0.25">
      <c r="A588" s="40" t="s">
        <v>81</v>
      </c>
      <c r="B588" s="196" t="s">
        <v>358</v>
      </c>
      <c r="C588" s="3" t="s">
        <v>118</v>
      </c>
      <c r="D588" s="40">
        <v>223</v>
      </c>
      <c r="E588" s="146">
        <v>4125253</v>
      </c>
      <c r="F588" s="146">
        <v>3957366</v>
      </c>
      <c r="G588" s="213" t="s">
        <v>500</v>
      </c>
      <c r="H588" s="146">
        <v>167887</v>
      </c>
      <c r="I588" s="215">
        <v>0</v>
      </c>
      <c r="J588" s="215">
        <v>0</v>
      </c>
      <c r="K588" s="215">
        <v>0</v>
      </c>
      <c r="L588" s="146">
        <v>167887</v>
      </c>
    </row>
    <row r="589" spans="1:12" ht="45.75" outlineLevel="2" x14ac:dyDescent="0.25">
      <c r="A589" s="40" t="s">
        <v>81</v>
      </c>
      <c r="B589" s="196" t="s">
        <v>103</v>
      </c>
      <c r="C589" s="3" t="s">
        <v>104</v>
      </c>
      <c r="D589" s="40">
        <v>272</v>
      </c>
      <c r="E589" s="146">
        <v>8371175</v>
      </c>
      <c r="F589" s="146">
        <v>8200303</v>
      </c>
      <c r="G589" s="213" t="s">
        <v>500</v>
      </c>
      <c r="H589" s="146">
        <v>170872</v>
      </c>
      <c r="I589" s="215">
        <v>0</v>
      </c>
      <c r="J589" s="215">
        <v>0</v>
      </c>
      <c r="K589" s="215">
        <v>0</v>
      </c>
      <c r="L589" s="146">
        <v>170872</v>
      </c>
    </row>
    <row r="590" spans="1:12" ht="46.5" customHeight="1" outlineLevel="2" x14ac:dyDescent="0.25">
      <c r="A590" s="40" t="s">
        <v>81</v>
      </c>
      <c r="B590" s="196" t="s">
        <v>361</v>
      </c>
      <c r="C590" s="3" t="s">
        <v>362</v>
      </c>
      <c r="D590" s="40">
        <v>291</v>
      </c>
      <c r="E590" s="146">
        <v>221637</v>
      </c>
      <c r="F590" s="146">
        <v>135227</v>
      </c>
      <c r="G590" s="213" t="s">
        <v>500</v>
      </c>
      <c r="H590" s="146">
        <v>86410</v>
      </c>
      <c r="I590" s="215">
        <v>0</v>
      </c>
      <c r="J590" s="215">
        <v>0</v>
      </c>
      <c r="K590" s="215">
        <v>0</v>
      </c>
      <c r="L590" s="146">
        <v>86410</v>
      </c>
    </row>
    <row r="591" spans="1:12" ht="30.75" outlineLevel="2" x14ac:dyDescent="0.25">
      <c r="A591" s="40" t="s">
        <v>81</v>
      </c>
      <c r="B591" s="196" t="s">
        <v>113</v>
      </c>
      <c r="C591" s="3" t="s">
        <v>114</v>
      </c>
      <c r="D591" s="40">
        <v>209</v>
      </c>
      <c r="E591" s="146">
        <v>330968</v>
      </c>
      <c r="F591" s="146">
        <v>291805</v>
      </c>
      <c r="G591" s="213" t="s">
        <v>500</v>
      </c>
      <c r="H591" s="146">
        <v>39163</v>
      </c>
      <c r="I591" s="215">
        <v>0</v>
      </c>
      <c r="J591" s="215">
        <v>0</v>
      </c>
      <c r="K591" s="215">
        <v>0</v>
      </c>
      <c r="L591" s="146">
        <v>39163</v>
      </c>
    </row>
    <row r="592" spans="1:12" ht="15" customHeight="1" outlineLevel="2" x14ac:dyDescent="0.25">
      <c r="A592" s="40" t="s">
        <v>81</v>
      </c>
      <c r="B592" s="196" t="s">
        <v>119</v>
      </c>
      <c r="C592" s="3" t="s">
        <v>120</v>
      </c>
      <c r="D592" s="40">
        <v>183</v>
      </c>
      <c r="E592" s="146">
        <v>1053274</v>
      </c>
      <c r="F592" s="146">
        <v>1028420</v>
      </c>
      <c r="G592" s="213" t="s">
        <v>500</v>
      </c>
      <c r="H592" s="146">
        <v>24854</v>
      </c>
      <c r="I592" s="146">
        <v>324987</v>
      </c>
      <c r="J592" s="146">
        <v>324236</v>
      </c>
      <c r="K592" s="146">
        <v>751</v>
      </c>
      <c r="L592" s="146">
        <v>24103</v>
      </c>
    </row>
    <row r="593" spans="1:12" outlineLevel="2" x14ac:dyDescent="0.25">
      <c r="A593" s="40" t="s">
        <v>81</v>
      </c>
      <c r="B593" s="196" t="s">
        <v>121</v>
      </c>
      <c r="C593" s="3" t="s">
        <v>122</v>
      </c>
      <c r="D593" s="40">
        <v>251</v>
      </c>
      <c r="E593" s="146">
        <v>345084</v>
      </c>
      <c r="F593" s="146">
        <v>339843</v>
      </c>
      <c r="G593" s="213" t="s">
        <v>500</v>
      </c>
      <c r="H593" s="146">
        <v>5241</v>
      </c>
      <c r="I593" s="215">
        <v>0</v>
      </c>
      <c r="J593" s="215">
        <v>0</v>
      </c>
      <c r="K593" s="215">
        <v>0</v>
      </c>
      <c r="L593" s="146">
        <v>5241</v>
      </c>
    </row>
    <row r="594" spans="1:12" ht="30.95" customHeight="1" outlineLevel="2" x14ac:dyDescent="0.25">
      <c r="A594" s="40" t="s">
        <v>81</v>
      </c>
      <c r="B594" s="196" t="s">
        <v>317</v>
      </c>
      <c r="C594" s="3" t="s">
        <v>112</v>
      </c>
      <c r="D594" s="40">
        <v>91</v>
      </c>
      <c r="E594" s="146">
        <v>11182</v>
      </c>
      <c r="F594" s="146">
        <v>10546</v>
      </c>
      <c r="G594" s="213" t="s">
        <v>500</v>
      </c>
      <c r="H594" s="146">
        <v>636</v>
      </c>
      <c r="I594" s="215">
        <v>0</v>
      </c>
      <c r="J594" s="215">
        <v>0</v>
      </c>
      <c r="K594" s="215">
        <v>0</v>
      </c>
      <c r="L594" s="146">
        <v>636</v>
      </c>
    </row>
    <row r="595" spans="1:12" outlineLevel="2" x14ac:dyDescent="0.25">
      <c r="A595" s="40" t="s">
        <v>81</v>
      </c>
      <c r="B595" s="196" t="s">
        <v>123</v>
      </c>
      <c r="C595" s="3" t="s">
        <v>124</v>
      </c>
      <c r="D595" s="40">
        <v>192</v>
      </c>
      <c r="E595" s="146">
        <v>345937</v>
      </c>
      <c r="F595" s="146">
        <v>317957</v>
      </c>
      <c r="G595" s="213" t="s">
        <v>500</v>
      </c>
      <c r="H595" s="146">
        <v>27980</v>
      </c>
      <c r="I595" s="215">
        <v>0</v>
      </c>
      <c r="J595" s="215">
        <v>0</v>
      </c>
      <c r="K595" s="215">
        <v>0</v>
      </c>
      <c r="L595" s="146">
        <v>27980</v>
      </c>
    </row>
    <row r="596" spans="1:12" outlineLevel="2" x14ac:dyDescent="0.25">
      <c r="A596" s="40" t="s">
        <v>81</v>
      </c>
      <c r="B596" s="196" t="s">
        <v>363</v>
      </c>
      <c r="C596" s="3" t="s">
        <v>126</v>
      </c>
      <c r="D596" s="40">
        <v>26</v>
      </c>
      <c r="E596" s="146">
        <v>43202517</v>
      </c>
      <c r="F596" s="146">
        <v>40579200</v>
      </c>
      <c r="G596" s="213" t="s">
        <v>500</v>
      </c>
      <c r="H596" s="146">
        <v>2623317</v>
      </c>
      <c r="I596" s="146">
        <v>2628221</v>
      </c>
      <c r="J596" s="146">
        <v>940748</v>
      </c>
      <c r="K596" s="146">
        <v>1687473</v>
      </c>
      <c r="L596" s="146">
        <v>935844</v>
      </c>
    </row>
    <row r="597" spans="1:12" ht="30.75" outlineLevel="2" x14ac:dyDescent="0.25">
      <c r="A597" s="40" t="s">
        <v>81</v>
      </c>
      <c r="B597" s="196" t="s">
        <v>125</v>
      </c>
      <c r="C597" s="3" t="s">
        <v>126</v>
      </c>
      <c r="D597" s="40">
        <v>297</v>
      </c>
      <c r="E597" s="146">
        <v>178572293</v>
      </c>
      <c r="F597" s="146">
        <v>149988236</v>
      </c>
      <c r="G597" s="213" t="s">
        <v>500</v>
      </c>
      <c r="H597" s="146">
        <v>28584057</v>
      </c>
      <c r="I597" s="215">
        <v>0</v>
      </c>
      <c r="J597" s="215">
        <v>0</v>
      </c>
      <c r="K597" s="215">
        <v>0</v>
      </c>
      <c r="L597" s="146">
        <v>28584057</v>
      </c>
    </row>
    <row r="598" spans="1:12" ht="15" customHeight="1" outlineLevel="2" x14ac:dyDescent="0.25">
      <c r="A598" s="40" t="s">
        <v>81</v>
      </c>
      <c r="B598" s="196" t="s">
        <v>127</v>
      </c>
      <c r="C598" s="3" t="s">
        <v>128</v>
      </c>
      <c r="D598" s="40">
        <v>166</v>
      </c>
      <c r="E598" s="146">
        <v>6863320</v>
      </c>
      <c r="F598" s="146">
        <v>6312299</v>
      </c>
      <c r="G598" s="213" t="s">
        <v>500</v>
      </c>
      <c r="H598" s="146">
        <v>551021</v>
      </c>
      <c r="I598" s="215">
        <v>0</v>
      </c>
      <c r="J598" s="215">
        <v>0</v>
      </c>
      <c r="K598" s="215">
        <v>0</v>
      </c>
      <c r="L598" s="146">
        <v>551021</v>
      </c>
    </row>
    <row r="599" spans="1:12" ht="15.6" customHeight="1" outlineLevel="2" x14ac:dyDescent="0.25">
      <c r="A599" s="40" t="s">
        <v>81</v>
      </c>
      <c r="B599" s="196" t="s">
        <v>318</v>
      </c>
      <c r="C599" s="3" t="s">
        <v>319</v>
      </c>
      <c r="D599" s="40">
        <v>268</v>
      </c>
      <c r="E599" s="146">
        <v>6928053</v>
      </c>
      <c r="F599" s="146">
        <v>5751723</v>
      </c>
      <c r="G599" s="213" t="s">
        <v>500</v>
      </c>
      <c r="H599" s="146">
        <v>1176330</v>
      </c>
      <c r="I599" s="215">
        <v>0</v>
      </c>
      <c r="J599" s="215">
        <v>0</v>
      </c>
      <c r="K599" s="215">
        <v>0</v>
      </c>
      <c r="L599" s="146">
        <v>1176330</v>
      </c>
    </row>
    <row r="600" spans="1:12" ht="15.6" customHeight="1" outlineLevel="2" x14ac:dyDescent="0.25">
      <c r="A600" s="40" t="s">
        <v>81</v>
      </c>
      <c r="B600" s="196" t="s">
        <v>133</v>
      </c>
      <c r="C600" s="3" t="s">
        <v>134</v>
      </c>
      <c r="D600" s="40">
        <v>32</v>
      </c>
      <c r="E600" s="146">
        <v>3940566</v>
      </c>
      <c r="F600" s="146">
        <v>3912544</v>
      </c>
      <c r="G600" s="213" t="s">
        <v>500</v>
      </c>
      <c r="H600" s="146">
        <v>28022</v>
      </c>
      <c r="I600" s="215">
        <v>0</v>
      </c>
      <c r="J600" s="215">
        <v>0</v>
      </c>
      <c r="K600" s="215">
        <v>0</v>
      </c>
      <c r="L600" s="146">
        <v>28022</v>
      </c>
    </row>
    <row r="601" spans="1:12" outlineLevel="2" x14ac:dyDescent="0.25">
      <c r="A601" s="40" t="s">
        <v>81</v>
      </c>
      <c r="B601" s="196" t="s">
        <v>336</v>
      </c>
      <c r="C601" s="3" t="s">
        <v>130</v>
      </c>
      <c r="D601" s="40">
        <v>230</v>
      </c>
      <c r="E601" s="146">
        <v>5033509</v>
      </c>
      <c r="F601" s="146">
        <v>5003200</v>
      </c>
      <c r="G601" s="213" t="s">
        <v>500</v>
      </c>
      <c r="H601" s="146">
        <v>30309</v>
      </c>
      <c r="I601" s="215">
        <v>0</v>
      </c>
      <c r="J601" s="215">
        <v>0</v>
      </c>
      <c r="K601" s="215">
        <v>0</v>
      </c>
      <c r="L601" s="146">
        <v>30309</v>
      </c>
    </row>
    <row r="602" spans="1:12" outlineLevel="2" x14ac:dyDescent="0.25">
      <c r="A602" s="40" t="s">
        <v>81</v>
      </c>
      <c r="B602" s="196" t="s">
        <v>320</v>
      </c>
      <c r="C602" s="3" t="s">
        <v>321</v>
      </c>
      <c r="D602" s="40">
        <v>148</v>
      </c>
      <c r="E602" s="146">
        <v>14798</v>
      </c>
      <c r="F602" s="146">
        <v>11934</v>
      </c>
      <c r="G602" s="213" t="s">
        <v>500</v>
      </c>
      <c r="H602" s="146">
        <v>2864</v>
      </c>
      <c r="I602" s="215">
        <v>0</v>
      </c>
      <c r="J602" s="215">
        <v>0</v>
      </c>
      <c r="K602" s="215">
        <v>0</v>
      </c>
      <c r="L602" s="146">
        <v>2864</v>
      </c>
    </row>
    <row r="603" spans="1:12" ht="15" customHeight="1" outlineLevel="2" x14ac:dyDescent="0.25">
      <c r="A603" s="40" t="s">
        <v>81</v>
      </c>
      <c r="B603" s="196" t="s">
        <v>135</v>
      </c>
      <c r="C603" s="3" t="s">
        <v>136</v>
      </c>
      <c r="D603" s="40">
        <v>153</v>
      </c>
      <c r="E603" s="146">
        <v>4736153</v>
      </c>
      <c r="F603" s="146">
        <v>4678559</v>
      </c>
      <c r="G603" s="213" t="s">
        <v>500</v>
      </c>
      <c r="H603" s="146">
        <v>57594</v>
      </c>
      <c r="I603" s="146">
        <v>1319463</v>
      </c>
      <c r="J603" s="146">
        <v>1295960</v>
      </c>
      <c r="K603" s="146">
        <v>23503</v>
      </c>
      <c r="L603" s="146">
        <v>34091</v>
      </c>
    </row>
    <row r="604" spans="1:12" outlineLevel="2" x14ac:dyDescent="0.25">
      <c r="A604" s="40" t="s">
        <v>81</v>
      </c>
      <c r="B604" s="196" t="s">
        <v>137</v>
      </c>
      <c r="C604" s="3" t="s">
        <v>138</v>
      </c>
      <c r="D604" s="40">
        <v>155</v>
      </c>
      <c r="E604" s="146">
        <v>1185878</v>
      </c>
      <c r="F604" s="146">
        <v>1112778</v>
      </c>
      <c r="G604" s="213" t="s">
        <v>500</v>
      </c>
      <c r="H604" s="146">
        <v>73100</v>
      </c>
      <c r="I604" s="215">
        <v>0</v>
      </c>
      <c r="J604" s="215">
        <v>0</v>
      </c>
      <c r="K604" s="215">
        <v>0</v>
      </c>
      <c r="L604" s="146">
        <v>73100</v>
      </c>
    </row>
    <row r="605" spans="1:12" outlineLevel="2" x14ac:dyDescent="0.25">
      <c r="A605" s="40" t="s">
        <v>81</v>
      </c>
      <c r="B605" s="196" t="s">
        <v>370</v>
      </c>
      <c r="C605" s="3" t="s">
        <v>371</v>
      </c>
      <c r="D605" s="40">
        <v>157</v>
      </c>
      <c r="E605" s="146">
        <v>1550124</v>
      </c>
      <c r="F605" s="146">
        <v>1376323</v>
      </c>
      <c r="G605" s="213" t="s">
        <v>500</v>
      </c>
      <c r="H605" s="146">
        <v>173801</v>
      </c>
      <c r="I605" s="215">
        <v>0</v>
      </c>
      <c r="J605" s="215">
        <v>0</v>
      </c>
      <c r="K605" s="215">
        <v>0</v>
      </c>
      <c r="L605" s="146">
        <v>173801</v>
      </c>
    </row>
    <row r="606" spans="1:12" outlineLevel="2" x14ac:dyDescent="0.25">
      <c r="A606" s="40" t="s">
        <v>81</v>
      </c>
      <c r="B606" s="196" t="s">
        <v>219</v>
      </c>
      <c r="C606" s="3" t="s">
        <v>220</v>
      </c>
      <c r="D606" s="40">
        <v>42</v>
      </c>
      <c r="E606" s="146">
        <v>16466343</v>
      </c>
      <c r="F606" s="146">
        <v>15476282</v>
      </c>
      <c r="G606" s="213" t="s">
        <v>500</v>
      </c>
      <c r="H606" s="146">
        <v>990061</v>
      </c>
      <c r="I606" s="215">
        <v>0</v>
      </c>
      <c r="J606" s="215">
        <v>0</v>
      </c>
      <c r="K606" s="215">
        <v>0</v>
      </c>
      <c r="L606" s="146">
        <v>990061</v>
      </c>
    </row>
    <row r="607" spans="1:12" ht="46.5" customHeight="1" outlineLevel="2" x14ac:dyDescent="0.25">
      <c r="A607" s="40" t="s">
        <v>81</v>
      </c>
      <c r="B607" s="196" t="s">
        <v>359</v>
      </c>
      <c r="C607" s="3" t="s">
        <v>360</v>
      </c>
      <c r="D607" s="40">
        <v>265</v>
      </c>
      <c r="E607" s="146">
        <v>2861402</v>
      </c>
      <c r="F607" s="146">
        <v>2768647</v>
      </c>
      <c r="G607" s="213" t="s">
        <v>500</v>
      </c>
      <c r="H607" s="146">
        <v>92755</v>
      </c>
      <c r="I607" s="215">
        <v>0</v>
      </c>
      <c r="J607" s="215">
        <v>0</v>
      </c>
      <c r="K607" s="215">
        <v>0</v>
      </c>
      <c r="L607" s="146">
        <v>92755</v>
      </c>
    </row>
    <row r="608" spans="1:12" outlineLevel="2" x14ac:dyDescent="0.25">
      <c r="A608" s="40" t="s">
        <v>81</v>
      </c>
      <c r="B608" s="196" t="s">
        <v>141</v>
      </c>
      <c r="C608" s="3" t="s">
        <v>126</v>
      </c>
      <c r="D608" s="40">
        <v>48</v>
      </c>
      <c r="E608" s="146">
        <v>12433793</v>
      </c>
      <c r="F608" s="146">
        <v>11714663</v>
      </c>
      <c r="G608" s="213" t="s">
        <v>500</v>
      </c>
      <c r="H608" s="146">
        <v>719130</v>
      </c>
      <c r="I608" s="215">
        <v>0</v>
      </c>
      <c r="J608" s="215">
        <v>0</v>
      </c>
      <c r="K608" s="215">
        <v>0</v>
      </c>
      <c r="L608" s="146">
        <v>719130</v>
      </c>
    </row>
    <row r="609" spans="1:12" ht="30.75" outlineLevel="2" x14ac:dyDescent="0.25">
      <c r="A609" s="40" t="s">
        <v>81</v>
      </c>
      <c r="B609" s="196" t="s">
        <v>364</v>
      </c>
      <c r="C609" s="3" t="s">
        <v>143</v>
      </c>
      <c r="D609" s="40">
        <v>150</v>
      </c>
      <c r="E609" s="146">
        <v>5726692</v>
      </c>
      <c r="F609" s="146">
        <v>5639598</v>
      </c>
      <c r="G609" s="213" t="s">
        <v>500</v>
      </c>
      <c r="H609" s="146">
        <v>87094</v>
      </c>
      <c r="I609" s="146">
        <v>1191913</v>
      </c>
      <c r="J609" s="146">
        <v>1172322</v>
      </c>
      <c r="K609" s="146">
        <v>19591</v>
      </c>
      <c r="L609" s="146">
        <v>67503</v>
      </c>
    </row>
    <row r="610" spans="1:12" outlineLevel="2" x14ac:dyDescent="0.25">
      <c r="A610" s="40" t="s">
        <v>81</v>
      </c>
      <c r="B610" s="196" t="s">
        <v>210</v>
      </c>
      <c r="C610" s="3" t="s">
        <v>211</v>
      </c>
      <c r="D610" s="40">
        <v>218</v>
      </c>
      <c r="E610" s="146">
        <v>3283340</v>
      </c>
      <c r="F610" s="146">
        <v>3000113</v>
      </c>
      <c r="G610" s="213" t="s">
        <v>500</v>
      </c>
      <c r="H610" s="146">
        <v>283227</v>
      </c>
      <c r="I610" s="215">
        <v>0</v>
      </c>
      <c r="J610" s="215">
        <v>0</v>
      </c>
      <c r="K610" s="215">
        <v>0</v>
      </c>
      <c r="L610" s="146">
        <v>283227</v>
      </c>
    </row>
    <row r="611" spans="1:12" ht="15.6" customHeight="1" outlineLevel="2" x14ac:dyDescent="0.25">
      <c r="A611" s="40" t="s">
        <v>81</v>
      </c>
      <c r="B611" s="196" t="s">
        <v>373</v>
      </c>
      <c r="C611" s="3" t="s">
        <v>374</v>
      </c>
      <c r="D611" s="40">
        <v>151</v>
      </c>
      <c r="E611" s="215">
        <v>0</v>
      </c>
      <c r="F611" s="215">
        <v>0</v>
      </c>
      <c r="G611" s="213" t="s">
        <v>500</v>
      </c>
      <c r="H611" s="215">
        <v>0</v>
      </c>
      <c r="I611" s="146">
        <v>154522</v>
      </c>
      <c r="J611" s="146">
        <v>150626</v>
      </c>
      <c r="K611" s="146">
        <v>3896</v>
      </c>
      <c r="L611" s="146">
        <v>-3896</v>
      </c>
    </row>
    <row r="612" spans="1:12" ht="14.45" customHeight="1" outlineLevel="2" x14ac:dyDescent="0.25">
      <c r="A612" s="40" t="s">
        <v>81</v>
      </c>
      <c r="B612" s="196" t="s">
        <v>375</v>
      </c>
      <c r="C612" s="3" t="s">
        <v>112</v>
      </c>
      <c r="D612" s="40">
        <v>271</v>
      </c>
      <c r="E612" s="146">
        <v>4310781</v>
      </c>
      <c r="F612" s="146">
        <v>3965770</v>
      </c>
      <c r="G612" s="213" t="s">
        <v>500</v>
      </c>
      <c r="H612" s="146">
        <v>345011</v>
      </c>
      <c r="I612" s="215">
        <v>0</v>
      </c>
      <c r="J612" s="215">
        <v>0</v>
      </c>
      <c r="K612" s="215">
        <v>0</v>
      </c>
      <c r="L612" s="146">
        <v>345011</v>
      </c>
    </row>
    <row r="613" spans="1:12" ht="45.75" outlineLevel="1" x14ac:dyDescent="0.25">
      <c r="A613" s="40" t="s">
        <v>81</v>
      </c>
      <c r="B613" s="196" t="s">
        <v>343</v>
      </c>
      <c r="C613" s="3" t="s">
        <v>344</v>
      </c>
      <c r="D613" s="40">
        <v>329</v>
      </c>
      <c r="E613" s="146">
        <v>824841</v>
      </c>
      <c r="F613" s="146">
        <v>761992</v>
      </c>
      <c r="G613" s="213" t="s">
        <v>500</v>
      </c>
      <c r="H613" s="146">
        <v>62849</v>
      </c>
      <c r="I613" s="215">
        <v>0</v>
      </c>
      <c r="J613" s="215">
        <v>0</v>
      </c>
      <c r="K613" s="215">
        <v>0</v>
      </c>
      <c r="L613" s="146">
        <v>62849</v>
      </c>
    </row>
    <row r="614" spans="1:12" ht="30.95" customHeight="1" outlineLevel="2" x14ac:dyDescent="0.25">
      <c r="A614" s="40" t="s">
        <v>81</v>
      </c>
      <c r="B614" s="196" t="s">
        <v>311</v>
      </c>
      <c r="C614" s="3" t="s">
        <v>312</v>
      </c>
      <c r="D614" s="40">
        <v>261</v>
      </c>
      <c r="E614" s="146">
        <v>1283024</v>
      </c>
      <c r="F614" s="146">
        <v>1278443</v>
      </c>
      <c r="G614" s="213" t="s">
        <v>500</v>
      </c>
      <c r="H614" s="146">
        <v>4581</v>
      </c>
      <c r="I614" s="215">
        <v>0</v>
      </c>
      <c r="J614" s="215">
        <v>0</v>
      </c>
      <c r="K614" s="215">
        <v>0</v>
      </c>
      <c r="L614" s="146">
        <v>4581</v>
      </c>
    </row>
    <row r="615" spans="1:12" outlineLevel="2" x14ac:dyDescent="0.25">
      <c r="A615" s="40" t="s">
        <v>81</v>
      </c>
      <c r="B615" s="196" t="s">
        <v>148</v>
      </c>
      <c r="C615" s="3" t="s">
        <v>149</v>
      </c>
      <c r="D615" s="40">
        <v>244</v>
      </c>
      <c r="E615" s="146">
        <v>3003669</v>
      </c>
      <c r="F615" s="146">
        <v>2979014</v>
      </c>
      <c r="G615" s="213" t="s">
        <v>500</v>
      </c>
      <c r="H615" s="146">
        <v>24655</v>
      </c>
      <c r="I615" s="215">
        <v>0</v>
      </c>
      <c r="J615" s="215">
        <v>0</v>
      </c>
      <c r="K615" s="215">
        <v>0</v>
      </c>
      <c r="L615" s="146">
        <v>24655</v>
      </c>
    </row>
    <row r="616" spans="1:12" ht="15.6" customHeight="1" outlineLevel="2" x14ac:dyDescent="0.25">
      <c r="A616" s="40" t="s">
        <v>81</v>
      </c>
      <c r="B616" s="196" t="s">
        <v>356</v>
      </c>
      <c r="C616" s="3" t="s">
        <v>357</v>
      </c>
      <c r="D616" s="40">
        <v>182</v>
      </c>
      <c r="E616" s="146">
        <v>283789</v>
      </c>
      <c r="F616" s="146">
        <v>7758</v>
      </c>
      <c r="G616" s="213" t="s">
        <v>500</v>
      </c>
      <c r="H616" s="146">
        <v>276031</v>
      </c>
      <c r="I616" s="215">
        <v>0</v>
      </c>
      <c r="J616" s="215">
        <v>0</v>
      </c>
      <c r="K616" s="215">
        <v>0</v>
      </c>
      <c r="L616" s="146">
        <v>276031</v>
      </c>
    </row>
    <row r="617" spans="1:12" outlineLevel="2" x14ac:dyDescent="0.25">
      <c r="A617" s="40" t="s">
        <v>81</v>
      </c>
      <c r="B617" s="196" t="s">
        <v>322</v>
      </c>
      <c r="C617" s="3" t="s">
        <v>126</v>
      </c>
      <c r="D617" s="40">
        <v>280</v>
      </c>
      <c r="E617" s="146">
        <v>10081</v>
      </c>
      <c r="F617" s="146">
        <v>8652</v>
      </c>
      <c r="G617" s="213" t="s">
        <v>500</v>
      </c>
      <c r="H617" s="146">
        <v>1429</v>
      </c>
      <c r="I617" s="215">
        <v>0</v>
      </c>
      <c r="J617" s="215">
        <v>0</v>
      </c>
      <c r="K617" s="215">
        <v>0</v>
      </c>
      <c r="L617" s="146">
        <v>1429</v>
      </c>
    </row>
    <row r="618" spans="1:12" ht="30.75" outlineLevel="2" x14ac:dyDescent="0.25">
      <c r="A618" s="40" t="s">
        <v>81</v>
      </c>
      <c r="B618" s="196" t="s">
        <v>345</v>
      </c>
      <c r="C618" s="3" t="s">
        <v>112</v>
      </c>
      <c r="D618" s="40">
        <v>176</v>
      </c>
      <c r="E618" s="146">
        <v>3178106</v>
      </c>
      <c r="F618" s="146">
        <v>2910951</v>
      </c>
      <c r="G618" s="213" t="s">
        <v>500</v>
      </c>
      <c r="H618" s="146">
        <v>267155</v>
      </c>
      <c r="I618" s="146">
        <v>337</v>
      </c>
      <c r="J618" s="215">
        <v>0</v>
      </c>
      <c r="K618" s="146">
        <v>337</v>
      </c>
      <c r="L618" s="146">
        <v>266818</v>
      </c>
    </row>
    <row r="619" spans="1:12" outlineLevel="2" x14ac:dyDescent="0.25">
      <c r="A619" s="40" t="s">
        <v>81</v>
      </c>
      <c r="B619" s="196" t="s">
        <v>352</v>
      </c>
      <c r="C619" s="3" t="s">
        <v>353</v>
      </c>
      <c r="D619" s="40">
        <v>57</v>
      </c>
      <c r="E619" s="146">
        <v>1056004</v>
      </c>
      <c r="F619" s="146">
        <v>948908</v>
      </c>
      <c r="G619" s="213" t="s">
        <v>500</v>
      </c>
      <c r="H619" s="146">
        <v>107096</v>
      </c>
      <c r="I619" s="215">
        <v>0</v>
      </c>
      <c r="J619" s="215">
        <v>0</v>
      </c>
      <c r="K619" s="215">
        <v>0</v>
      </c>
      <c r="L619" s="146">
        <v>107096</v>
      </c>
    </row>
    <row r="620" spans="1:12" outlineLevel="2" x14ac:dyDescent="0.25">
      <c r="A620" s="40" t="s">
        <v>81</v>
      </c>
      <c r="B620" s="196" t="s">
        <v>150</v>
      </c>
      <c r="C620" s="3" t="s">
        <v>151</v>
      </c>
      <c r="D620" s="40">
        <v>171</v>
      </c>
      <c r="E620" s="146">
        <v>1823009</v>
      </c>
      <c r="F620" s="146">
        <v>1710342</v>
      </c>
      <c r="G620" s="213" t="s">
        <v>500</v>
      </c>
      <c r="H620" s="146">
        <v>112667</v>
      </c>
      <c r="I620" s="215">
        <v>0</v>
      </c>
      <c r="J620" s="215">
        <v>0</v>
      </c>
      <c r="K620" s="215">
        <v>0</v>
      </c>
      <c r="L620" s="146">
        <v>112667</v>
      </c>
    </row>
    <row r="621" spans="1:12" ht="15.6" customHeight="1" outlineLevel="2" x14ac:dyDescent="0.25">
      <c r="A621" s="40" t="s">
        <v>81</v>
      </c>
      <c r="B621" s="196" t="s">
        <v>354</v>
      </c>
      <c r="C621" s="3" t="s">
        <v>355</v>
      </c>
      <c r="D621" s="40">
        <v>58</v>
      </c>
      <c r="E621" s="146">
        <v>2981606</v>
      </c>
      <c r="F621" s="146">
        <v>2966560</v>
      </c>
      <c r="G621" s="213" t="s">
        <v>500</v>
      </c>
      <c r="H621" s="146">
        <v>15046</v>
      </c>
      <c r="I621" s="215">
        <v>0</v>
      </c>
      <c r="J621" s="215">
        <v>0</v>
      </c>
      <c r="K621" s="215">
        <v>0</v>
      </c>
      <c r="L621" s="146">
        <v>15046</v>
      </c>
    </row>
    <row r="622" spans="1:12" outlineLevel="2" x14ac:dyDescent="0.25">
      <c r="A622" s="40" t="s">
        <v>81</v>
      </c>
      <c r="B622" s="196" t="s">
        <v>325</v>
      </c>
      <c r="C622" s="3" t="s">
        <v>326</v>
      </c>
      <c r="D622" s="40">
        <v>308</v>
      </c>
      <c r="E622" s="146">
        <v>68777</v>
      </c>
      <c r="F622" s="146">
        <v>28480</v>
      </c>
      <c r="G622" s="213" t="s">
        <v>500</v>
      </c>
      <c r="H622" s="146">
        <v>40297</v>
      </c>
      <c r="I622" s="215">
        <v>0</v>
      </c>
      <c r="J622" s="215">
        <v>0</v>
      </c>
      <c r="K622" s="215">
        <v>0</v>
      </c>
      <c r="L622" s="146">
        <v>40297</v>
      </c>
    </row>
    <row r="623" spans="1:12" outlineLevel="2" x14ac:dyDescent="0.25">
      <c r="A623" s="40" t="s">
        <v>81</v>
      </c>
      <c r="B623" s="196" t="s">
        <v>153</v>
      </c>
      <c r="C623" s="3" t="s">
        <v>126</v>
      </c>
      <c r="D623" s="40">
        <v>260</v>
      </c>
      <c r="E623" s="146">
        <v>19666966</v>
      </c>
      <c r="F623" s="146">
        <v>18822233</v>
      </c>
      <c r="G623" s="213" t="s">
        <v>500</v>
      </c>
      <c r="H623" s="146">
        <v>844733</v>
      </c>
      <c r="I623" s="146">
        <v>874947</v>
      </c>
      <c r="J623" s="146">
        <v>874947</v>
      </c>
      <c r="K623" s="215">
        <v>0</v>
      </c>
      <c r="L623" s="146">
        <v>844733</v>
      </c>
    </row>
    <row r="624" spans="1:12" outlineLevel="2" x14ac:dyDescent="0.25">
      <c r="A624" s="40" t="s">
        <v>81</v>
      </c>
      <c r="B624" s="196" t="s">
        <v>180</v>
      </c>
      <c r="C624" s="3" t="s">
        <v>181</v>
      </c>
      <c r="D624" s="40">
        <v>346</v>
      </c>
      <c r="E624" s="146">
        <v>6162</v>
      </c>
      <c r="F624" s="146">
        <v>4027</v>
      </c>
      <c r="G624" s="213" t="s">
        <v>500</v>
      </c>
      <c r="H624" s="146">
        <v>2135</v>
      </c>
      <c r="I624" s="215">
        <v>0</v>
      </c>
      <c r="J624" s="215">
        <v>0</v>
      </c>
      <c r="K624" s="215">
        <v>0</v>
      </c>
      <c r="L624" s="146">
        <v>2135</v>
      </c>
    </row>
    <row r="625" spans="1:12" ht="15.6" customHeight="1" outlineLevel="2" x14ac:dyDescent="0.25">
      <c r="A625" s="243" t="s">
        <v>81</v>
      </c>
      <c r="B625" s="196" t="s">
        <v>156</v>
      </c>
      <c r="C625" s="3" t="s">
        <v>157</v>
      </c>
      <c r="D625" s="40">
        <v>351</v>
      </c>
      <c r="E625" s="146">
        <v>49627</v>
      </c>
      <c r="F625" s="146">
        <v>46027</v>
      </c>
      <c r="G625" s="213" t="s">
        <v>500</v>
      </c>
      <c r="H625" s="146">
        <v>3600</v>
      </c>
      <c r="I625" s="215">
        <v>0</v>
      </c>
      <c r="J625" s="215">
        <v>0</v>
      </c>
      <c r="K625" s="215">
        <v>0</v>
      </c>
      <c r="L625" s="146">
        <v>3600</v>
      </c>
    </row>
    <row r="626" spans="1:12" outlineLevel="2" x14ac:dyDescent="0.25">
      <c r="A626" s="241" t="s">
        <v>276</v>
      </c>
      <c r="B626" s="184" t="s">
        <v>500</v>
      </c>
      <c r="C626" s="74" t="s">
        <v>500</v>
      </c>
      <c r="D626" s="180" t="s">
        <v>500</v>
      </c>
      <c r="E626" s="78">
        <f>SUBTOTAL(109,school200506[Program
Costs])</f>
        <v>427207125</v>
      </c>
      <c r="F626" s="78">
        <f>SUBTOTAL(109,school200506[Less: Net Payments and Offsets 10])</f>
        <v>382189807</v>
      </c>
      <c r="G626" s="74" t="s">
        <v>500</v>
      </c>
      <c r="H626" s="78">
        <f>SUBTOTAL(109,school200506[Accounts Payable
Balance])</f>
        <v>45017318</v>
      </c>
      <c r="I626" s="78">
        <f>SUBTOTAL(109,school200506[Established
Accounts Receivable])</f>
        <v>12998953</v>
      </c>
      <c r="J626" s="78">
        <f>SUBTOTAL(109,school200506[Less: Recovered Amount])</f>
        <v>10179156</v>
      </c>
      <c r="K626" s="78">
        <f>SUBTOTAL(109,school200506[Accounts Receivable
Balance])</f>
        <v>2819797</v>
      </c>
      <c r="L626" s="78">
        <f>SUBTOTAL(109,school200506[Net
Balance])</f>
        <v>42197521</v>
      </c>
    </row>
    <row r="627" spans="1:12" s="244" customFormat="1" ht="15" outlineLevel="2" x14ac:dyDescent="0.2">
      <c r="A627" s="214" t="s">
        <v>508</v>
      </c>
      <c r="B627" s="196"/>
      <c r="C627" s="3"/>
      <c r="D627" s="40"/>
      <c r="E627" s="146"/>
      <c r="F627" s="146"/>
      <c r="G627" s="146"/>
      <c r="H627" s="146"/>
      <c r="I627" s="146"/>
      <c r="J627" s="146"/>
      <c r="K627" s="146"/>
      <c r="L627" s="146"/>
    </row>
    <row r="628" spans="1:12" ht="50.1" customHeight="1" outlineLevel="2" x14ac:dyDescent="0.25">
      <c r="A628" s="204" t="s">
        <v>98</v>
      </c>
      <c r="B628" s="204" t="s">
        <v>99</v>
      </c>
      <c r="C628" s="176" t="s">
        <v>1</v>
      </c>
      <c r="D628" s="204" t="s">
        <v>195</v>
      </c>
      <c r="E628" s="238" t="s">
        <v>188</v>
      </c>
      <c r="F628" s="239" t="s">
        <v>533</v>
      </c>
      <c r="G628" s="212" t="s">
        <v>532</v>
      </c>
      <c r="H628" s="210" t="s">
        <v>528</v>
      </c>
      <c r="I628" s="210" t="s">
        <v>529</v>
      </c>
      <c r="J628" s="238" t="s">
        <v>197</v>
      </c>
      <c r="K628" s="210" t="s">
        <v>530</v>
      </c>
      <c r="L628" s="238" t="s">
        <v>196</v>
      </c>
    </row>
    <row r="629" spans="1:12" outlineLevel="2" x14ac:dyDescent="0.25">
      <c r="A629" s="40" t="s">
        <v>82</v>
      </c>
      <c r="B629" s="196" t="s">
        <v>346</v>
      </c>
      <c r="C629" s="3" t="s">
        <v>347</v>
      </c>
      <c r="D629" s="40">
        <v>269</v>
      </c>
      <c r="E629" s="146">
        <v>11498</v>
      </c>
      <c r="F629" s="146">
        <v>10225</v>
      </c>
      <c r="G629" s="213" t="s">
        <v>500</v>
      </c>
      <c r="H629" s="146">
        <v>1273</v>
      </c>
      <c r="I629" s="247">
        <v>0</v>
      </c>
      <c r="J629" s="247">
        <v>0</v>
      </c>
      <c r="K629" s="247">
        <v>0</v>
      </c>
      <c r="L629" s="146">
        <v>1273</v>
      </c>
    </row>
    <row r="630" spans="1:12" ht="30.75" outlineLevel="2" x14ac:dyDescent="0.25">
      <c r="A630" s="40" t="s">
        <v>82</v>
      </c>
      <c r="B630" s="196" t="s">
        <v>376</v>
      </c>
      <c r="C630" s="3" t="s">
        <v>377</v>
      </c>
      <c r="D630" s="40">
        <v>179</v>
      </c>
      <c r="E630" s="146">
        <v>35823</v>
      </c>
      <c r="F630" s="146">
        <v>35823</v>
      </c>
      <c r="G630" s="213" t="s">
        <v>500</v>
      </c>
      <c r="H630" s="247">
        <v>0</v>
      </c>
      <c r="I630" s="146">
        <v>1728</v>
      </c>
      <c r="J630" s="247">
        <v>0</v>
      </c>
      <c r="K630" s="146">
        <v>1728</v>
      </c>
      <c r="L630" s="146">
        <v>-1728</v>
      </c>
    </row>
    <row r="631" spans="1:12" ht="30.75" outlineLevel="2" x14ac:dyDescent="0.25">
      <c r="A631" s="40" t="s">
        <v>82</v>
      </c>
      <c r="B631" s="196" t="s">
        <v>378</v>
      </c>
      <c r="C631" s="3" t="s">
        <v>104</v>
      </c>
      <c r="D631" s="40">
        <v>221</v>
      </c>
      <c r="E631" s="146">
        <v>6550640</v>
      </c>
      <c r="F631" s="146">
        <v>6550640</v>
      </c>
      <c r="G631" s="213" t="s">
        <v>500</v>
      </c>
      <c r="H631" s="247">
        <v>0</v>
      </c>
      <c r="I631" s="146">
        <v>11682</v>
      </c>
      <c r="J631" s="146">
        <v>1131</v>
      </c>
      <c r="K631" s="146">
        <v>10551</v>
      </c>
      <c r="L631" s="146">
        <v>-10551</v>
      </c>
    </row>
    <row r="632" spans="1:12" ht="30.75" outlineLevel="2" x14ac:dyDescent="0.25">
      <c r="A632" s="40" t="s">
        <v>82</v>
      </c>
      <c r="B632" s="196" t="s">
        <v>340</v>
      </c>
      <c r="C632" s="3" t="s">
        <v>335</v>
      </c>
      <c r="D632" s="40">
        <v>348</v>
      </c>
      <c r="E632" s="146">
        <v>45784627</v>
      </c>
      <c r="F632" s="146">
        <v>40536570</v>
      </c>
      <c r="G632" s="213" t="s">
        <v>500</v>
      </c>
      <c r="H632" s="146">
        <v>5248057</v>
      </c>
      <c r="I632" s="247">
        <v>0</v>
      </c>
      <c r="J632" s="247">
        <v>0</v>
      </c>
      <c r="K632" s="247">
        <v>0</v>
      </c>
      <c r="L632" s="146">
        <v>5248057</v>
      </c>
    </row>
    <row r="633" spans="1:12" ht="30.75" outlineLevel="2" x14ac:dyDescent="0.25">
      <c r="A633" s="40" t="s">
        <v>82</v>
      </c>
      <c r="B633" s="196" t="s">
        <v>328</v>
      </c>
      <c r="C633" s="3" t="s">
        <v>329</v>
      </c>
      <c r="D633" s="40">
        <v>286</v>
      </c>
      <c r="E633" s="146">
        <v>84930</v>
      </c>
      <c r="F633" s="146">
        <v>83406</v>
      </c>
      <c r="G633" s="213" t="s">
        <v>500</v>
      </c>
      <c r="H633" s="146">
        <v>1524</v>
      </c>
      <c r="I633" s="247">
        <v>0</v>
      </c>
      <c r="J633" s="247">
        <v>0</v>
      </c>
      <c r="K633" s="247">
        <v>0</v>
      </c>
      <c r="L633" s="146">
        <v>1524</v>
      </c>
    </row>
    <row r="634" spans="1:12" ht="30.75" outlineLevel="2" x14ac:dyDescent="0.25">
      <c r="A634" s="40" t="s">
        <v>82</v>
      </c>
      <c r="B634" s="196" t="s">
        <v>109</v>
      </c>
      <c r="C634" s="3" t="s">
        <v>110</v>
      </c>
      <c r="D634" s="40">
        <v>172</v>
      </c>
      <c r="E634" s="146">
        <v>862291</v>
      </c>
      <c r="F634" s="146">
        <v>862291</v>
      </c>
      <c r="G634" s="213" t="s">
        <v>500</v>
      </c>
      <c r="H634" s="247">
        <v>0</v>
      </c>
      <c r="I634" s="146">
        <v>8341</v>
      </c>
      <c r="J634" s="247">
        <v>0</v>
      </c>
      <c r="K634" s="146">
        <v>8341</v>
      </c>
      <c r="L634" s="146">
        <v>-8341</v>
      </c>
    </row>
    <row r="635" spans="1:12" ht="45" customHeight="1" outlineLevel="2" x14ac:dyDescent="0.25">
      <c r="A635" s="40" t="s">
        <v>82</v>
      </c>
      <c r="B635" s="196" t="s">
        <v>103</v>
      </c>
      <c r="C635" s="3" t="s">
        <v>104</v>
      </c>
      <c r="D635" s="40">
        <v>272</v>
      </c>
      <c r="E635" s="146">
        <v>3836796</v>
      </c>
      <c r="F635" s="146">
        <v>3836796</v>
      </c>
      <c r="G635" s="213" t="s">
        <v>500</v>
      </c>
      <c r="H635" s="247">
        <v>0</v>
      </c>
      <c r="I635" s="146">
        <v>232908</v>
      </c>
      <c r="J635" s="146">
        <v>228852</v>
      </c>
      <c r="K635" s="146">
        <v>4056</v>
      </c>
      <c r="L635" s="146">
        <v>-4056</v>
      </c>
    </row>
    <row r="636" spans="1:12" ht="46.5" customHeight="1" outlineLevel="2" x14ac:dyDescent="0.25">
      <c r="A636" s="40" t="s">
        <v>82</v>
      </c>
      <c r="B636" s="196" t="s">
        <v>361</v>
      </c>
      <c r="C636" s="3" t="s">
        <v>362</v>
      </c>
      <c r="D636" s="40">
        <v>291</v>
      </c>
      <c r="E636" s="146">
        <v>278636</v>
      </c>
      <c r="F636" s="146">
        <v>243156</v>
      </c>
      <c r="G636" s="213" t="s">
        <v>500</v>
      </c>
      <c r="H636" s="146">
        <v>35480</v>
      </c>
      <c r="I636" s="247">
        <v>0</v>
      </c>
      <c r="J636" s="247">
        <v>0</v>
      </c>
      <c r="K636" s="247">
        <v>0</v>
      </c>
      <c r="L636" s="146">
        <v>35480</v>
      </c>
    </row>
    <row r="637" spans="1:12" outlineLevel="2" x14ac:dyDescent="0.25">
      <c r="A637" s="40" t="s">
        <v>82</v>
      </c>
      <c r="B637" s="196" t="s">
        <v>119</v>
      </c>
      <c r="C637" s="3" t="s">
        <v>120</v>
      </c>
      <c r="D637" s="40">
        <v>183</v>
      </c>
      <c r="E637" s="146">
        <v>973469</v>
      </c>
      <c r="F637" s="146">
        <v>973469</v>
      </c>
      <c r="G637" s="213" t="s">
        <v>500</v>
      </c>
      <c r="H637" s="247">
        <v>0</v>
      </c>
      <c r="I637" s="146">
        <v>4109</v>
      </c>
      <c r="J637" s="146">
        <v>2598</v>
      </c>
      <c r="K637" s="146">
        <v>1511</v>
      </c>
      <c r="L637" s="146">
        <v>-1511</v>
      </c>
    </row>
    <row r="638" spans="1:12" outlineLevel="2" x14ac:dyDescent="0.25">
      <c r="A638" s="40" t="s">
        <v>82</v>
      </c>
      <c r="B638" s="196" t="s">
        <v>121</v>
      </c>
      <c r="C638" s="3" t="s">
        <v>122</v>
      </c>
      <c r="D638" s="40">
        <v>251</v>
      </c>
      <c r="E638" s="146">
        <v>410381</v>
      </c>
      <c r="F638" s="146">
        <v>410381</v>
      </c>
      <c r="G638" s="213" t="s">
        <v>500</v>
      </c>
      <c r="H638" s="247">
        <v>0</v>
      </c>
      <c r="I638" s="146">
        <v>13269</v>
      </c>
      <c r="J638" s="247">
        <v>0</v>
      </c>
      <c r="K638" s="146">
        <v>13269</v>
      </c>
      <c r="L638" s="146">
        <v>-13269</v>
      </c>
    </row>
    <row r="639" spans="1:12" ht="45.75" outlineLevel="2" x14ac:dyDescent="0.25">
      <c r="A639" s="40" t="s">
        <v>82</v>
      </c>
      <c r="B639" s="196" t="s">
        <v>379</v>
      </c>
      <c r="C639" s="3" t="s">
        <v>380</v>
      </c>
      <c r="D639" s="40">
        <v>225</v>
      </c>
      <c r="E639" s="146">
        <v>7701246</v>
      </c>
      <c r="F639" s="146">
        <v>7701246</v>
      </c>
      <c r="G639" s="213" t="s">
        <v>500</v>
      </c>
      <c r="H639" s="247">
        <v>0</v>
      </c>
      <c r="I639" s="146">
        <v>2282478</v>
      </c>
      <c r="J639" s="146">
        <v>2230738</v>
      </c>
      <c r="K639" s="146">
        <v>51740</v>
      </c>
      <c r="L639" s="146">
        <v>-51740</v>
      </c>
    </row>
    <row r="640" spans="1:12" outlineLevel="2" x14ac:dyDescent="0.25">
      <c r="A640" s="40" t="s">
        <v>82</v>
      </c>
      <c r="B640" s="196" t="s">
        <v>123</v>
      </c>
      <c r="C640" s="3" t="s">
        <v>124</v>
      </c>
      <c r="D640" s="40">
        <v>192</v>
      </c>
      <c r="E640" s="146">
        <v>326816</v>
      </c>
      <c r="F640" s="146">
        <v>326816</v>
      </c>
      <c r="G640" s="213" t="s">
        <v>500</v>
      </c>
      <c r="H640" s="215">
        <v>0</v>
      </c>
      <c r="I640" s="146">
        <v>28443</v>
      </c>
      <c r="J640" s="146">
        <v>16875</v>
      </c>
      <c r="K640" s="146">
        <v>11568</v>
      </c>
      <c r="L640" s="146">
        <v>-11568</v>
      </c>
    </row>
    <row r="641" spans="1:12" ht="15" customHeight="1" outlineLevel="2" x14ac:dyDescent="0.25">
      <c r="A641" s="40" t="s">
        <v>82</v>
      </c>
      <c r="B641" s="196" t="s">
        <v>363</v>
      </c>
      <c r="C641" s="3" t="s">
        <v>126</v>
      </c>
      <c r="D641" s="40">
        <v>26</v>
      </c>
      <c r="E641" s="146">
        <v>32114075</v>
      </c>
      <c r="F641" s="146">
        <v>29994233</v>
      </c>
      <c r="G641" s="213" t="s">
        <v>500</v>
      </c>
      <c r="H641" s="146">
        <v>2119842</v>
      </c>
      <c r="I641" s="146">
        <v>1642371</v>
      </c>
      <c r="J641" s="215">
        <v>0</v>
      </c>
      <c r="K641" s="146">
        <v>1642371</v>
      </c>
      <c r="L641" s="146">
        <v>477471</v>
      </c>
    </row>
    <row r="642" spans="1:12" ht="30.75" outlineLevel="2" x14ac:dyDescent="0.25">
      <c r="A642" s="40" t="s">
        <v>82</v>
      </c>
      <c r="B642" s="196" t="s">
        <v>381</v>
      </c>
      <c r="C642" s="3" t="s">
        <v>126</v>
      </c>
      <c r="D642" s="40">
        <v>296</v>
      </c>
      <c r="E642" s="146">
        <v>74192532</v>
      </c>
      <c r="F642" s="146">
        <v>69857272</v>
      </c>
      <c r="G642" s="213" t="s">
        <v>500</v>
      </c>
      <c r="H642" s="146">
        <v>4335260</v>
      </c>
      <c r="I642" s="215">
        <v>0</v>
      </c>
      <c r="J642" s="215">
        <v>0</v>
      </c>
      <c r="K642" s="215">
        <v>0</v>
      </c>
      <c r="L642" s="146">
        <v>4335260</v>
      </c>
    </row>
    <row r="643" spans="1:12" ht="30.95" customHeight="1" outlineLevel="2" x14ac:dyDescent="0.25">
      <c r="A643" s="40" t="s">
        <v>82</v>
      </c>
      <c r="B643" s="196" t="s">
        <v>125</v>
      </c>
      <c r="C643" s="3" t="s">
        <v>126</v>
      </c>
      <c r="D643" s="40">
        <v>297</v>
      </c>
      <c r="E643" s="146">
        <v>98984746</v>
      </c>
      <c r="F643" s="146">
        <v>88044270</v>
      </c>
      <c r="G643" s="213" t="s">
        <v>500</v>
      </c>
      <c r="H643" s="146">
        <v>10940476</v>
      </c>
      <c r="I643" s="215">
        <v>0</v>
      </c>
      <c r="J643" s="215">
        <v>0</v>
      </c>
      <c r="K643" s="215">
        <v>0</v>
      </c>
      <c r="L643" s="146">
        <v>10940476</v>
      </c>
    </row>
    <row r="644" spans="1:12" ht="15.6" customHeight="1" outlineLevel="2" x14ac:dyDescent="0.25">
      <c r="A644" s="40" t="s">
        <v>82</v>
      </c>
      <c r="B644" s="196" t="s">
        <v>127</v>
      </c>
      <c r="C644" s="3" t="s">
        <v>128</v>
      </c>
      <c r="D644" s="40">
        <v>166</v>
      </c>
      <c r="E644" s="146">
        <v>6520086</v>
      </c>
      <c r="F644" s="146">
        <v>6520086</v>
      </c>
      <c r="G644" s="213" t="s">
        <v>500</v>
      </c>
      <c r="H644" s="215">
        <v>0</v>
      </c>
      <c r="I644" s="146">
        <v>86788</v>
      </c>
      <c r="J644" s="146">
        <v>11989</v>
      </c>
      <c r="K644" s="146">
        <v>74799</v>
      </c>
      <c r="L644" s="146">
        <v>-74799</v>
      </c>
    </row>
    <row r="645" spans="1:12" outlineLevel="2" x14ac:dyDescent="0.25">
      <c r="A645" s="40" t="s">
        <v>82</v>
      </c>
      <c r="B645" s="196" t="s">
        <v>318</v>
      </c>
      <c r="C645" s="3" t="s">
        <v>319</v>
      </c>
      <c r="D645" s="40">
        <v>268</v>
      </c>
      <c r="E645" s="146">
        <v>3860641</v>
      </c>
      <c r="F645" s="146">
        <v>3406080</v>
      </c>
      <c r="G645" s="213" t="s">
        <v>500</v>
      </c>
      <c r="H645" s="146">
        <v>454561</v>
      </c>
      <c r="I645" s="215">
        <v>0</v>
      </c>
      <c r="J645" s="215">
        <v>0</v>
      </c>
      <c r="K645" s="215">
        <v>0</v>
      </c>
      <c r="L645" s="146">
        <v>454561</v>
      </c>
    </row>
    <row r="646" spans="1:12" outlineLevel="2" x14ac:dyDescent="0.25">
      <c r="A646" s="40" t="s">
        <v>82</v>
      </c>
      <c r="B646" s="196" t="s">
        <v>133</v>
      </c>
      <c r="C646" s="3" t="s">
        <v>134</v>
      </c>
      <c r="D646" s="40">
        <v>32</v>
      </c>
      <c r="E646" s="146">
        <v>3750504</v>
      </c>
      <c r="F646" s="146">
        <v>3750504</v>
      </c>
      <c r="G646" s="213" t="s">
        <v>500</v>
      </c>
      <c r="H646" s="215">
        <v>0</v>
      </c>
      <c r="I646" s="146">
        <v>7395</v>
      </c>
      <c r="J646" s="146">
        <v>5028</v>
      </c>
      <c r="K646" s="146">
        <v>2367</v>
      </c>
      <c r="L646" s="146">
        <v>-2367</v>
      </c>
    </row>
    <row r="647" spans="1:12" outlineLevel="2" x14ac:dyDescent="0.25">
      <c r="A647" s="40" t="s">
        <v>82</v>
      </c>
      <c r="B647" s="196" t="s">
        <v>336</v>
      </c>
      <c r="C647" s="3" t="s">
        <v>130</v>
      </c>
      <c r="D647" s="40">
        <v>230</v>
      </c>
      <c r="E647" s="146">
        <v>4852850</v>
      </c>
      <c r="F647" s="146">
        <v>4852850</v>
      </c>
      <c r="G647" s="213" t="s">
        <v>500</v>
      </c>
      <c r="H647" s="215">
        <v>0</v>
      </c>
      <c r="I647" s="146">
        <v>4855</v>
      </c>
      <c r="J647" s="146">
        <v>3446</v>
      </c>
      <c r="K647" s="146">
        <v>1409</v>
      </c>
      <c r="L647" s="146">
        <v>-1409</v>
      </c>
    </row>
    <row r="648" spans="1:12" outlineLevel="2" x14ac:dyDescent="0.25">
      <c r="A648" s="40" t="s">
        <v>82</v>
      </c>
      <c r="B648" s="196" t="s">
        <v>219</v>
      </c>
      <c r="C648" s="3" t="s">
        <v>220</v>
      </c>
      <c r="D648" s="40">
        <v>42</v>
      </c>
      <c r="E648" s="146">
        <v>16145396</v>
      </c>
      <c r="F648" s="146">
        <v>16145396</v>
      </c>
      <c r="G648" s="213" t="s">
        <v>500</v>
      </c>
      <c r="H648" s="215">
        <v>0</v>
      </c>
      <c r="I648" s="146">
        <v>182770</v>
      </c>
      <c r="J648" s="146">
        <v>2252</v>
      </c>
      <c r="K648" s="146">
        <v>180518</v>
      </c>
      <c r="L648" s="146">
        <v>-180518</v>
      </c>
    </row>
    <row r="649" spans="1:12" ht="46.5" customHeight="1" outlineLevel="2" x14ac:dyDescent="0.25">
      <c r="A649" s="40" t="s">
        <v>82</v>
      </c>
      <c r="B649" s="196" t="s">
        <v>359</v>
      </c>
      <c r="C649" s="3" t="s">
        <v>360</v>
      </c>
      <c r="D649" s="40">
        <v>265</v>
      </c>
      <c r="E649" s="146">
        <v>2009884</v>
      </c>
      <c r="F649" s="146">
        <v>1993510</v>
      </c>
      <c r="G649" s="213" t="s">
        <v>500</v>
      </c>
      <c r="H649" s="146">
        <v>16374</v>
      </c>
      <c r="I649" s="247">
        <v>0</v>
      </c>
      <c r="J649" s="247">
        <v>0</v>
      </c>
      <c r="K649" s="247">
        <v>0</v>
      </c>
      <c r="L649" s="146">
        <v>16374</v>
      </c>
    </row>
    <row r="650" spans="1:12" outlineLevel="2" x14ac:dyDescent="0.25">
      <c r="A650" s="40" t="s">
        <v>82</v>
      </c>
      <c r="B650" s="196" t="s">
        <v>141</v>
      </c>
      <c r="C650" s="3" t="s">
        <v>126</v>
      </c>
      <c r="D650" s="40">
        <v>48</v>
      </c>
      <c r="E650" s="146">
        <v>9725477</v>
      </c>
      <c r="F650" s="146">
        <v>9725477</v>
      </c>
      <c r="G650" s="213" t="s">
        <v>500</v>
      </c>
      <c r="H650" s="247">
        <v>0</v>
      </c>
      <c r="I650" s="146">
        <v>253984</v>
      </c>
      <c r="J650" s="146">
        <v>193565</v>
      </c>
      <c r="K650" s="146">
        <v>60419</v>
      </c>
      <c r="L650" s="146">
        <v>-60419</v>
      </c>
    </row>
    <row r="651" spans="1:12" ht="30.75" outlineLevel="2" x14ac:dyDescent="0.25">
      <c r="A651" s="40" t="s">
        <v>82</v>
      </c>
      <c r="B651" s="196" t="s">
        <v>364</v>
      </c>
      <c r="C651" s="3" t="s">
        <v>143</v>
      </c>
      <c r="D651" s="40">
        <v>150</v>
      </c>
      <c r="E651" s="146">
        <v>5227141</v>
      </c>
      <c r="F651" s="146">
        <v>5227141</v>
      </c>
      <c r="G651" s="213" t="s">
        <v>500</v>
      </c>
      <c r="H651" s="215">
        <v>0</v>
      </c>
      <c r="I651" s="146">
        <v>1755</v>
      </c>
      <c r="J651" s="247">
        <v>0</v>
      </c>
      <c r="K651" s="146">
        <v>1755</v>
      </c>
      <c r="L651" s="146">
        <v>-1755</v>
      </c>
    </row>
    <row r="652" spans="1:12" outlineLevel="2" x14ac:dyDescent="0.25">
      <c r="A652" s="40" t="s">
        <v>82</v>
      </c>
      <c r="B652" s="196" t="s">
        <v>210</v>
      </c>
      <c r="C652" s="3" t="s">
        <v>211</v>
      </c>
      <c r="D652" s="40">
        <v>218</v>
      </c>
      <c r="E652" s="146">
        <v>5581677</v>
      </c>
      <c r="F652" s="146">
        <v>5355504</v>
      </c>
      <c r="G652" s="213" t="s">
        <v>500</v>
      </c>
      <c r="H652" s="146">
        <v>226173</v>
      </c>
      <c r="I652" s="247">
        <v>0</v>
      </c>
      <c r="J652" s="247">
        <v>0</v>
      </c>
      <c r="K652" s="247">
        <v>0</v>
      </c>
      <c r="L652" s="146">
        <v>226173</v>
      </c>
    </row>
    <row r="653" spans="1:12" outlineLevel="2" x14ac:dyDescent="0.25">
      <c r="A653" s="40" t="s">
        <v>82</v>
      </c>
      <c r="B653" s="196" t="s">
        <v>146</v>
      </c>
      <c r="C653" s="3" t="s">
        <v>147</v>
      </c>
      <c r="D653" s="40">
        <v>173</v>
      </c>
      <c r="E653" s="146">
        <v>1645083</v>
      </c>
      <c r="F653" s="146">
        <v>1645083</v>
      </c>
      <c r="G653" s="213" t="s">
        <v>500</v>
      </c>
      <c r="H653" s="247">
        <v>0</v>
      </c>
      <c r="I653" s="146">
        <v>16194</v>
      </c>
      <c r="J653" s="146">
        <v>2044</v>
      </c>
      <c r="K653" s="146">
        <v>14150</v>
      </c>
      <c r="L653" s="146">
        <v>-14150</v>
      </c>
    </row>
    <row r="654" spans="1:12" outlineLevel="2" x14ac:dyDescent="0.25">
      <c r="A654" s="40" t="s">
        <v>82</v>
      </c>
      <c r="B654" s="196" t="s">
        <v>338</v>
      </c>
      <c r="C654" s="3" t="s">
        <v>339</v>
      </c>
      <c r="D654" s="40">
        <v>335</v>
      </c>
      <c r="E654" s="146">
        <v>34552</v>
      </c>
      <c r="F654" s="146">
        <v>32163</v>
      </c>
      <c r="G654" s="213" t="s">
        <v>500</v>
      </c>
      <c r="H654" s="146">
        <v>2389</v>
      </c>
      <c r="I654" s="247">
        <v>0</v>
      </c>
      <c r="J654" s="247">
        <v>0</v>
      </c>
      <c r="K654" s="247">
        <v>0</v>
      </c>
      <c r="L654" s="146">
        <v>2389</v>
      </c>
    </row>
    <row r="655" spans="1:12" ht="15.6" customHeight="1" outlineLevel="1" x14ac:dyDescent="0.25">
      <c r="A655" s="40" t="s">
        <v>82</v>
      </c>
      <c r="B655" s="196" t="s">
        <v>373</v>
      </c>
      <c r="C655" s="3" t="s">
        <v>374</v>
      </c>
      <c r="D655" s="40">
        <v>151</v>
      </c>
      <c r="E655" s="146">
        <v>284214</v>
      </c>
      <c r="F655" s="146">
        <v>284214</v>
      </c>
      <c r="G655" s="213" t="s">
        <v>500</v>
      </c>
      <c r="H655" s="247">
        <v>0</v>
      </c>
      <c r="I655" s="146">
        <v>21795</v>
      </c>
      <c r="J655" s="247">
        <v>0</v>
      </c>
      <c r="K655" s="146">
        <v>21795</v>
      </c>
      <c r="L655" s="146">
        <v>-21795</v>
      </c>
    </row>
    <row r="656" spans="1:12" outlineLevel="2" x14ac:dyDescent="0.25">
      <c r="A656" s="40" t="s">
        <v>82</v>
      </c>
      <c r="B656" s="196" t="s">
        <v>382</v>
      </c>
      <c r="C656" s="3" t="s">
        <v>383</v>
      </c>
      <c r="D656" s="40">
        <v>165</v>
      </c>
      <c r="E656" s="146">
        <v>2729603</v>
      </c>
      <c r="F656" s="146">
        <v>2729603</v>
      </c>
      <c r="G656" s="213" t="s">
        <v>500</v>
      </c>
      <c r="H656" s="247">
        <v>0</v>
      </c>
      <c r="I656" s="146">
        <v>3259</v>
      </c>
      <c r="J656" s="247">
        <v>0</v>
      </c>
      <c r="K656" s="146">
        <v>3259</v>
      </c>
      <c r="L656" s="146">
        <v>-3259</v>
      </c>
    </row>
    <row r="657" spans="1:12" ht="45.75" outlineLevel="2" x14ac:dyDescent="0.25">
      <c r="A657" s="40" t="s">
        <v>82</v>
      </c>
      <c r="B657" s="196" t="s">
        <v>375</v>
      </c>
      <c r="C657" s="3" t="s">
        <v>112</v>
      </c>
      <c r="D657" s="40">
        <v>271</v>
      </c>
      <c r="E657" s="146">
        <v>3862106</v>
      </c>
      <c r="F657" s="146">
        <v>3774564</v>
      </c>
      <c r="G657" s="213" t="s">
        <v>500</v>
      </c>
      <c r="H657" s="146">
        <v>87542</v>
      </c>
      <c r="I657" s="247">
        <v>0</v>
      </c>
      <c r="J657" s="247">
        <v>0</v>
      </c>
      <c r="K657" s="247">
        <v>0</v>
      </c>
      <c r="L657" s="146">
        <v>87542</v>
      </c>
    </row>
    <row r="658" spans="1:12" ht="45" customHeight="1" outlineLevel="2" x14ac:dyDescent="0.25">
      <c r="A658" s="40" t="s">
        <v>82</v>
      </c>
      <c r="B658" s="196" t="s">
        <v>343</v>
      </c>
      <c r="C658" s="3" t="s">
        <v>344</v>
      </c>
      <c r="D658" s="40">
        <v>329</v>
      </c>
      <c r="E658" s="146">
        <v>797628</v>
      </c>
      <c r="F658" s="146">
        <v>728354</v>
      </c>
      <c r="G658" s="213" t="s">
        <v>500</v>
      </c>
      <c r="H658" s="146">
        <v>69274</v>
      </c>
      <c r="I658" s="247">
        <v>0</v>
      </c>
      <c r="J658" s="247">
        <v>0</v>
      </c>
      <c r="K658" s="247">
        <v>0</v>
      </c>
      <c r="L658" s="146">
        <v>69274</v>
      </c>
    </row>
    <row r="659" spans="1:12" ht="30.75" outlineLevel="2" x14ac:dyDescent="0.25">
      <c r="A659" s="40" t="s">
        <v>82</v>
      </c>
      <c r="B659" s="196" t="s">
        <v>384</v>
      </c>
      <c r="C659" s="3" t="s">
        <v>312</v>
      </c>
      <c r="D659" s="40">
        <v>139</v>
      </c>
      <c r="E659" s="146">
        <v>357362</v>
      </c>
      <c r="F659" s="146">
        <v>357362</v>
      </c>
      <c r="G659" s="213" t="s">
        <v>500</v>
      </c>
      <c r="H659" s="247">
        <v>0</v>
      </c>
      <c r="I659" s="146">
        <v>160350</v>
      </c>
      <c r="J659" s="146">
        <v>1165</v>
      </c>
      <c r="K659" s="146">
        <v>159185</v>
      </c>
      <c r="L659" s="146">
        <v>-159185</v>
      </c>
    </row>
    <row r="660" spans="1:12" outlineLevel="2" x14ac:dyDescent="0.25">
      <c r="A660" s="40" t="s">
        <v>82</v>
      </c>
      <c r="B660" s="196" t="s">
        <v>148</v>
      </c>
      <c r="C660" s="3" t="s">
        <v>149</v>
      </c>
      <c r="D660" s="40">
        <v>244</v>
      </c>
      <c r="E660" s="146">
        <v>2403492</v>
      </c>
      <c r="F660" s="146">
        <v>2403492</v>
      </c>
      <c r="G660" s="213" t="s">
        <v>500</v>
      </c>
      <c r="H660" s="247">
        <v>0</v>
      </c>
      <c r="I660" s="146">
        <v>141792</v>
      </c>
      <c r="J660" s="146">
        <v>135246</v>
      </c>
      <c r="K660" s="146">
        <v>6546</v>
      </c>
      <c r="L660" s="146">
        <v>-6546</v>
      </c>
    </row>
    <row r="661" spans="1:12" outlineLevel="2" x14ac:dyDescent="0.25">
      <c r="A661" s="40" t="s">
        <v>82</v>
      </c>
      <c r="B661" s="196" t="s">
        <v>322</v>
      </c>
      <c r="C661" s="3" t="s">
        <v>126</v>
      </c>
      <c r="D661" s="40">
        <v>280</v>
      </c>
      <c r="E661" s="146">
        <v>6645</v>
      </c>
      <c r="F661" s="146">
        <v>5582</v>
      </c>
      <c r="G661" s="213" t="s">
        <v>500</v>
      </c>
      <c r="H661" s="146">
        <v>1063</v>
      </c>
      <c r="I661" s="247">
        <v>0</v>
      </c>
      <c r="J661" s="247">
        <v>0</v>
      </c>
      <c r="K661" s="247">
        <v>0</v>
      </c>
      <c r="L661" s="146">
        <v>1063</v>
      </c>
    </row>
    <row r="662" spans="1:12" ht="30.75" outlineLevel="2" x14ac:dyDescent="0.25">
      <c r="A662" s="40" t="s">
        <v>82</v>
      </c>
      <c r="B662" s="196" t="s">
        <v>345</v>
      </c>
      <c r="C662" s="3" t="s">
        <v>112</v>
      </c>
      <c r="D662" s="40">
        <v>176</v>
      </c>
      <c r="E662" s="146">
        <v>2348778</v>
      </c>
      <c r="F662" s="146">
        <v>2348778</v>
      </c>
      <c r="G662" s="213" t="s">
        <v>500</v>
      </c>
      <c r="H662" s="247">
        <v>0</v>
      </c>
      <c r="I662" s="146">
        <v>14847</v>
      </c>
      <c r="J662" s="146">
        <v>6905</v>
      </c>
      <c r="K662" s="146">
        <v>7942</v>
      </c>
      <c r="L662" s="146">
        <v>-7942</v>
      </c>
    </row>
    <row r="663" spans="1:12" outlineLevel="2" x14ac:dyDescent="0.25">
      <c r="A663" s="40" t="s">
        <v>82</v>
      </c>
      <c r="B663" s="196" t="s">
        <v>352</v>
      </c>
      <c r="C663" s="3" t="s">
        <v>353</v>
      </c>
      <c r="D663" s="40">
        <v>57</v>
      </c>
      <c r="E663" s="146">
        <v>1056561</v>
      </c>
      <c r="F663" s="146">
        <v>1000245</v>
      </c>
      <c r="G663" s="213" t="s">
        <v>500</v>
      </c>
      <c r="H663" s="146">
        <v>56316</v>
      </c>
      <c r="I663" s="247">
        <v>0</v>
      </c>
      <c r="J663" s="247">
        <v>0</v>
      </c>
      <c r="K663" s="247">
        <v>0</v>
      </c>
      <c r="L663" s="146">
        <v>56316</v>
      </c>
    </row>
    <row r="664" spans="1:12" ht="15.6" customHeight="1" outlineLevel="2" x14ac:dyDescent="0.25">
      <c r="A664" s="40" t="s">
        <v>82</v>
      </c>
      <c r="B664" s="196" t="s">
        <v>150</v>
      </c>
      <c r="C664" s="3" t="s">
        <v>151</v>
      </c>
      <c r="D664" s="40">
        <v>171</v>
      </c>
      <c r="E664" s="146">
        <v>3389554</v>
      </c>
      <c r="F664" s="146">
        <v>3389554</v>
      </c>
      <c r="G664" s="213" t="s">
        <v>500</v>
      </c>
      <c r="H664" s="247">
        <v>0</v>
      </c>
      <c r="I664" s="146">
        <v>93191</v>
      </c>
      <c r="J664" s="146">
        <v>1158</v>
      </c>
      <c r="K664" s="146">
        <v>92033</v>
      </c>
      <c r="L664" s="146">
        <v>-92033</v>
      </c>
    </row>
    <row r="665" spans="1:12" ht="30.95" customHeight="1" outlineLevel="2" x14ac:dyDescent="0.25">
      <c r="A665" s="40" t="s">
        <v>82</v>
      </c>
      <c r="B665" s="196" t="s">
        <v>385</v>
      </c>
      <c r="C665" s="3" t="s">
        <v>149</v>
      </c>
      <c r="D665" s="40">
        <v>211</v>
      </c>
      <c r="E665" s="146">
        <v>2257308</v>
      </c>
      <c r="F665" s="146">
        <v>2257308</v>
      </c>
      <c r="G665" s="213" t="s">
        <v>500</v>
      </c>
      <c r="H665" s="247">
        <v>0</v>
      </c>
      <c r="I665" s="146">
        <v>23731</v>
      </c>
      <c r="J665" s="146">
        <v>2908</v>
      </c>
      <c r="K665" s="146">
        <v>20823</v>
      </c>
      <c r="L665" s="146">
        <v>-20823</v>
      </c>
    </row>
    <row r="666" spans="1:12" outlineLevel="2" x14ac:dyDescent="0.25">
      <c r="A666" s="40" t="s">
        <v>82</v>
      </c>
      <c r="B666" s="196" t="s">
        <v>354</v>
      </c>
      <c r="C666" s="3" t="s">
        <v>355</v>
      </c>
      <c r="D666" s="40">
        <v>58</v>
      </c>
      <c r="E666" s="146">
        <v>2736820</v>
      </c>
      <c r="F666" s="146">
        <v>2736820</v>
      </c>
      <c r="G666" s="213" t="s">
        <v>500</v>
      </c>
      <c r="H666" s="247">
        <v>0</v>
      </c>
      <c r="I666" s="146">
        <v>6670</v>
      </c>
      <c r="J666" s="146">
        <v>5607</v>
      </c>
      <c r="K666" s="146">
        <v>1063</v>
      </c>
      <c r="L666" s="146">
        <v>-1063</v>
      </c>
    </row>
    <row r="667" spans="1:12" outlineLevel="2" x14ac:dyDescent="0.25">
      <c r="A667" s="40" t="s">
        <v>82</v>
      </c>
      <c r="B667" s="196" t="s">
        <v>325</v>
      </c>
      <c r="C667" s="3" t="s">
        <v>326</v>
      </c>
      <c r="D667" s="40">
        <v>308</v>
      </c>
      <c r="E667" s="146">
        <v>75037</v>
      </c>
      <c r="F667" s="146">
        <v>67868</v>
      </c>
      <c r="G667" s="213" t="s">
        <v>500</v>
      </c>
      <c r="H667" s="146">
        <v>7169</v>
      </c>
      <c r="I667" s="247">
        <v>0</v>
      </c>
      <c r="J667" s="247">
        <v>0</v>
      </c>
      <c r="K667" s="247">
        <v>0</v>
      </c>
      <c r="L667" s="146">
        <v>7169</v>
      </c>
    </row>
    <row r="668" spans="1:12" outlineLevel="2" x14ac:dyDescent="0.25">
      <c r="A668" s="243" t="s">
        <v>82</v>
      </c>
      <c r="B668" s="196" t="s">
        <v>153</v>
      </c>
      <c r="C668" s="3" t="s">
        <v>126</v>
      </c>
      <c r="D668" s="40">
        <v>260</v>
      </c>
      <c r="E668" s="146">
        <v>16948232</v>
      </c>
      <c r="F668" s="146">
        <v>16421195</v>
      </c>
      <c r="G668" s="213" t="s">
        <v>500</v>
      </c>
      <c r="H668" s="146">
        <v>527037</v>
      </c>
      <c r="I668" s="146">
        <v>857594</v>
      </c>
      <c r="J668" s="146">
        <v>857594</v>
      </c>
      <c r="K668" s="247">
        <v>0</v>
      </c>
      <c r="L668" s="146">
        <v>527037</v>
      </c>
    </row>
    <row r="669" spans="1:12" outlineLevel="2" x14ac:dyDescent="0.25">
      <c r="A669" s="241" t="s">
        <v>277</v>
      </c>
      <c r="B669" s="184" t="s">
        <v>500</v>
      </c>
      <c r="C669" s="74" t="s">
        <v>500</v>
      </c>
      <c r="D669" s="180" t="s">
        <v>500</v>
      </c>
      <c r="E669" s="78">
        <f>SUBTOTAL(109,school200405[Program
Costs])</f>
        <v>370755137</v>
      </c>
      <c r="F669" s="78">
        <f>SUBTOTAL(109,school200405[Less: Net Payments and Offsets 10])</f>
        <v>346625327</v>
      </c>
      <c r="G669" s="74" t="s">
        <v>500</v>
      </c>
      <c r="H669" s="78">
        <f>SUBTOTAL(109,school200405[Accounts Payable
Balance])</f>
        <v>24129810</v>
      </c>
      <c r="I669" s="78">
        <f>SUBTOTAL(109,school200405[Established
Accounts Receivable])</f>
        <v>6102299</v>
      </c>
      <c r="J669" s="78">
        <f>SUBTOTAL(109,school200405[Less: Recovered Amount])</f>
        <v>3709101</v>
      </c>
      <c r="K669" s="78">
        <f>SUBTOTAL(109,school200405[Accounts Receivable
Balance])</f>
        <v>2393198</v>
      </c>
      <c r="L669" s="78">
        <f>SUBTOTAL(109,school200405[Net
Balance])</f>
        <v>21736612</v>
      </c>
    </row>
    <row r="670" spans="1:12" s="244" customFormat="1" ht="15" outlineLevel="2" x14ac:dyDescent="0.2">
      <c r="A670" s="214" t="s">
        <v>508</v>
      </c>
      <c r="B670" s="196"/>
      <c r="C670" s="3"/>
      <c r="D670" s="40"/>
      <c r="E670" s="146"/>
      <c r="F670" s="146"/>
      <c r="G670" s="146"/>
      <c r="H670" s="146"/>
      <c r="I670" s="146"/>
      <c r="J670" s="146"/>
      <c r="K670" s="146"/>
      <c r="L670" s="146"/>
    </row>
    <row r="671" spans="1:12" ht="50.1" customHeight="1" outlineLevel="2" x14ac:dyDescent="0.25">
      <c r="A671" s="204" t="s">
        <v>98</v>
      </c>
      <c r="B671" s="204" t="s">
        <v>99</v>
      </c>
      <c r="C671" s="176" t="s">
        <v>1</v>
      </c>
      <c r="D671" s="204" t="s">
        <v>195</v>
      </c>
      <c r="E671" s="238" t="s">
        <v>188</v>
      </c>
      <c r="F671" s="239" t="s">
        <v>533</v>
      </c>
      <c r="G671" s="212" t="s">
        <v>532</v>
      </c>
      <c r="H671" s="210" t="s">
        <v>528</v>
      </c>
      <c r="I671" s="210" t="s">
        <v>529</v>
      </c>
      <c r="J671" s="238" t="s">
        <v>197</v>
      </c>
      <c r="K671" s="210" t="s">
        <v>530</v>
      </c>
      <c r="L671" s="238" t="s">
        <v>196</v>
      </c>
    </row>
    <row r="672" spans="1:12" ht="30.75" outlineLevel="2" x14ac:dyDescent="0.25">
      <c r="A672" s="40" t="s">
        <v>83</v>
      </c>
      <c r="B672" s="196" t="s">
        <v>340</v>
      </c>
      <c r="C672" s="3" t="s">
        <v>335</v>
      </c>
      <c r="D672" s="40">
        <v>348</v>
      </c>
      <c r="E672" s="146">
        <v>43152140</v>
      </c>
      <c r="F672" s="146">
        <v>38771342</v>
      </c>
      <c r="G672" s="213" t="s">
        <v>500</v>
      </c>
      <c r="H672" s="146">
        <v>4380798</v>
      </c>
      <c r="I672" s="215">
        <v>0</v>
      </c>
      <c r="J672" s="215">
        <v>0</v>
      </c>
      <c r="K672" s="215">
        <v>0</v>
      </c>
      <c r="L672" s="146">
        <v>4380798</v>
      </c>
    </row>
    <row r="673" spans="1:12" ht="30.75" outlineLevel="1" x14ac:dyDescent="0.25">
      <c r="A673" s="40" t="s">
        <v>83</v>
      </c>
      <c r="B673" s="196" t="s">
        <v>115</v>
      </c>
      <c r="C673" s="3" t="s">
        <v>116</v>
      </c>
      <c r="D673" s="40">
        <v>11</v>
      </c>
      <c r="E673" s="146">
        <v>28107019</v>
      </c>
      <c r="F673" s="146">
        <v>28107019</v>
      </c>
      <c r="G673" s="213" t="s">
        <v>500</v>
      </c>
      <c r="H673" s="215">
        <v>0</v>
      </c>
      <c r="I673" s="146">
        <v>517475</v>
      </c>
      <c r="J673" s="146">
        <v>433247</v>
      </c>
      <c r="K673" s="146">
        <v>84228</v>
      </c>
      <c r="L673" s="146">
        <v>-84228</v>
      </c>
    </row>
    <row r="674" spans="1:12" ht="46.5" customHeight="1" outlineLevel="2" x14ac:dyDescent="0.25">
      <c r="A674" s="40" t="s">
        <v>83</v>
      </c>
      <c r="B674" s="196" t="s">
        <v>361</v>
      </c>
      <c r="C674" s="3" t="s">
        <v>362</v>
      </c>
      <c r="D674" s="40">
        <v>291</v>
      </c>
      <c r="E674" s="146">
        <v>176468</v>
      </c>
      <c r="F674" s="146">
        <v>170016</v>
      </c>
      <c r="G674" s="213" t="s">
        <v>500</v>
      </c>
      <c r="H674" s="146">
        <v>6452</v>
      </c>
      <c r="I674" s="215">
        <v>0</v>
      </c>
      <c r="J674" s="215">
        <v>0</v>
      </c>
      <c r="K674" s="215">
        <v>0</v>
      </c>
      <c r="L674" s="146">
        <v>6452</v>
      </c>
    </row>
    <row r="675" spans="1:12" ht="30.75" outlineLevel="2" x14ac:dyDescent="0.25">
      <c r="A675" s="40" t="s">
        <v>83</v>
      </c>
      <c r="B675" s="196" t="s">
        <v>386</v>
      </c>
      <c r="C675" s="3" t="s">
        <v>126</v>
      </c>
      <c r="D675" s="40">
        <v>295</v>
      </c>
      <c r="E675" s="146">
        <v>169671206</v>
      </c>
      <c r="F675" s="146">
        <v>160619456</v>
      </c>
      <c r="G675" s="213" t="s">
        <v>500</v>
      </c>
      <c r="H675" s="146">
        <v>9051750</v>
      </c>
      <c r="I675" s="215">
        <v>0</v>
      </c>
      <c r="J675" s="215">
        <v>0</v>
      </c>
      <c r="K675" s="215">
        <v>0</v>
      </c>
      <c r="L675" s="146">
        <v>9051750</v>
      </c>
    </row>
    <row r="676" spans="1:12" outlineLevel="2" x14ac:dyDescent="0.25">
      <c r="A676" s="40" t="s">
        <v>83</v>
      </c>
      <c r="B676" s="196" t="s">
        <v>127</v>
      </c>
      <c r="C676" s="3" t="s">
        <v>128</v>
      </c>
      <c r="D676" s="40">
        <v>166</v>
      </c>
      <c r="E676" s="146">
        <v>8305244</v>
      </c>
      <c r="F676" s="146">
        <v>8305244</v>
      </c>
      <c r="G676" s="213" t="s">
        <v>500</v>
      </c>
      <c r="H676" s="215">
        <v>0</v>
      </c>
      <c r="I676" s="146">
        <v>43849</v>
      </c>
      <c r="J676" s="146">
        <v>12058</v>
      </c>
      <c r="K676" s="146">
        <v>31791</v>
      </c>
      <c r="L676" s="146">
        <v>-31791</v>
      </c>
    </row>
    <row r="677" spans="1:12" outlineLevel="2" x14ac:dyDescent="0.25">
      <c r="A677" s="40" t="s">
        <v>83</v>
      </c>
      <c r="B677" s="196" t="s">
        <v>318</v>
      </c>
      <c r="C677" s="3" t="s">
        <v>319</v>
      </c>
      <c r="D677" s="40">
        <v>268</v>
      </c>
      <c r="E677" s="146">
        <v>3060717</v>
      </c>
      <c r="F677" s="146">
        <v>3007132</v>
      </c>
      <c r="G677" s="213" t="s">
        <v>500</v>
      </c>
      <c r="H677" s="146">
        <v>53585</v>
      </c>
      <c r="I677" s="215">
        <v>0</v>
      </c>
      <c r="J677" s="215">
        <v>0</v>
      </c>
      <c r="K677" s="215">
        <v>0</v>
      </c>
      <c r="L677" s="146">
        <v>53585</v>
      </c>
    </row>
    <row r="678" spans="1:12" outlineLevel="2" x14ac:dyDescent="0.25">
      <c r="A678" s="40" t="s">
        <v>83</v>
      </c>
      <c r="B678" s="196" t="s">
        <v>141</v>
      </c>
      <c r="C678" s="3" t="s">
        <v>126</v>
      </c>
      <c r="D678" s="40">
        <v>48</v>
      </c>
      <c r="E678" s="146">
        <v>8765818</v>
      </c>
      <c r="F678" s="146">
        <v>8765818</v>
      </c>
      <c r="G678" s="213" t="s">
        <v>500</v>
      </c>
      <c r="H678" s="215">
        <v>0</v>
      </c>
      <c r="I678" s="146">
        <v>1253345</v>
      </c>
      <c r="J678" s="146">
        <v>405483</v>
      </c>
      <c r="K678" s="146">
        <v>847862</v>
      </c>
      <c r="L678" s="146">
        <v>-847862</v>
      </c>
    </row>
    <row r="679" spans="1:12" outlineLevel="2" x14ac:dyDescent="0.25">
      <c r="A679" s="40" t="s">
        <v>83</v>
      </c>
      <c r="B679" s="196" t="s">
        <v>210</v>
      </c>
      <c r="C679" s="3" t="s">
        <v>211</v>
      </c>
      <c r="D679" s="40">
        <v>218</v>
      </c>
      <c r="E679" s="146">
        <v>6179610</v>
      </c>
      <c r="F679" s="146">
        <v>6014690</v>
      </c>
      <c r="G679" s="213" t="s">
        <v>500</v>
      </c>
      <c r="H679" s="146">
        <v>164920</v>
      </c>
      <c r="I679" s="215">
        <v>0</v>
      </c>
      <c r="J679" s="215">
        <v>0</v>
      </c>
      <c r="K679" s="215">
        <v>0</v>
      </c>
      <c r="L679" s="146">
        <v>164920</v>
      </c>
    </row>
    <row r="680" spans="1:12" ht="45.75" outlineLevel="2" x14ac:dyDescent="0.25">
      <c r="A680" s="40" t="s">
        <v>83</v>
      </c>
      <c r="B680" s="196" t="s">
        <v>375</v>
      </c>
      <c r="C680" s="3" t="s">
        <v>112</v>
      </c>
      <c r="D680" s="40">
        <v>271</v>
      </c>
      <c r="E680" s="146">
        <v>3544682</v>
      </c>
      <c r="F680" s="146">
        <v>3484857</v>
      </c>
      <c r="G680" s="213" t="s">
        <v>500</v>
      </c>
      <c r="H680" s="146">
        <v>59825</v>
      </c>
      <c r="I680" s="215">
        <v>0</v>
      </c>
      <c r="J680" s="215">
        <v>0</v>
      </c>
      <c r="K680" s="215">
        <v>0</v>
      </c>
      <c r="L680" s="146">
        <v>59825</v>
      </c>
    </row>
    <row r="681" spans="1:12" ht="45" customHeight="1" outlineLevel="2" x14ac:dyDescent="0.25">
      <c r="A681" s="40" t="s">
        <v>83</v>
      </c>
      <c r="B681" s="196" t="s">
        <v>343</v>
      </c>
      <c r="C681" s="3" t="s">
        <v>344</v>
      </c>
      <c r="D681" s="40">
        <v>329</v>
      </c>
      <c r="E681" s="146">
        <v>862300</v>
      </c>
      <c r="F681" s="146">
        <v>782015</v>
      </c>
      <c r="G681" s="213" t="s">
        <v>500</v>
      </c>
      <c r="H681" s="146">
        <v>80285</v>
      </c>
      <c r="I681" s="215">
        <v>0</v>
      </c>
      <c r="J681" s="215">
        <v>0</v>
      </c>
      <c r="K681" s="215">
        <v>0</v>
      </c>
      <c r="L681" s="146">
        <v>80285</v>
      </c>
    </row>
    <row r="682" spans="1:12" ht="30.95" customHeight="1" outlineLevel="2" x14ac:dyDescent="0.25">
      <c r="A682" s="40" t="s">
        <v>83</v>
      </c>
      <c r="B682" s="196" t="s">
        <v>384</v>
      </c>
      <c r="C682" s="3" t="s">
        <v>312</v>
      </c>
      <c r="D682" s="40">
        <v>139</v>
      </c>
      <c r="E682" s="146">
        <v>3233418</v>
      </c>
      <c r="F682" s="146">
        <v>3233418</v>
      </c>
      <c r="G682" s="213" t="s">
        <v>500</v>
      </c>
      <c r="H682" s="215">
        <v>0</v>
      </c>
      <c r="I682" s="146">
        <v>966463</v>
      </c>
      <c r="J682" s="215">
        <v>0</v>
      </c>
      <c r="K682" s="146">
        <v>966463</v>
      </c>
      <c r="L682" s="146">
        <v>-966463</v>
      </c>
    </row>
    <row r="683" spans="1:12" outlineLevel="2" x14ac:dyDescent="0.25">
      <c r="A683" s="40" t="s">
        <v>83</v>
      </c>
      <c r="B683" s="196" t="s">
        <v>322</v>
      </c>
      <c r="C683" s="3" t="s">
        <v>126</v>
      </c>
      <c r="D683" s="40">
        <v>280</v>
      </c>
      <c r="E683" s="146">
        <v>6634</v>
      </c>
      <c r="F683" s="146">
        <v>5624</v>
      </c>
      <c r="G683" s="213" t="s">
        <v>500</v>
      </c>
      <c r="H683" s="146">
        <v>1010</v>
      </c>
      <c r="I683" s="215">
        <v>0</v>
      </c>
      <c r="J683" s="215">
        <v>0</v>
      </c>
      <c r="K683" s="215">
        <v>0</v>
      </c>
      <c r="L683" s="146">
        <v>1010</v>
      </c>
    </row>
    <row r="684" spans="1:12" outlineLevel="2" x14ac:dyDescent="0.25">
      <c r="A684" s="40" t="s">
        <v>83</v>
      </c>
      <c r="B684" s="196" t="s">
        <v>352</v>
      </c>
      <c r="C684" s="3" t="s">
        <v>353</v>
      </c>
      <c r="D684" s="40">
        <v>57</v>
      </c>
      <c r="E684" s="146">
        <v>1112874</v>
      </c>
      <c r="F684" s="146">
        <v>1107374</v>
      </c>
      <c r="G684" s="213" t="s">
        <v>500</v>
      </c>
      <c r="H684" s="146">
        <v>5500</v>
      </c>
      <c r="I684" s="215">
        <v>0</v>
      </c>
      <c r="J684" s="215">
        <v>0</v>
      </c>
      <c r="K684" s="215">
        <v>0</v>
      </c>
      <c r="L684" s="146">
        <v>5500</v>
      </c>
    </row>
    <row r="685" spans="1:12" outlineLevel="2" x14ac:dyDescent="0.25">
      <c r="A685" s="40" t="s">
        <v>83</v>
      </c>
      <c r="B685" s="196" t="s">
        <v>387</v>
      </c>
      <c r="C685" s="3" t="s">
        <v>360</v>
      </c>
      <c r="D685" s="40">
        <v>208</v>
      </c>
      <c r="E685" s="146">
        <v>17151246</v>
      </c>
      <c r="F685" s="146">
        <v>16798479</v>
      </c>
      <c r="G685" s="213" t="s">
        <v>500</v>
      </c>
      <c r="H685" s="146">
        <v>352767</v>
      </c>
      <c r="I685" s="146">
        <v>25091</v>
      </c>
      <c r="J685" s="146">
        <v>25091</v>
      </c>
      <c r="K685" s="215">
        <v>0</v>
      </c>
      <c r="L685" s="146">
        <v>352767</v>
      </c>
    </row>
    <row r="686" spans="1:12" outlineLevel="2" x14ac:dyDescent="0.25">
      <c r="A686" s="40" t="s">
        <v>83</v>
      </c>
      <c r="B686" s="196" t="s">
        <v>325</v>
      </c>
      <c r="C686" s="3" t="s">
        <v>326</v>
      </c>
      <c r="D686" s="40">
        <v>308</v>
      </c>
      <c r="E686" s="146">
        <v>53294</v>
      </c>
      <c r="F686" s="146">
        <v>46597</v>
      </c>
      <c r="G686" s="213" t="s">
        <v>500</v>
      </c>
      <c r="H686" s="146">
        <v>6697</v>
      </c>
      <c r="I686" s="215">
        <v>0</v>
      </c>
      <c r="J686" s="215">
        <v>0</v>
      </c>
      <c r="K686" s="215">
        <v>0</v>
      </c>
      <c r="L686" s="146">
        <v>6697</v>
      </c>
    </row>
    <row r="687" spans="1:12" outlineLevel="2" x14ac:dyDescent="0.25">
      <c r="A687" s="243" t="s">
        <v>83</v>
      </c>
      <c r="B687" s="196" t="s">
        <v>153</v>
      </c>
      <c r="C687" s="3" t="s">
        <v>126</v>
      </c>
      <c r="D687" s="40">
        <v>260</v>
      </c>
      <c r="E687" s="146">
        <v>14398943</v>
      </c>
      <c r="F687" s="146">
        <v>14149465</v>
      </c>
      <c r="G687" s="213" t="s">
        <v>500</v>
      </c>
      <c r="H687" s="146">
        <v>249478</v>
      </c>
      <c r="I687" s="146">
        <v>744918</v>
      </c>
      <c r="J687" s="146">
        <v>744918</v>
      </c>
      <c r="K687" s="215">
        <v>0</v>
      </c>
      <c r="L687" s="146">
        <v>249478</v>
      </c>
    </row>
    <row r="688" spans="1:12" outlineLevel="2" x14ac:dyDescent="0.25">
      <c r="A688" s="241" t="s">
        <v>278</v>
      </c>
      <c r="B688" s="184" t="s">
        <v>500</v>
      </c>
      <c r="C688" s="74" t="s">
        <v>500</v>
      </c>
      <c r="D688" s="180" t="s">
        <v>500</v>
      </c>
      <c r="E688" s="78">
        <f>SUBTOTAL(109,school200304[Program
Costs])</f>
        <v>307781613</v>
      </c>
      <c r="F688" s="78">
        <f>SUBTOTAL(109,school200304[Less: Net Payments and Offsets 10])</f>
        <v>293368546</v>
      </c>
      <c r="G688" s="74" t="s">
        <v>500</v>
      </c>
      <c r="H688" s="78">
        <f>SUBTOTAL(109,school200304[Accounts Payable
Balance])</f>
        <v>14413067</v>
      </c>
      <c r="I688" s="78">
        <f>SUBTOTAL(109,school200304[Established
Accounts Receivable])</f>
        <v>3551141</v>
      </c>
      <c r="J688" s="78">
        <f>SUBTOTAL(109,school200304[Less: Recovered Amount])</f>
        <v>1620797</v>
      </c>
      <c r="K688" s="78">
        <f>SUBTOTAL(109,school200304[Accounts Receivable
Balance])</f>
        <v>1930344</v>
      </c>
      <c r="L688" s="78">
        <f>SUBTOTAL(109,school200304[Net
Balance])</f>
        <v>12482723</v>
      </c>
    </row>
    <row r="689" spans="1:12" s="244" customFormat="1" ht="15" outlineLevel="1" x14ac:dyDescent="0.2">
      <c r="A689" s="214" t="s">
        <v>508</v>
      </c>
      <c r="B689" s="196"/>
      <c r="C689" s="3"/>
      <c r="D689" s="40"/>
      <c r="E689" s="146"/>
      <c r="F689" s="146"/>
      <c r="G689" s="146"/>
      <c r="H689" s="146"/>
      <c r="I689" s="146"/>
      <c r="J689" s="146"/>
      <c r="K689" s="146"/>
      <c r="L689" s="146"/>
    </row>
    <row r="690" spans="1:12" ht="50.1" customHeight="1" outlineLevel="2" x14ac:dyDescent="0.25">
      <c r="A690" s="204" t="s">
        <v>98</v>
      </c>
      <c r="B690" s="204" t="s">
        <v>99</v>
      </c>
      <c r="C690" s="176" t="s">
        <v>1</v>
      </c>
      <c r="D690" s="204" t="s">
        <v>195</v>
      </c>
      <c r="E690" s="238" t="s">
        <v>188</v>
      </c>
      <c r="F690" s="239" t="s">
        <v>533</v>
      </c>
      <c r="G690" s="212" t="s">
        <v>532</v>
      </c>
      <c r="H690" s="210" t="s">
        <v>528</v>
      </c>
      <c r="I690" s="210" t="s">
        <v>529</v>
      </c>
      <c r="J690" s="238" t="s">
        <v>197</v>
      </c>
      <c r="K690" s="210" t="s">
        <v>530</v>
      </c>
      <c r="L690" s="238" t="s">
        <v>196</v>
      </c>
    </row>
    <row r="691" spans="1:12" ht="30.75" outlineLevel="2" x14ac:dyDescent="0.25">
      <c r="A691" s="40" t="s">
        <v>71</v>
      </c>
      <c r="B691" s="196" t="s">
        <v>340</v>
      </c>
      <c r="C691" s="3" t="s">
        <v>335</v>
      </c>
      <c r="D691" s="40">
        <v>348</v>
      </c>
      <c r="E691" s="146">
        <v>41363154</v>
      </c>
      <c r="F691" s="146">
        <v>37738313</v>
      </c>
      <c r="G691" s="213" t="s">
        <v>500</v>
      </c>
      <c r="H691" s="146">
        <v>3624841</v>
      </c>
      <c r="I691" s="215">
        <v>0</v>
      </c>
      <c r="J691" s="215">
        <v>0</v>
      </c>
      <c r="K691" s="215">
        <v>0</v>
      </c>
      <c r="L691" s="146">
        <v>3624841</v>
      </c>
    </row>
    <row r="692" spans="1:12" ht="30.75" outlineLevel="2" x14ac:dyDescent="0.25">
      <c r="A692" s="40" t="s">
        <v>71</v>
      </c>
      <c r="B692" s="196" t="s">
        <v>115</v>
      </c>
      <c r="C692" s="3" t="s">
        <v>116</v>
      </c>
      <c r="D692" s="40">
        <v>11</v>
      </c>
      <c r="E692" s="146">
        <v>30770605</v>
      </c>
      <c r="F692" s="146">
        <v>30770605</v>
      </c>
      <c r="G692" s="213" t="s">
        <v>500</v>
      </c>
      <c r="H692" s="215">
        <v>0</v>
      </c>
      <c r="I692" s="146">
        <v>867444</v>
      </c>
      <c r="J692" s="146">
        <v>826768</v>
      </c>
      <c r="K692" s="146">
        <v>40676</v>
      </c>
      <c r="L692" s="146">
        <v>-40676</v>
      </c>
    </row>
    <row r="693" spans="1:12" ht="30.75" outlineLevel="2" x14ac:dyDescent="0.25">
      <c r="A693" s="40" t="s">
        <v>71</v>
      </c>
      <c r="B693" s="196" t="s">
        <v>386</v>
      </c>
      <c r="C693" s="3" t="s">
        <v>126</v>
      </c>
      <c r="D693" s="40">
        <v>295</v>
      </c>
      <c r="E693" s="146">
        <v>176566893</v>
      </c>
      <c r="F693" s="146">
        <v>172277694</v>
      </c>
      <c r="G693" s="213" t="s">
        <v>500</v>
      </c>
      <c r="H693" s="146">
        <v>4289199</v>
      </c>
      <c r="I693" s="215">
        <v>0</v>
      </c>
      <c r="J693" s="215">
        <v>0</v>
      </c>
      <c r="K693" s="215">
        <v>0</v>
      </c>
      <c r="L693" s="146">
        <v>4289199</v>
      </c>
    </row>
    <row r="694" spans="1:12" outlineLevel="2" x14ac:dyDescent="0.25">
      <c r="A694" s="40" t="s">
        <v>71</v>
      </c>
      <c r="B694" s="196" t="s">
        <v>127</v>
      </c>
      <c r="C694" s="3" t="s">
        <v>128</v>
      </c>
      <c r="D694" s="40">
        <v>166</v>
      </c>
      <c r="E694" s="146">
        <v>7157889</v>
      </c>
      <c r="F694" s="146">
        <v>7157889</v>
      </c>
      <c r="G694" s="213" t="s">
        <v>500</v>
      </c>
      <c r="H694" s="215">
        <v>0</v>
      </c>
      <c r="I694" s="146">
        <v>210086</v>
      </c>
      <c r="J694" s="146">
        <v>139673</v>
      </c>
      <c r="K694" s="146">
        <v>70413</v>
      </c>
      <c r="L694" s="146">
        <v>-70413</v>
      </c>
    </row>
    <row r="695" spans="1:12" outlineLevel="2" x14ac:dyDescent="0.25">
      <c r="A695" s="40" t="s">
        <v>71</v>
      </c>
      <c r="B695" s="196" t="s">
        <v>318</v>
      </c>
      <c r="C695" s="3" t="s">
        <v>319</v>
      </c>
      <c r="D695" s="40">
        <v>268</v>
      </c>
      <c r="E695" s="146">
        <v>2984780</v>
      </c>
      <c r="F695" s="146">
        <v>2976037</v>
      </c>
      <c r="G695" s="213" t="s">
        <v>500</v>
      </c>
      <c r="H695" s="146">
        <v>8743</v>
      </c>
      <c r="I695" s="215">
        <v>0</v>
      </c>
      <c r="J695" s="215">
        <v>0</v>
      </c>
      <c r="K695" s="215">
        <v>0</v>
      </c>
      <c r="L695" s="146">
        <v>8743</v>
      </c>
    </row>
    <row r="696" spans="1:12" outlineLevel="2" x14ac:dyDescent="0.25">
      <c r="A696" s="40" t="s">
        <v>71</v>
      </c>
      <c r="B696" s="196" t="s">
        <v>141</v>
      </c>
      <c r="C696" s="3" t="s">
        <v>126</v>
      </c>
      <c r="D696" s="40">
        <v>48</v>
      </c>
      <c r="E696" s="146">
        <v>7488914</v>
      </c>
      <c r="F696" s="146">
        <v>7488914</v>
      </c>
      <c r="G696" s="213" t="s">
        <v>500</v>
      </c>
      <c r="H696" s="215">
        <v>0</v>
      </c>
      <c r="I696" s="146">
        <v>895210</v>
      </c>
      <c r="J696" s="146">
        <v>357099</v>
      </c>
      <c r="K696" s="146">
        <v>538111</v>
      </c>
      <c r="L696" s="146">
        <v>-538111</v>
      </c>
    </row>
    <row r="697" spans="1:12" outlineLevel="2" x14ac:dyDescent="0.25">
      <c r="A697" s="40" t="s">
        <v>71</v>
      </c>
      <c r="B697" s="196" t="s">
        <v>210</v>
      </c>
      <c r="C697" s="3" t="s">
        <v>211</v>
      </c>
      <c r="D697" s="40">
        <v>218</v>
      </c>
      <c r="E697" s="146">
        <v>7119369</v>
      </c>
      <c r="F697" s="146">
        <v>7041267</v>
      </c>
      <c r="G697" s="213" t="s">
        <v>500</v>
      </c>
      <c r="H697" s="146">
        <v>78102</v>
      </c>
      <c r="I697" s="215">
        <v>0</v>
      </c>
      <c r="J697" s="215">
        <v>0</v>
      </c>
      <c r="K697" s="215">
        <v>0</v>
      </c>
      <c r="L697" s="146">
        <v>78102</v>
      </c>
    </row>
    <row r="698" spans="1:12" ht="45.75" outlineLevel="2" x14ac:dyDescent="0.25">
      <c r="A698" s="40" t="s">
        <v>71</v>
      </c>
      <c r="B698" s="196" t="s">
        <v>375</v>
      </c>
      <c r="C698" s="3" t="s">
        <v>112</v>
      </c>
      <c r="D698" s="40">
        <v>271</v>
      </c>
      <c r="E698" s="146">
        <v>2711305</v>
      </c>
      <c r="F698" s="146">
        <v>2687237</v>
      </c>
      <c r="G698" s="213" t="s">
        <v>500</v>
      </c>
      <c r="H698" s="146">
        <v>24068</v>
      </c>
      <c r="I698" s="215">
        <v>0</v>
      </c>
      <c r="J698" s="215">
        <v>0</v>
      </c>
      <c r="K698" s="215">
        <v>0</v>
      </c>
      <c r="L698" s="146">
        <v>24068</v>
      </c>
    </row>
    <row r="699" spans="1:12" ht="45.75" outlineLevel="2" x14ac:dyDescent="0.25">
      <c r="A699" s="40" t="s">
        <v>71</v>
      </c>
      <c r="B699" s="196" t="s">
        <v>343</v>
      </c>
      <c r="C699" s="3" t="s">
        <v>344</v>
      </c>
      <c r="D699" s="40">
        <v>329</v>
      </c>
      <c r="E699" s="146">
        <v>722675</v>
      </c>
      <c r="F699" s="146">
        <v>710144</v>
      </c>
      <c r="G699" s="213" t="s">
        <v>500</v>
      </c>
      <c r="H699" s="146">
        <v>12531</v>
      </c>
      <c r="I699" s="215">
        <v>0</v>
      </c>
      <c r="J699" s="215">
        <v>0</v>
      </c>
      <c r="K699" s="215">
        <v>0</v>
      </c>
      <c r="L699" s="146">
        <v>12531</v>
      </c>
    </row>
    <row r="700" spans="1:12" ht="30.75" outlineLevel="2" x14ac:dyDescent="0.25">
      <c r="A700" s="40" t="s">
        <v>71</v>
      </c>
      <c r="B700" s="196" t="s">
        <v>384</v>
      </c>
      <c r="C700" s="3" t="s">
        <v>312</v>
      </c>
      <c r="D700" s="40">
        <v>139</v>
      </c>
      <c r="E700" s="146">
        <v>3491968</v>
      </c>
      <c r="F700" s="146">
        <v>3491968</v>
      </c>
      <c r="G700" s="213" t="s">
        <v>500</v>
      </c>
      <c r="H700" s="215">
        <v>0</v>
      </c>
      <c r="I700" s="146">
        <v>2397890</v>
      </c>
      <c r="J700" s="215">
        <v>0</v>
      </c>
      <c r="K700" s="146">
        <v>2397890</v>
      </c>
      <c r="L700" s="146">
        <v>-2397890</v>
      </c>
    </row>
    <row r="701" spans="1:12" outlineLevel="2" x14ac:dyDescent="0.25">
      <c r="A701" s="40" t="s">
        <v>71</v>
      </c>
      <c r="B701" s="196" t="s">
        <v>148</v>
      </c>
      <c r="C701" s="3" t="s">
        <v>149</v>
      </c>
      <c r="D701" s="40">
        <v>244</v>
      </c>
      <c r="E701" s="146">
        <v>1943938</v>
      </c>
      <c r="F701" s="146">
        <v>1943938</v>
      </c>
      <c r="G701" s="213" t="s">
        <v>500</v>
      </c>
      <c r="H701" s="215">
        <v>0</v>
      </c>
      <c r="I701" s="146">
        <v>25317281</v>
      </c>
      <c r="J701" s="146">
        <v>2721523</v>
      </c>
      <c r="K701" s="146">
        <v>22595758</v>
      </c>
      <c r="L701" s="146">
        <v>-22595758</v>
      </c>
    </row>
    <row r="702" spans="1:12" outlineLevel="2" x14ac:dyDescent="0.25">
      <c r="A702" s="40" t="s">
        <v>71</v>
      </c>
      <c r="B702" s="196" t="s">
        <v>352</v>
      </c>
      <c r="C702" s="3" t="s">
        <v>353</v>
      </c>
      <c r="D702" s="40">
        <v>57</v>
      </c>
      <c r="E702" s="146">
        <v>1434260</v>
      </c>
      <c r="F702" s="146">
        <v>1415123</v>
      </c>
      <c r="G702" s="213" t="s">
        <v>500</v>
      </c>
      <c r="H702" s="146">
        <v>19137</v>
      </c>
      <c r="I702" s="215">
        <v>0</v>
      </c>
      <c r="J702" s="215">
        <v>0</v>
      </c>
      <c r="K702" s="215">
        <v>0</v>
      </c>
      <c r="L702" s="146">
        <v>19137</v>
      </c>
    </row>
    <row r="703" spans="1:12" outlineLevel="2" x14ac:dyDescent="0.25">
      <c r="A703" s="40" t="s">
        <v>71</v>
      </c>
      <c r="B703" s="196" t="s">
        <v>387</v>
      </c>
      <c r="C703" s="3" t="s">
        <v>360</v>
      </c>
      <c r="D703" s="40">
        <v>208</v>
      </c>
      <c r="E703" s="146">
        <v>23725715</v>
      </c>
      <c r="F703" s="146">
        <v>23579326</v>
      </c>
      <c r="G703" s="213" t="s">
        <v>500</v>
      </c>
      <c r="H703" s="146">
        <v>146389</v>
      </c>
      <c r="I703" s="146">
        <v>183082</v>
      </c>
      <c r="J703" s="146">
        <v>183082</v>
      </c>
      <c r="K703" s="215">
        <v>0</v>
      </c>
      <c r="L703" s="146">
        <v>146389</v>
      </c>
    </row>
    <row r="704" spans="1:12" ht="15" customHeight="1" outlineLevel="2" x14ac:dyDescent="0.25">
      <c r="A704" s="243" t="s">
        <v>71</v>
      </c>
      <c r="B704" s="196" t="s">
        <v>153</v>
      </c>
      <c r="C704" s="3" t="s">
        <v>126</v>
      </c>
      <c r="D704" s="40">
        <v>260</v>
      </c>
      <c r="E704" s="146">
        <v>13819545</v>
      </c>
      <c r="F704" s="146">
        <v>13759745</v>
      </c>
      <c r="G704" s="213" t="s">
        <v>500</v>
      </c>
      <c r="H704" s="146">
        <v>59800</v>
      </c>
      <c r="I704" s="146">
        <v>334584</v>
      </c>
      <c r="J704" s="146">
        <v>334584</v>
      </c>
      <c r="K704" s="215">
        <v>0</v>
      </c>
      <c r="L704" s="146">
        <v>59800</v>
      </c>
    </row>
    <row r="705" spans="1:12" ht="15" customHeight="1" outlineLevel="2" x14ac:dyDescent="0.25">
      <c r="A705" s="241" t="s">
        <v>279</v>
      </c>
      <c r="B705" s="184" t="s">
        <v>500</v>
      </c>
      <c r="C705" s="74" t="s">
        <v>500</v>
      </c>
      <c r="D705" s="180" t="s">
        <v>500</v>
      </c>
      <c r="E705" s="78">
        <f>SUBTOTAL(109,school200203[Program
Costs])</f>
        <v>321301010</v>
      </c>
      <c r="F705" s="78">
        <f>SUBTOTAL(109,school200203[Less: Net Payments and Offsets 10])</f>
        <v>313038200</v>
      </c>
      <c r="G705" s="74" t="s">
        <v>500</v>
      </c>
      <c r="H705" s="78">
        <f>SUBTOTAL(109,school200203[Accounts Payable
Balance])</f>
        <v>8262810</v>
      </c>
      <c r="I705" s="78">
        <f>SUBTOTAL(109,school200203[Established
Accounts Receivable])</f>
        <v>30205577</v>
      </c>
      <c r="J705" s="78">
        <f>SUBTOTAL(109,school200203[Less: Recovered Amount])</f>
        <v>4562729</v>
      </c>
      <c r="K705" s="78">
        <f>SUBTOTAL(109,school200203[Accounts Receivable
Balance])</f>
        <v>25642848</v>
      </c>
      <c r="L705" s="78">
        <f>SUBTOTAL(109,school200203[Net
Balance])</f>
        <v>-17380038</v>
      </c>
    </row>
    <row r="706" spans="1:12" s="244" customFormat="1" ht="15" outlineLevel="2" x14ac:dyDescent="0.2">
      <c r="A706" s="214" t="s">
        <v>508</v>
      </c>
      <c r="B706" s="196"/>
      <c r="C706" s="3"/>
      <c r="D706" s="40"/>
      <c r="E706" s="146"/>
      <c r="F706" s="146"/>
      <c r="G706" s="146"/>
      <c r="H706" s="146"/>
      <c r="I706" s="146"/>
      <c r="J706" s="146"/>
      <c r="K706" s="146"/>
      <c r="L706" s="146"/>
    </row>
    <row r="707" spans="1:12" ht="50.1" customHeight="1" outlineLevel="2" x14ac:dyDescent="0.25">
      <c r="A707" s="204" t="s">
        <v>98</v>
      </c>
      <c r="B707" s="204" t="s">
        <v>99</v>
      </c>
      <c r="C707" s="176" t="s">
        <v>1</v>
      </c>
      <c r="D707" s="204" t="s">
        <v>195</v>
      </c>
      <c r="E707" s="238" t="s">
        <v>188</v>
      </c>
      <c r="F707" s="239" t="s">
        <v>533</v>
      </c>
      <c r="G707" s="212" t="s">
        <v>532</v>
      </c>
      <c r="H707" s="210" t="s">
        <v>528</v>
      </c>
      <c r="I707" s="210" t="s">
        <v>529</v>
      </c>
      <c r="J707" s="238" t="s">
        <v>197</v>
      </c>
      <c r="K707" s="210" t="s">
        <v>530</v>
      </c>
      <c r="L707" s="238" t="s">
        <v>196</v>
      </c>
    </row>
    <row r="708" spans="1:12" outlineLevel="2" x14ac:dyDescent="0.25">
      <c r="A708" s="40" t="s">
        <v>74</v>
      </c>
      <c r="B708" s="196" t="s">
        <v>388</v>
      </c>
      <c r="C708" s="3" t="s">
        <v>102</v>
      </c>
      <c r="D708" s="40">
        <v>123</v>
      </c>
      <c r="E708" s="146">
        <v>3563107</v>
      </c>
      <c r="F708" s="146">
        <v>3563107</v>
      </c>
      <c r="G708" s="213" t="s">
        <v>500</v>
      </c>
      <c r="H708" s="215">
        <v>0</v>
      </c>
      <c r="I708" s="146">
        <v>838033</v>
      </c>
      <c r="J708" s="146">
        <v>832320</v>
      </c>
      <c r="K708" s="146">
        <v>5713</v>
      </c>
      <c r="L708" s="146">
        <v>-5713</v>
      </c>
    </row>
    <row r="709" spans="1:12" ht="30.75" outlineLevel="2" x14ac:dyDescent="0.25">
      <c r="A709" s="40" t="s">
        <v>74</v>
      </c>
      <c r="B709" s="196" t="s">
        <v>340</v>
      </c>
      <c r="C709" s="3" t="s">
        <v>335</v>
      </c>
      <c r="D709" s="40">
        <v>348</v>
      </c>
      <c r="E709" s="146">
        <v>39009871</v>
      </c>
      <c r="F709" s="146">
        <v>35783447</v>
      </c>
      <c r="G709" s="213" t="s">
        <v>500</v>
      </c>
      <c r="H709" s="146">
        <v>3226424</v>
      </c>
      <c r="I709" s="215">
        <v>0</v>
      </c>
      <c r="J709" s="215">
        <v>0</v>
      </c>
      <c r="K709" s="215">
        <v>0</v>
      </c>
      <c r="L709" s="146">
        <v>3226424</v>
      </c>
    </row>
    <row r="710" spans="1:12" ht="15" customHeight="1" outlineLevel="2" x14ac:dyDescent="0.25">
      <c r="A710" s="40" t="s">
        <v>74</v>
      </c>
      <c r="B710" s="196" t="s">
        <v>389</v>
      </c>
      <c r="C710" s="3" t="s">
        <v>310</v>
      </c>
      <c r="D710" s="40">
        <v>140</v>
      </c>
      <c r="E710" s="146">
        <v>2457131</v>
      </c>
      <c r="F710" s="146">
        <v>2457131</v>
      </c>
      <c r="G710" s="213" t="s">
        <v>500</v>
      </c>
      <c r="H710" s="215">
        <v>0</v>
      </c>
      <c r="I710" s="146">
        <v>237816</v>
      </c>
      <c r="J710" s="146">
        <v>226307</v>
      </c>
      <c r="K710" s="146">
        <v>11509</v>
      </c>
      <c r="L710" s="146">
        <v>-11509</v>
      </c>
    </row>
    <row r="711" spans="1:12" ht="30.95" customHeight="1" outlineLevel="2" x14ac:dyDescent="0.25">
      <c r="A711" s="40" t="s">
        <v>74</v>
      </c>
      <c r="B711" s="196" t="s">
        <v>115</v>
      </c>
      <c r="C711" s="3" t="s">
        <v>116</v>
      </c>
      <c r="D711" s="40">
        <v>11</v>
      </c>
      <c r="E711" s="146">
        <v>34671017</v>
      </c>
      <c r="F711" s="146">
        <v>34671017</v>
      </c>
      <c r="G711" s="213" t="s">
        <v>500</v>
      </c>
      <c r="H711" s="215">
        <v>0</v>
      </c>
      <c r="I711" s="146">
        <v>7346372</v>
      </c>
      <c r="J711" s="146">
        <v>7327621</v>
      </c>
      <c r="K711" s="146">
        <v>18751</v>
      </c>
      <c r="L711" s="146">
        <v>-18751</v>
      </c>
    </row>
    <row r="712" spans="1:12" ht="15.6" customHeight="1" outlineLevel="2" x14ac:dyDescent="0.25">
      <c r="A712" s="40" t="s">
        <v>74</v>
      </c>
      <c r="B712" s="196" t="s">
        <v>358</v>
      </c>
      <c r="C712" s="3" t="s">
        <v>118</v>
      </c>
      <c r="D712" s="40">
        <v>223</v>
      </c>
      <c r="E712" s="146">
        <v>5548278</v>
      </c>
      <c r="F712" s="146">
        <v>5548278</v>
      </c>
      <c r="G712" s="213" t="s">
        <v>500</v>
      </c>
      <c r="H712" s="215">
        <v>0</v>
      </c>
      <c r="I712" s="146">
        <v>14656</v>
      </c>
      <c r="J712" s="146">
        <v>9604</v>
      </c>
      <c r="K712" s="146">
        <v>5052</v>
      </c>
      <c r="L712" s="146">
        <v>-5052</v>
      </c>
    </row>
    <row r="713" spans="1:12" outlineLevel="2" x14ac:dyDescent="0.25">
      <c r="A713" s="40" t="s">
        <v>74</v>
      </c>
      <c r="B713" s="196" t="s">
        <v>119</v>
      </c>
      <c r="C713" s="3" t="s">
        <v>120</v>
      </c>
      <c r="D713" s="40">
        <v>183</v>
      </c>
      <c r="E713" s="146">
        <v>3258459</v>
      </c>
      <c r="F713" s="146">
        <v>3258459</v>
      </c>
      <c r="G713" s="213" t="s">
        <v>500</v>
      </c>
      <c r="H713" s="215">
        <v>0</v>
      </c>
      <c r="I713" s="146">
        <v>2332978</v>
      </c>
      <c r="J713" s="146">
        <v>2331773</v>
      </c>
      <c r="K713" s="146">
        <v>1205</v>
      </c>
      <c r="L713" s="146">
        <v>-1205</v>
      </c>
    </row>
    <row r="714" spans="1:12" ht="30.75" outlineLevel="2" x14ac:dyDescent="0.25">
      <c r="A714" s="40" t="s">
        <v>74</v>
      </c>
      <c r="B714" s="196" t="s">
        <v>390</v>
      </c>
      <c r="C714" s="3" t="s">
        <v>380</v>
      </c>
      <c r="D714" s="40">
        <v>75</v>
      </c>
      <c r="E714" s="146">
        <v>15879587</v>
      </c>
      <c r="F714" s="146">
        <v>15879587</v>
      </c>
      <c r="G714" s="213" t="s">
        <v>500</v>
      </c>
      <c r="H714" s="215">
        <v>0</v>
      </c>
      <c r="I714" s="146">
        <v>4530020</v>
      </c>
      <c r="J714" s="146">
        <v>4529310</v>
      </c>
      <c r="K714" s="146">
        <v>710</v>
      </c>
      <c r="L714" s="146">
        <v>-710</v>
      </c>
    </row>
    <row r="715" spans="1:12" outlineLevel="2" x14ac:dyDescent="0.25">
      <c r="A715" s="40" t="s">
        <v>74</v>
      </c>
      <c r="B715" s="196" t="s">
        <v>363</v>
      </c>
      <c r="C715" s="3" t="s">
        <v>126</v>
      </c>
      <c r="D715" s="40">
        <v>26</v>
      </c>
      <c r="E715" s="146">
        <v>7958827</v>
      </c>
      <c r="F715" s="146">
        <v>7958827</v>
      </c>
      <c r="G715" s="213" t="s">
        <v>500</v>
      </c>
      <c r="H715" s="215">
        <v>0</v>
      </c>
      <c r="I715" s="146">
        <v>4858960</v>
      </c>
      <c r="J715" s="146">
        <v>4632636</v>
      </c>
      <c r="K715" s="146">
        <v>226324</v>
      </c>
      <c r="L715" s="146">
        <v>-226324</v>
      </c>
    </row>
    <row r="716" spans="1:12" ht="30.75" outlineLevel="2" x14ac:dyDescent="0.25">
      <c r="A716" s="40" t="s">
        <v>74</v>
      </c>
      <c r="B716" s="196" t="s">
        <v>386</v>
      </c>
      <c r="C716" s="3" t="s">
        <v>126</v>
      </c>
      <c r="D716" s="40">
        <v>295</v>
      </c>
      <c r="E716" s="146">
        <v>166695626</v>
      </c>
      <c r="F716" s="146">
        <v>165084881</v>
      </c>
      <c r="G716" s="213" t="s">
        <v>500</v>
      </c>
      <c r="H716" s="146">
        <v>1610745</v>
      </c>
      <c r="I716" s="215">
        <v>0</v>
      </c>
      <c r="J716" s="215">
        <v>0</v>
      </c>
      <c r="K716" s="215">
        <v>0</v>
      </c>
      <c r="L716" s="146">
        <v>1610745</v>
      </c>
    </row>
    <row r="717" spans="1:12" outlineLevel="2" x14ac:dyDescent="0.25">
      <c r="A717" s="40" t="s">
        <v>74</v>
      </c>
      <c r="B717" s="196" t="s">
        <v>127</v>
      </c>
      <c r="C717" s="3" t="s">
        <v>128</v>
      </c>
      <c r="D717" s="40">
        <v>166</v>
      </c>
      <c r="E717" s="146">
        <v>7701749</v>
      </c>
      <c r="F717" s="146">
        <v>7701749</v>
      </c>
      <c r="G717" s="213" t="s">
        <v>500</v>
      </c>
      <c r="H717" s="215">
        <v>0</v>
      </c>
      <c r="I717" s="146">
        <v>2062132</v>
      </c>
      <c r="J717" s="146">
        <v>2062074</v>
      </c>
      <c r="K717" s="146">
        <v>58</v>
      </c>
      <c r="L717" s="146">
        <v>-58</v>
      </c>
    </row>
    <row r="718" spans="1:12" outlineLevel="2" x14ac:dyDescent="0.25">
      <c r="A718" s="40" t="s">
        <v>74</v>
      </c>
      <c r="B718" s="196" t="s">
        <v>318</v>
      </c>
      <c r="C718" s="3" t="s">
        <v>319</v>
      </c>
      <c r="D718" s="40">
        <v>268</v>
      </c>
      <c r="E718" s="146">
        <v>2150476</v>
      </c>
      <c r="F718" s="146">
        <v>2145443</v>
      </c>
      <c r="G718" s="213" t="s">
        <v>500</v>
      </c>
      <c r="H718" s="146">
        <v>5033</v>
      </c>
      <c r="I718" s="215">
        <v>0</v>
      </c>
      <c r="J718" s="215">
        <v>0</v>
      </c>
      <c r="K718" s="215">
        <v>0</v>
      </c>
      <c r="L718" s="146">
        <v>5033</v>
      </c>
    </row>
    <row r="719" spans="1:12" outlineLevel="2" x14ac:dyDescent="0.25">
      <c r="A719" s="40" t="s">
        <v>74</v>
      </c>
      <c r="B719" s="196" t="s">
        <v>320</v>
      </c>
      <c r="C719" s="3" t="s">
        <v>321</v>
      </c>
      <c r="D719" s="40">
        <v>148</v>
      </c>
      <c r="E719" s="146">
        <v>1807989</v>
      </c>
      <c r="F719" s="146">
        <v>1807989</v>
      </c>
      <c r="G719" s="213" t="s">
        <v>500</v>
      </c>
      <c r="H719" s="215">
        <v>0</v>
      </c>
      <c r="I719" s="146">
        <v>767144</v>
      </c>
      <c r="J719" s="146">
        <v>766547</v>
      </c>
      <c r="K719" s="146">
        <v>597</v>
      </c>
      <c r="L719" s="146">
        <v>-597</v>
      </c>
    </row>
    <row r="720" spans="1:12" outlineLevel="2" x14ac:dyDescent="0.25">
      <c r="A720" s="40" t="s">
        <v>74</v>
      </c>
      <c r="B720" s="196" t="s">
        <v>135</v>
      </c>
      <c r="C720" s="3" t="s">
        <v>136</v>
      </c>
      <c r="D720" s="40">
        <v>153</v>
      </c>
      <c r="E720" s="146">
        <v>8287926</v>
      </c>
      <c r="F720" s="146">
        <v>8287926</v>
      </c>
      <c r="G720" s="213" t="s">
        <v>500</v>
      </c>
      <c r="H720" s="215">
        <v>0</v>
      </c>
      <c r="I720" s="146">
        <v>1426115</v>
      </c>
      <c r="J720" s="146">
        <v>1425358</v>
      </c>
      <c r="K720" s="146">
        <v>757</v>
      </c>
      <c r="L720" s="146">
        <v>-757</v>
      </c>
    </row>
    <row r="721" spans="1:12" outlineLevel="2" x14ac:dyDescent="0.25">
      <c r="A721" s="40" t="s">
        <v>74</v>
      </c>
      <c r="B721" s="196" t="s">
        <v>137</v>
      </c>
      <c r="C721" s="3" t="s">
        <v>138</v>
      </c>
      <c r="D721" s="40">
        <v>155</v>
      </c>
      <c r="E721" s="146">
        <v>798088</v>
      </c>
      <c r="F721" s="146">
        <v>798088</v>
      </c>
      <c r="G721" s="213" t="s">
        <v>500</v>
      </c>
      <c r="H721" s="215">
        <v>0</v>
      </c>
      <c r="I721" s="146">
        <v>72371</v>
      </c>
      <c r="J721" s="146">
        <v>72080</v>
      </c>
      <c r="K721" s="146">
        <v>291</v>
      </c>
      <c r="L721" s="146">
        <v>-291</v>
      </c>
    </row>
    <row r="722" spans="1:12" outlineLevel="1" x14ac:dyDescent="0.25">
      <c r="A722" s="40" t="s">
        <v>74</v>
      </c>
      <c r="B722" s="196" t="s">
        <v>370</v>
      </c>
      <c r="C722" s="3" t="s">
        <v>371</v>
      </c>
      <c r="D722" s="40">
        <v>157</v>
      </c>
      <c r="E722" s="146">
        <v>1579905</v>
      </c>
      <c r="F722" s="146">
        <v>1579905</v>
      </c>
      <c r="G722" s="213" t="s">
        <v>500</v>
      </c>
      <c r="H722" s="215">
        <v>0</v>
      </c>
      <c r="I722" s="146">
        <v>818310</v>
      </c>
      <c r="J722" s="146">
        <v>816980</v>
      </c>
      <c r="K722" s="146">
        <v>1330</v>
      </c>
      <c r="L722" s="146">
        <v>-1330</v>
      </c>
    </row>
    <row r="723" spans="1:12" outlineLevel="2" x14ac:dyDescent="0.25">
      <c r="A723" s="40" t="s">
        <v>74</v>
      </c>
      <c r="B723" s="196" t="s">
        <v>219</v>
      </c>
      <c r="C723" s="3" t="s">
        <v>220</v>
      </c>
      <c r="D723" s="40">
        <v>42</v>
      </c>
      <c r="E723" s="146">
        <v>18517280</v>
      </c>
      <c r="F723" s="146">
        <v>18517280</v>
      </c>
      <c r="G723" s="213" t="s">
        <v>500</v>
      </c>
      <c r="H723" s="215">
        <v>0</v>
      </c>
      <c r="I723" s="146">
        <v>290709</v>
      </c>
      <c r="J723" s="146">
        <v>284043</v>
      </c>
      <c r="K723" s="146">
        <v>6666</v>
      </c>
      <c r="L723" s="146">
        <v>-6666</v>
      </c>
    </row>
    <row r="724" spans="1:12" outlineLevel="2" x14ac:dyDescent="0.25">
      <c r="A724" s="40" t="s">
        <v>74</v>
      </c>
      <c r="B724" s="196" t="s">
        <v>391</v>
      </c>
      <c r="C724" s="3" t="s">
        <v>211</v>
      </c>
      <c r="D724" s="40">
        <v>201</v>
      </c>
      <c r="E724" s="146">
        <v>556</v>
      </c>
      <c r="F724" s="146">
        <v>556</v>
      </c>
      <c r="G724" s="213" t="s">
        <v>500</v>
      </c>
      <c r="H724" s="215">
        <v>0</v>
      </c>
      <c r="I724" s="146">
        <v>63727</v>
      </c>
      <c r="J724" s="146">
        <v>62836</v>
      </c>
      <c r="K724" s="146">
        <v>891</v>
      </c>
      <c r="L724" s="146">
        <v>-891</v>
      </c>
    </row>
    <row r="725" spans="1:12" outlineLevel="2" x14ac:dyDescent="0.25">
      <c r="A725" s="40" t="s">
        <v>74</v>
      </c>
      <c r="B725" s="196" t="s">
        <v>210</v>
      </c>
      <c r="C725" s="3" t="s">
        <v>211</v>
      </c>
      <c r="D725" s="40">
        <v>218</v>
      </c>
      <c r="E725" s="146">
        <v>7304994</v>
      </c>
      <c r="F725" s="146">
        <v>7255320</v>
      </c>
      <c r="G725" s="213" t="s">
        <v>500</v>
      </c>
      <c r="H725" s="146">
        <v>49674</v>
      </c>
      <c r="I725" s="146">
        <v>441775</v>
      </c>
      <c r="J725" s="146">
        <v>437972</v>
      </c>
      <c r="K725" s="146">
        <v>3803</v>
      </c>
      <c r="L725" s="146">
        <v>45871</v>
      </c>
    </row>
    <row r="726" spans="1:12" outlineLevel="2" x14ac:dyDescent="0.25">
      <c r="A726" s="40" t="s">
        <v>74</v>
      </c>
      <c r="B726" s="196" t="s">
        <v>146</v>
      </c>
      <c r="C726" s="3" t="s">
        <v>147</v>
      </c>
      <c r="D726" s="40">
        <v>173</v>
      </c>
      <c r="E726" s="146">
        <v>2301476</v>
      </c>
      <c r="F726" s="146">
        <v>2301476</v>
      </c>
      <c r="G726" s="213" t="s">
        <v>500</v>
      </c>
      <c r="H726" s="215">
        <v>0</v>
      </c>
      <c r="I726" s="146">
        <v>299866</v>
      </c>
      <c r="J726" s="146">
        <v>299485</v>
      </c>
      <c r="K726" s="146">
        <v>381</v>
      </c>
      <c r="L726" s="146">
        <v>-381</v>
      </c>
    </row>
    <row r="727" spans="1:12" ht="15.6" customHeight="1" outlineLevel="2" x14ac:dyDescent="0.25">
      <c r="A727" s="40" t="s">
        <v>74</v>
      </c>
      <c r="B727" s="196" t="s">
        <v>373</v>
      </c>
      <c r="C727" s="3" t="s">
        <v>374</v>
      </c>
      <c r="D727" s="40">
        <v>151</v>
      </c>
      <c r="E727" s="146">
        <v>2589924</v>
      </c>
      <c r="F727" s="146">
        <v>2589924</v>
      </c>
      <c r="G727" s="213" t="s">
        <v>500</v>
      </c>
      <c r="H727" s="215">
        <v>0</v>
      </c>
      <c r="I727" s="146">
        <v>269837</v>
      </c>
      <c r="J727" s="146">
        <v>268611</v>
      </c>
      <c r="K727" s="146">
        <v>1226</v>
      </c>
      <c r="L727" s="146">
        <v>-1226</v>
      </c>
    </row>
    <row r="728" spans="1:12" ht="45.75" outlineLevel="2" x14ac:dyDescent="0.25">
      <c r="A728" s="40" t="s">
        <v>74</v>
      </c>
      <c r="B728" s="196" t="s">
        <v>375</v>
      </c>
      <c r="C728" s="3" t="s">
        <v>112</v>
      </c>
      <c r="D728" s="40">
        <v>271</v>
      </c>
      <c r="E728" s="146">
        <v>2441052</v>
      </c>
      <c r="F728" s="146">
        <v>2438012</v>
      </c>
      <c r="G728" s="213" t="s">
        <v>500</v>
      </c>
      <c r="H728" s="146">
        <v>3040</v>
      </c>
      <c r="I728" s="215">
        <v>0</v>
      </c>
      <c r="J728" s="215">
        <v>0</v>
      </c>
      <c r="K728" s="215">
        <v>0</v>
      </c>
      <c r="L728" s="146">
        <v>3040</v>
      </c>
    </row>
    <row r="729" spans="1:12" ht="45.75" outlineLevel="2" x14ac:dyDescent="0.25">
      <c r="A729" s="40" t="s">
        <v>74</v>
      </c>
      <c r="B729" s="196" t="s">
        <v>343</v>
      </c>
      <c r="C729" s="3" t="s">
        <v>344</v>
      </c>
      <c r="D729" s="40">
        <v>329</v>
      </c>
      <c r="E729" s="146">
        <v>456037</v>
      </c>
      <c r="F729" s="146">
        <v>450655</v>
      </c>
      <c r="G729" s="213" t="s">
        <v>500</v>
      </c>
      <c r="H729" s="146">
        <v>5382</v>
      </c>
      <c r="I729" s="215">
        <v>0</v>
      </c>
      <c r="J729" s="215">
        <v>0</v>
      </c>
      <c r="K729" s="215">
        <v>0</v>
      </c>
      <c r="L729" s="146">
        <v>5382</v>
      </c>
    </row>
    <row r="730" spans="1:12" ht="30.75" outlineLevel="2" x14ac:dyDescent="0.25">
      <c r="A730" s="40" t="s">
        <v>74</v>
      </c>
      <c r="B730" s="196" t="s">
        <v>384</v>
      </c>
      <c r="C730" s="3" t="s">
        <v>312</v>
      </c>
      <c r="D730" s="40">
        <v>139</v>
      </c>
      <c r="E730" s="146">
        <v>4917998</v>
      </c>
      <c r="F730" s="146">
        <v>4917998</v>
      </c>
      <c r="G730" s="213" t="s">
        <v>500</v>
      </c>
      <c r="H730" s="215">
        <v>0</v>
      </c>
      <c r="I730" s="146">
        <v>647814</v>
      </c>
      <c r="J730" s="146">
        <v>646501</v>
      </c>
      <c r="K730" s="146">
        <v>1313</v>
      </c>
      <c r="L730" s="146">
        <v>-1313</v>
      </c>
    </row>
    <row r="731" spans="1:12" outlineLevel="2" x14ac:dyDescent="0.25">
      <c r="A731" s="40" t="s">
        <v>74</v>
      </c>
      <c r="B731" s="196" t="s">
        <v>148</v>
      </c>
      <c r="C731" s="3" t="s">
        <v>149</v>
      </c>
      <c r="D731" s="40">
        <v>244</v>
      </c>
      <c r="E731" s="146">
        <v>2162205</v>
      </c>
      <c r="F731" s="146">
        <v>2162205</v>
      </c>
      <c r="G731" s="213" t="s">
        <v>500</v>
      </c>
      <c r="H731" s="215">
        <v>0</v>
      </c>
      <c r="I731" s="146">
        <v>13814130</v>
      </c>
      <c r="J731" s="146">
        <v>654358</v>
      </c>
      <c r="K731" s="146">
        <v>13159772</v>
      </c>
      <c r="L731" s="146">
        <v>-13159772</v>
      </c>
    </row>
    <row r="732" spans="1:12" ht="30.75" outlineLevel="2" x14ac:dyDescent="0.25">
      <c r="A732" s="40" t="s">
        <v>74</v>
      </c>
      <c r="B732" s="196" t="s">
        <v>345</v>
      </c>
      <c r="C732" s="3" t="s">
        <v>112</v>
      </c>
      <c r="D732" s="40">
        <v>176</v>
      </c>
      <c r="E732" s="146">
        <v>3499900</v>
      </c>
      <c r="F732" s="146">
        <v>3499900</v>
      </c>
      <c r="G732" s="213" t="s">
        <v>500</v>
      </c>
      <c r="H732" s="215">
        <v>0</v>
      </c>
      <c r="I732" s="146">
        <v>1707693</v>
      </c>
      <c r="J732" s="146">
        <v>1706945</v>
      </c>
      <c r="K732" s="146">
        <v>748</v>
      </c>
      <c r="L732" s="146">
        <v>-748</v>
      </c>
    </row>
    <row r="733" spans="1:12" outlineLevel="2" x14ac:dyDescent="0.25">
      <c r="A733" s="40" t="s">
        <v>74</v>
      </c>
      <c r="B733" s="196" t="s">
        <v>352</v>
      </c>
      <c r="C733" s="3" t="s">
        <v>353</v>
      </c>
      <c r="D733" s="40">
        <v>57</v>
      </c>
      <c r="E733" s="146">
        <v>1491266</v>
      </c>
      <c r="F733" s="146">
        <v>1489175</v>
      </c>
      <c r="G733" s="213" t="s">
        <v>500</v>
      </c>
      <c r="H733" s="146">
        <v>2091</v>
      </c>
      <c r="I733" s="146">
        <v>548259</v>
      </c>
      <c r="J733" s="146">
        <v>548259</v>
      </c>
      <c r="K733" s="215">
        <v>0</v>
      </c>
      <c r="L733" s="146">
        <v>2091</v>
      </c>
    </row>
    <row r="734" spans="1:12" outlineLevel="2" x14ac:dyDescent="0.25">
      <c r="A734" s="40" t="s">
        <v>74</v>
      </c>
      <c r="B734" s="196" t="s">
        <v>150</v>
      </c>
      <c r="C734" s="3" t="s">
        <v>151</v>
      </c>
      <c r="D734" s="40">
        <v>171</v>
      </c>
      <c r="E734" s="146">
        <v>4549931</v>
      </c>
      <c r="F734" s="146">
        <v>4549931</v>
      </c>
      <c r="G734" s="213" t="s">
        <v>500</v>
      </c>
      <c r="H734" s="215">
        <v>0</v>
      </c>
      <c r="I734" s="146">
        <v>420875</v>
      </c>
      <c r="J734" s="146">
        <v>420292</v>
      </c>
      <c r="K734" s="146">
        <v>583</v>
      </c>
      <c r="L734" s="146">
        <v>-583</v>
      </c>
    </row>
    <row r="735" spans="1:12" ht="30.75" outlineLevel="2" x14ac:dyDescent="0.25">
      <c r="A735" s="40" t="s">
        <v>74</v>
      </c>
      <c r="B735" s="196" t="s">
        <v>392</v>
      </c>
      <c r="C735" s="3" t="s">
        <v>393</v>
      </c>
      <c r="D735" s="40">
        <v>156</v>
      </c>
      <c r="E735" s="146">
        <v>5797583</v>
      </c>
      <c r="F735" s="146">
        <v>5797583</v>
      </c>
      <c r="G735" s="213" t="s">
        <v>500</v>
      </c>
      <c r="H735" s="215">
        <v>0</v>
      </c>
      <c r="I735" s="146">
        <v>3639998</v>
      </c>
      <c r="J735" s="146">
        <v>3571501</v>
      </c>
      <c r="K735" s="146">
        <v>68497</v>
      </c>
      <c r="L735" s="146">
        <v>-68497</v>
      </c>
    </row>
    <row r="736" spans="1:12" outlineLevel="2" x14ac:dyDescent="0.25">
      <c r="A736" s="40" t="s">
        <v>74</v>
      </c>
      <c r="B736" s="196" t="s">
        <v>394</v>
      </c>
      <c r="C736" s="3" t="s">
        <v>395</v>
      </c>
      <c r="D736" s="40">
        <v>146</v>
      </c>
      <c r="E736" s="146">
        <v>1738242</v>
      </c>
      <c r="F736" s="146">
        <v>1738242</v>
      </c>
      <c r="G736" s="213" t="s">
        <v>500</v>
      </c>
      <c r="H736" s="215">
        <v>0</v>
      </c>
      <c r="I736" s="146">
        <v>250700</v>
      </c>
      <c r="J736" s="146">
        <v>250499</v>
      </c>
      <c r="K736" s="146">
        <v>201</v>
      </c>
      <c r="L736" s="146">
        <v>-201</v>
      </c>
    </row>
    <row r="737" spans="1:12" outlineLevel="2" x14ac:dyDescent="0.25">
      <c r="A737" s="40" t="s">
        <v>74</v>
      </c>
      <c r="B737" s="196" t="s">
        <v>387</v>
      </c>
      <c r="C737" s="3" t="s">
        <v>360</v>
      </c>
      <c r="D737" s="40">
        <v>208</v>
      </c>
      <c r="E737" s="146">
        <v>25057181</v>
      </c>
      <c r="F737" s="146">
        <v>24937249</v>
      </c>
      <c r="G737" s="213" t="s">
        <v>500</v>
      </c>
      <c r="H737" s="146">
        <v>119932</v>
      </c>
      <c r="I737" s="146">
        <v>1138703</v>
      </c>
      <c r="J737" s="146">
        <v>1138703</v>
      </c>
      <c r="K737" s="215">
        <v>0</v>
      </c>
      <c r="L737" s="146">
        <v>119932</v>
      </c>
    </row>
    <row r="738" spans="1:12" outlineLevel="2" x14ac:dyDescent="0.25">
      <c r="A738" s="243" t="s">
        <v>74</v>
      </c>
      <c r="B738" s="196" t="s">
        <v>153</v>
      </c>
      <c r="C738" s="3" t="s">
        <v>126</v>
      </c>
      <c r="D738" s="40">
        <v>260</v>
      </c>
      <c r="E738" s="146">
        <v>12903346</v>
      </c>
      <c r="F738" s="146">
        <v>12891060</v>
      </c>
      <c r="G738" s="213" t="s">
        <v>500</v>
      </c>
      <c r="H738" s="146">
        <v>12286</v>
      </c>
      <c r="I738" s="146">
        <v>796556</v>
      </c>
      <c r="J738" s="146">
        <v>796556</v>
      </c>
      <c r="K738" s="215">
        <v>0</v>
      </c>
      <c r="L738" s="146">
        <v>12286</v>
      </c>
    </row>
    <row r="739" spans="1:12" outlineLevel="2" x14ac:dyDescent="0.25">
      <c r="A739" s="227" t="s">
        <v>282</v>
      </c>
      <c r="B739" s="184" t="s">
        <v>500</v>
      </c>
      <c r="C739" s="74" t="s">
        <v>500</v>
      </c>
      <c r="D739" s="180" t="s">
        <v>500</v>
      </c>
      <c r="E739" s="78">
        <f>SUBTOTAL(109,school200102[Program
Costs])</f>
        <v>397097007</v>
      </c>
      <c r="F739" s="78">
        <f>SUBTOTAL(109,school200102[Less: Net Payments and Offsets 10])</f>
        <v>392062400</v>
      </c>
      <c r="G739" s="74" t="s">
        <v>500</v>
      </c>
      <c r="H739" s="78">
        <f>SUBTOTAL(109,school200102[Accounts Payable
Balance])</f>
        <v>5034607</v>
      </c>
      <c r="I739" s="78">
        <f>SUBTOTAL(109,school200102[Established
Accounts Receivable])</f>
        <v>49635549</v>
      </c>
      <c r="J739" s="78">
        <f>SUBTOTAL(109,school200102[Less: Recovered Amount])</f>
        <v>36119171</v>
      </c>
      <c r="K739" s="78">
        <f>SUBTOTAL(109,school200102[Accounts Receivable
Balance])</f>
        <v>13516378</v>
      </c>
      <c r="L739" s="78">
        <f>SUBTOTAL(109,school200102[Net
Balance])</f>
        <v>-8481771</v>
      </c>
    </row>
    <row r="740" spans="1:12" s="244" customFormat="1" ht="15.6" customHeight="1" outlineLevel="2" x14ac:dyDescent="0.2">
      <c r="A740" s="214" t="s">
        <v>508</v>
      </c>
      <c r="B740" s="196"/>
      <c r="C740" s="3"/>
      <c r="D740" s="40"/>
      <c r="E740" s="146"/>
      <c r="F740" s="146"/>
      <c r="G740" s="146"/>
      <c r="H740" s="146"/>
      <c r="I740" s="146"/>
      <c r="J740" s="146"/>
      <c r="K740" s="146"/>
      <c r="L740" s="146"/>
    </row>
    <row r="741" spans="1:12" ht="50.1" customHeight="1" outlineLevel="2" x14ac:dyDescent="0.25">
      <c r="A741" s="204" t="s">
        <v>98</v>
      </c>
      <c r="B741" s="204" t="s">
        <v>99</v>
      </c>
      <c r="C741" s="176" t="s">
        <v>1</v>
      </c>
      <c r="D741" s="204" t="s">
        <v>195</v>
      </c>
      <c r="E741" s="238" t="s">
        <v>188</v>
      </c>
      <c r="F741" s="239" t="s">
        <v>533</v>
      </c>
      <c r="G741" s="212" t="s">
        <v>532</v>
      </c>
      <c r="H741" s="210" t="s">
        <v>528</v>
      </c>
      <c r="I741" s="210" t="s">
        <v>529</v>
      </c>
      <c r="J741" s="238" t="s">
        <v>197</v>
      </c>
      <c r="K741" s="210" t="s">
        <v>530</v>
      </c>
      <c r="L741" s="238" t="s">
        <v>196</v>
      </c>
    </row>
    <row r="742" spans="1:12" ht="30.75" outlineLevel="2" x14ac:dyDescent="0.25">
      <c r="A742" s="40" t="s">
        <v>75</v>
      </c>
      <c r="B742" s="196" t="s">
        <v>340</v>
      </c>
      <c r="C742" s="3" t="s">
        <v>335</v>
      </c>
      <c r="D742" s="40">
        <v>348</v>
      </c>
      <c r="E742" s="146">
        <v>37507169</v>
      </c>
      <c r="F742" s="146">
        <v>34737941</v>
      </c>
      <c r="G742" s="213" t="s">
        <v>500</v>
      </c>
      <c r="H742" s="146">
        <v>2769228</v>
      </c>
      <c r="I742" s="215">
        <v>0</v>
      </c>
      <c r="J742" s="215">
        <v>0</v>
      </c>
      <c r="K742" s="215">
        <v>0</v>
      </c>
      <c r="L742" s="146">
        <v>2769228</v>
      </c>
    </row>
    <row r="743" spans="1:12" outlineLevel="2" x14ac:dyDescent="0.25">
      <c r="A743" s="40" t="s">
        <v>75</v>
      </c>
      <c r="B743" s="196" t="s">
        <v>389</v>
      </c>
      <c r="C743" s="3" t="s">
        <v>310</v>
      </c>
      <c r="D743" s="40">
        <v>140</v>
      </c>
      <c r="E743" s="146">
        <v>4273725</v>
      </c>
      <c r="F743" s="146">
        <v>4273725</v>
      </c>
      <c r="G743" s="213" t="s">
        <v>500</v>
      </c>
      <c r="H743" s="215">
        <v>0</v>
      </c>
      <c r="I743" s="146">
        <v>84006</v>
      </c>
      <c r="J743" s="146">
        <v>82254</v>
      </c>
      <c r="K743" s="146">
        <v>1752</v>
      </c>
      <c r="L743" s="146">
        <v>-1752</v>
      </c>
    </row>
    <row r="744" spans="1:12" outlineLevel="2" x14ac:dyDescent="0.25">
      <c r="A744" s="40" t="s">
        <v>75</v>
      </c>
      <c r="B744" s="196" t="s">
        <v>119</v>
      </c>
      <c r="C744" s="3" t="s">
        <v>120</v>
      </c>
      <c r="D744" s="40">
        <v>183</v>
      </c>
      <c r="E744" s="146">
        <v>5005920</v>
      </c>
      <c r="F744" s="146">
        <v>5005920</v>
      </c>
      <c r="G744" s="213" t="s">
        <v>500</v>
      </c>
      <c r="H744" s="215">
        <v>0</v>
      </c>
      <c r="I744" s="146">
        <v>743465</v>
      </c>
      <c r="J744" s="146">
        <v>741868</v>
      </c>
      <c r="K744" s="146">
        <v>1597</v>
      </c>
      <c r="L744" s="146">
        <v>-1597</v>
      </c>
    </row>
    <row r="745" spans="1:12" outlineLevel="1" x14ac:dyDescent="0.25">
      <c r="A745" s="40" t="s">
        <v>75</v>
      </c>
      <c r="B745" s="196" t="s">
        <v>363</v>
      </c>
      <c r="C745" s="3" t="s">
        <v>126</v>
      </c>
      <c r="D745" s="40">
        <v>26</v>
      </c>
      <c r="E745" s="146">
        <v>9008998</v>
      </c>
      <c r="F745" s="146">
        <v>9008998</v>
      </c>
      <c r="G745" s="213" t="s">
        <v>500</v>
      </c>
      <c r="H745" s="215">
        <v>0</v>
      </c>
      <c r="I745" s="146">
        <v>6745209</v>
      </c>
      <c r="J745" s="146">
        <v>6707289</v>
      </c>
      <c r="K745" s="146">
        <v>37920</v>
      </c>
      <c r="L745" s="146">
        <v>-37920</v>
      </c>
    </row>
    <row r="746" spans="1:12" ht="30.75" outlineLevel="2" x14ac:dyDescent="0.25">
      <c r="A746" s="40" t="s">
        <v>75</v>
      </c>
      <c r="B746" s="196" t="s">
        <v>386</v>
      </c>
      <c r="C746" s="3" t="s">
        <v>126</v>
      </c>
      <c r="D746" s="40">
        <v>295</v>
      </c>
      <c r="E746" s="146">
        <v>156326089</v>
      </c>
      <c r="F746" s="146">
        <v>155700922</v>
      </c>
      <c r="G746" s="213" t="s">
        <v>500</v>
      </c>
      <c r="H746" s="146">
        <v>625167</v>
      </c>
      <c r="I746" s="215">
        <v>0</v>
      </c>
      <c r="J746" s="215">
        <v>0</v>
      </c>
      <c r="K746" s="215">
        <v>0</v>
      </c>
      <c r="L746" s="146">
        <v>625167</v>
      </c>
    </row>
    <row r="747" spans="1:12" outlineLevel="2" x14ac:dyDescent="0.25">
      <c r="A747" s="40" t="s">
        <v>75</v>
      </c>
      <c r="B747" s="196" t="s">
        <v>127</v>
      </c>
      <c r="C747" s="3" t="s">
        <v>128</v>
      </c>
      <c r="D747" s="40">
        <v>166</v>
      </c>
      <c r="E747" s="146">
        <v>8137909</v>
      </c>
      <c r="F747" s="146">
        <v>8137909</v>
      </c>
      <c r="G747" s="213" t="s">
        <v>500</v>
      </c>
      <c r="H747" s="215">
        <v>0</v>
      </c>
      <c r="I747" s="146">
        <v>2391214</v>
      </c>
      <c r="J747" s="146">
        <v>2385214</v>
      </c>
      <c r="K747" s="146">
        <v>6000</v>
      </c>
      <c r="L747" s="146">
        <v>-6000</v>
      </c>
    </row>
    <row r="748" spans="1:12" outlineLevel="2" x14ac:dyDescent="0.25">
      <c r="A748" s="40" t="s">
        <v>75</v>
      </c>
      <c r="B748" s="196" t="s">
        <v>135</v>
      </c>
      <c r="C748" s="3" t="s">
        <v>136</v>
      </c>
      <c r="D748" s="40">
        <v>153</v>
      </c>
      <c r="E748" s="146">
        <v>9807270</v>
      </c>
      <c r="F748" s="146">
        <v>9807270</v>
      </c>
      <c r="G748" s="213" t="s">
        <v>500</v>
      </c>
      <c r="H748" s="215">
        <v>0</v>
      </c>
      <c r="I748" s="146">
        <v>1636613</v>
      </c>
      <c r="J748" s="146">
        <v>1636463</v>
      </c>
      <c r="K748" s="146">
        <v>150</v>
      </c>
      <c r="L748" s="146">
        <v>-150</v>
      </c>
    </row>
    <row r="749" spans="1:12" outlineLevel="2" x14ac:dyDescent="0.25">
      <c r="A749" s="40" t="s">
        <v>75</v>
      </c>
      <c r="B749" s="196" t="s">
        <v>280</v>
      </c>
      <c r="C749" s="3" t="s">
        <v>281</v>
      </c>
      <c r="D749" s="40">
        <v>169</v>
      </c>
      <c r="E749" s="146">
        <v>231880</v>
      </c>
      <c r="F749" s="146">
        <v>231880</v>
      </c>
      <c r="G749" s="213" t="s">
        <v>500</v>
      </c>
      <c r="H749" s="215">
        <v>0</v>
      </c>
      <c r="I749" s="146">
        <v>56171</v>
      </c>
      <c r="J749" s="146">
        <v>54892</v>
      </c>
      <c r="K749" s="146">
        <v>1279</v>
      </c>
      <c r="L749" s="146">
        <v>-1279</v>
      </c>
    </row>
    <row r="750" spans="1:12" outlineLevel="2" x14ac:dyDescent="0.25">
      <c r="A750" s="40" t="s">
        <v>75</v>
      </c>
      <c r="B750" s="196" t="s">
        <v>219</v>
      </c>
      <c r="C750" s="3" t="s">
        <v>220</v>
      </c>
      <c r="D750" s="40">
        <v>42</v>
      </c>
      <c r="E750" s="146">
        <v>15900354</v>
      </c>
      <c r="F750" s="146">
        <v>15900354</v>
      </c>
      <c r="G750" s="213" t="s">
        <v>500</v>
      </c>
      <c r="H750" s="215">
        <v>0</v>
      </c>
      <c r="I750" s="146">
        <v>488975</v>
      </c>
      <c r="J750" s="146">
        <v>487057</v>
      </c>
      <c r="K750" s="146">
        <v>1918</v>
      </c>
      <c r="L750" s="146">
        <v>-1918</v>
      </c>
    </row>
    <row r="751" spans="1:12" outlineLevel="2" x14ac:dyDescent="0.25">
      <c r="A751" s="40" t="s">
        <v>75</v>
      </c>
      <c r="B751" s="196" t="s">
        <v>289</v>
      </c>
      <c r="C751" s="3" t="s">
        <v>211</v>
      </c>
      <c r="D751" s="40">
        <v>92</v>
      </c>
      <c r="E751" s="146">
        <v>2854</v>
      </c>
      <c r="F751" s="146">
        <v>2854</v>
      </c>
      <c r="G751" s="213" t="s">
        <v>500</v>
      </c>
      <c r="H751" s="215">
        <v>0</v>
      </c>
      <c r="I751" s="146">
        <v>37398</v>
      </c>
      <c r="J751" s="146">
        <v>30346</v>
      </c>
      <c r="K751" s="146">
        <v>7052</v>
      </c>
      <c r="L751" s="146">
        <v>-7052</v>
      </c>
    </row>
    <row r="752" spans="1:12" outlineLevel="2" x14ac:dyDescent="0.25">
      <c r="A752" s="40" t="s">
        <v>75</v>
      </c>
      <c r="B752" s="196" t="s">
        <v>391</v>
      </c>
      <c r="C752" s="3" t="s">
        <v>211</v>
      </c>
      <c r="D752" s="40">
        <v>201</v>
      </c>
      <c r="E752" s="146">
        <v>10104090</v>
      </c>
      <c r="F752" s="146">
        <v>10093674</v>
      </c>
      <c r="G752" s="213" t="s">
        <v>500</v>
      </c>
      <c r="H752" s="146">
        <v>10416</v>
      </c>
      <c r="I752" s="146">
        <v>124736</v>
      </c>
      <c r="J752" s="146">
        <v>119796</v>
      </c>
      <c r="K752" s="146">
        <v>4940</v>
      </c>
      <c r="L752" s="146">
        <v>5476</v>
      </c>
    </row>
    <row r="753" spans="1:12" outlineLevel="2" x14ac:dyDescent="0.25">
      <c r="A753" s="40" t="s">
        <v>75</v>
      </c>
      <c r="B753" s="196" t="s">
        <v>210</v>
      </c>
      <c r="C753" s="3" t="s">
        <v>211</v>
      </c>
      <c r="D753" s="40">
        <v>218</v>
      </c>
      <c r="E753" s="146">
        <v>635471</v>
      </c>
      <c r="F753" s="146">
        <v>629646</v>
      </c>
      <c r="G753" s="213" t="s">
        <v>500</v>
      </c>
      <c r="H753" s="146">
        <v>5825</v>
      </c>
      <c r="I753" s="215">
        <v>0</v>
      </c>
      <c r="J753" s="215">
        <v>0</v>
      </c>
      <c r="K753" s="215">
        <v>0</v>
      </c>
      <c r="L753" s="146">
        <v>5825</v>
      </c>
    </row>
    <row r="754" spans="1:12" outlineLevel="2" x14ac:dyDescent="0.25">
      <c r="A754" s="40" t="s">
        <v>75</v>
      </c>
      <c r="B754" s="196" t="s">
        <v>146</v>
      </c>
      <c r="C754" s="3" t="s">
        <v>147</v>
      </c>
      <c r="D754" s="40">
        <v>173</v>
      </c>
      <c r="E754" s="146">
        <v>2328624</v>
      </c>
      <c r="F754" s="146">
        <v>2328624</v>
      </c>
      <c r="G754" s="213" t="s">
        <v>500</v>
      </c>
      <c r="H754" s="215">
        <v>0</v>
      </c>
      <c r="I754" s="146">
        <v>237134</v>
      </c>
      <c r="J754" s="146">
        <v>236756</v>
      </c>
      <c r="K754" s="146">
        <v>378</v>
      </c>
      <c r="L754" s="146">
        <v>-378</v>
      </c>
    </row>
    <row r="755" spans="1:12" ht="45.75" outlineLevel="2" x14ac:dyDescent="0.25">
      <c r="A755" s="40" t="s">
        <v>75</v>
      </c>
      <c r="B755" s="196" t="s">
        <v>396</v>
      </c>
      <c r="C755" s="3" t="s">
        <v>397</v>
      </c>
      <c r="D755" s="40">
        <v>328</v>
      </c>
      <c r="E755" s="146">
        <v>367657</v>
      </c>
      <c r="F755" s="146">
        <v>366383</v>
      </c>
      <c r="G755" s="213" t="s">
        <v>500</v>
      </c>
      <c r="H755" s="146">
        <v>1274</v>
      </c>
      <c r="I755" s="215">
        <v>0</v>
      </c>
      <c r="J755" s="215">
        <v>0</v>
      </c>
      <c r="K755" s="215">
        <v>0</v>
      </c>
      <c r="L755" s="146">
        <v>1274</v>
      </c>
    </row>
    <row r="756" spans="1:12" ht="30.75" outlineLevel="2" x14ac:dyDescent="0.25">
      <c r="A756" s="40" t="s">
        <v>75</v>
      </c>
      <c r="B756" s="196" t="s">
        <v>384</v>
      </c>
      <c r="C756" s="3" t="s">
        <v>312</v>
      </c>
      <c r="D756" s="40">
        <v>139</v>
      </c>
      <c r="E756" s="146">
        <v>5226049</v>
      </c>
      <c r="F756" s="146">
        <v>5226049</v>
      </c>
      <c r="G756" s="213" t="s">
        <v>500</v>
      </c>
      <c r="H756" s="215">
        <v>0</v>
      </c>
      <c r="I756" s="146">
        <v>301477</v>
      </c>
      <c r="J756" s="146">
        <v>300847</v>
      </c>
      <c r="K756" s="146">
        <v>630</v>
      </c>
      <c r="L756" s="146">
        <v>-630</v>
      </c>
    </row>
    <row r="757" spans="1:12" outlineLevel="1" x14ac:dyDescent="0.25">
      <c r="A757" s="40" t="s">
        <v>75</v>
      </c>
      <c r="B757" s="196" t="s">
        <v>352</v>
      </c>
      <c r="C757" s="3" t="s">
        <v>353</v>
      </c>
      <c r="D757" s="40">
        <v>57</v>
      </c>
      <c r="E757" s="146">
        <v>1047563</v>
      </c>
      <c r="F757" s="146">
        <v>1047255</v>
      </c>
      <c r="G757" s="213" t="s">
        <v>500</v>
      </c>
      <c r="H757" s="146">
        <v>308</v>
      </c>
      <c r="I757" s="146">
        <v>780671</v>
      </c>
      <c r="J757" s="146">
        <v>780671</v>
      </c>
      <c r="K757" s="215">
        <v>0</v>
      </c>
      <c r="L757" s="146">
        <v>308</v>
      </c>
    </row>
    <row r="758" spans="1:12" outlineLevel="2" x14ac:dyDescent="0.25">
      <c r="A758" s="40" t="s">
        <v>75</v>
      </c>
      <c r="B758" s="196" t="s">
        <v>398</v>
      </c>
      <c r="C758" s="3" t="s">
        <v>399</v>
      </c>
      <c r="D758" s="40">
        <v>184</v>
      </c>
      <c r="E758" s="146">
        <v>2769154</v>
      </c>
      <c r="F758" s="146">
        <v>2765894</v>
      </c>
      <c r="G758" s="213" t="s">
        <v>500</v>
      </c>
      <c r="H758" s="146">
        <v>3260</v>
      </c>
      <c r="I758" s="146">
        <v>2356</v>
      </c>
      <c r="J758" s="146">
        <v>2356</v>
      </c>
      <c r="K758" s="215">
        <v>0</v>
      </c>
      <c r="L758" s="146">
        <v>3260</v>
      </c>
    </row>
    <row r="759" spans="1:12" ht="30.75" outlineLevel="2" x14ac:dyDescent="0.25">
      <c r="A759" s="40" t="s">
        <v>75</v>
      </c>
      <c r="B759" s="196" t="s">
        <v>392</v>
      </c>
      <c r="C759" s="3" t="s">
        <v>393</v>
      </c>
      <c r="D759" s="40">
        <v>156</v>
      </c>
      <c r="E759" s="146">
        <v>2951587</v>
      </c>
      <c r="F759" s="146">
        <v>2951587</v>
      </c>
      <c r="G759" s="213" t="s">
        <v>500</v>
      </c>
      <c r="H759" s="215">
        <v>0</v>
      </c>
      <c r="I759" s="146">
        <v>4502407</v>
      </c>
      <c r="J759" s="146">
        <v>4444654</v>
      </c>
      <c r="K759" s="146">
        <v>57753</v>
      </c>
      <c r="L759" s="146">
        <v>-57753</v>
      </c>
    </row>
    <row r="760" spans="1:12" outlineLevel="2" x14ac:dyDescent="0.25">
      <c r="A760" s="40" t="s">
        <v>75</v>
      </c>
      <c r="B760" s="196" t="s">
        <v>354</v>
      </c>
      <c r="C760" s="3" t="s">
        <v>355</v>
      </c>
      <c r="D760" s="40">
        <v>58</v>
      </c>
      <c r="E760" s="146">
        <v>2597892</v>
      </c>
      <c r="F760" s="146">
        <v>2597892</v>
      </c>
      <c r="G760" s="213" t="s">
        <v>500</v>
      </c>
      <c r="H760" s="215">
        <v>0</v>
      </c>
      <c r="I760" s="146">
        <v>227843</v>
      </c>
      <c r="J760" s="146">
        <v>227326</v>
      </c>
      <c r="K760" s="146">
        <v>517</v>
      </c>
      <c r="L760" s="146">
        <v>-517</v>
      </c>
    </row>
    <row r="761" spans="1:12" outlineLevel="2" x14ac:dyDescent="0.25">
      <c r="A761" s="40" t="s">
        <v>75</v>
      </c>
      <c r="B761" s="196" t="s">
        <v>387</v>
      </c>
      <c r="C761" s="3" t="s">
        <v>360</v>
      </c>
      <c r="D761" s="40">
        <v>208</v>
      </c>
      <c r="E761" s="146">
        <v>21601815</v>
      </c>
      <c r="F761" s="146">
        <v>21537808</v>
      </c>
      <c r="G761" s="213" t="s">
        <v>500</v>
      </c>
      <c r="H761" s="146">
        <v>64007</v>
      </c>
      <c r="I761" s="146">
        <v>1912828</v>
      </c>
      <c r="J761" s="146">
        <v>1912828</v>
      </c>
      <c r="K761" s="215">
        <v>0</v>
      </c>
      <c r="L761" s="146">
        <v>64007</v>
      </c>
    </row>
    <row r="762" spans="1:12" outlineLevel="2" x14ac:dyDescent="0.25">
      <c r="A762" s="243" t="s">
        <v>75</v>
      </c>
      <c r="B762" s="196" t="s">
        <v>153</v>
      </c>
      <c r="C762" s="3" t="s">
        <v>126</v>
      </c>
      <c r="D762" s="40">
        <v>260</v>
      </c>
      <c r="E762" s="146">
        <v>10398943</v>
      </c>
      <c r="F762" s="146">
        <v>10397070</v>
      </c>
      <c r="G762" s="213" t="s">
        <v>500</v>
      </c>
      <c r="H762" s="146">
        <v>1873</v>
      </c>
      <c r="I762" s="146">
        <v>940785</v>
      </c>
      <c r="J762" s="146">
        <v>940785</v>
      </c>
      <c r="K762" s="215">
        <v>0</v>
      </c>
      <c r="L762" s="146">
        <v>1873</v>
      </c>
    </row>
    <row r="763" spans="1:12" outlineLevel="2" x14ac:dyDescent="0.25">
      <c r="A763" s="241" t="s">
        <v>283</v>
      </c>
      <c r="B763" s="184" t="s">
        <v>500</v>
      </c>
      <c r="C763" s="74" t="s">
        <v>500</v>
      </c>
      <c r="D763" s="180" t="s">
        <v>500</v>
      </c>
      <c r="E763" s="78">
        <f>SUBTOTAL(109,school200001[Program
Costs])</f>
        <v>306231013</v>
      </c>
      <c r="F763" s="78">
        <f>SUBTOTAL(109,school200001[Less: Net Payments and Offsets 10])</f>
        <v>302749655</v>
      </c>
      <c r="G763" s="74" t="s">
        <v>500</v>
      </c>
      <c r="H763" s="78">
        <f>SUBTOTAL(109,school200001[Accounts Payable
Balance])</f>
        <v>3481358</v>
      </c>
      <c r="I763" s="78">
        <f>SUBTOTAL(109,school200001[Established
Accounts Receivable])</f>
        <v>21213288</v>
      </c>
      <c r="J763" s="78">
        <f>SUBTOTAL(109,school200001[Less: Recovered Amount])</f>
        <v>21091402</v>
      </c>
      <c r="K763" s="78">
        <f>SUBTOTAL(109,school200001[Accounts Receivable
Balance])</f>
        <v>121886</v>
      </c>
      <c r="L763" s="78">
        <f>SUBTOTAL(109,school200001[Net
Balance])</f>
        <v>3359472</v>
      </c>
    </row>
    <row r="764" spans="1:12" s="244" customFormat="1" ht="15.6" customHeight="1" outlineLevel="2" x14ac:dyDescent="0.2">
      <c r="A764" s="214" t="s">
        <v>508</v>
      </c>
      <c r="B764" s="196"/>
      <c r="C764" s="3"/>
      <c r="D764" s="40"/>
      <c r="E764" s="146"/>
      <c r="F764" s="146"/>
      <c r="G764" s="146"/>
      <c r="H764" s="146"/>
      <c r="I764" s="146"/>
      <c r="J764" s="146"/>
      <c r="K764" s="146"/>
      <c r="L764" s="146"/>
    </row>
    <row r="765" spans="1:12" ht="50.1" customHeight="1" outlineLevel="1" x14ac:dyDescent="0.25">
      <c r="A765" s="204" t="s">
        <v>98</v>
      </c>
      <c r="B765" s="204" t="s">
        <v>99</v>
      </c>
      <c r="C765" s="176" t="s">
        <v>1</v>
      </c>
      <c r="D765" s="204" t="s">
        <v>195</v>
      </c>
      <c r="E765" s="238" t="s">
        <v>188</v>
      </c>
      <c r="F765" s="239" t="s">
        <v>533</v>
      </c>
      <c r="G765" s="212" t="s">
        <v>532</v>
      </c>
      <c r="H765" s="210" t="s">
        <v>528</v>
      </c>
      <c r="I765" s="210" t="s">
        <v>529</v>
      </c>
      <c r="J765" s="238" t="s">
        <v>197</v>
      </c>
      <c r="K765" s="210" t="s">
        <v>530</v>
      </c>
      <c r="L765" s="238" t="s">
        <v>196</v>
      </c>
    </row>
    <row r="766" spans="1:12" ht="30.75" outlineLevel="2" x14ac:dyDescent="0.25">
      <c r="A766" s="40" t="s">
        <v>284</v>
      </c>
      <c r="B766" s="196" t="s">
        <v>340</v>
      </c>
      <c r="C766" s="3" t="s">
        <v>335</v>
      </c>
      <c r="D766" s="40">
        <v>348</v>
      </c>
      <c r="E766" s="146">
        <v>35228511</v>
      </c>
      <c r="F766" s="146">
        <v>32753841</v>
      </c>
      <c r="G766" s="213" t="s">
        <v>500</v>
      </c>
      <c r="H766" s="146">
        <v>2474670</v>
      </c>
      <c r="I766" s="215">
        <v>0</v>
      </c>
      <c r="J766" s="215">
        <v>0</v>
      </c>
      <c r="K766" s="215">
        <v>0</v>
      </c>
      <c r="L766" s="146">
        <v>2474670</v>
      </c>
    </row>
    <row r="767" spans="1:12" outlineLevel="2" x14ac:dyDescent="0.25">
      <c r="A767" s="40" t="s">
        <v>284</v>
      </c>
      <c r="B767" s="196" t="s">
        <v>389</v>
      </c>
      <c r="C767" s="3" t="s">
        <v>310</v>
      </c>
      <c r="D767" s="40">
        <v>140</v>
      </c>
      <c r="E767" s="146">
        <v>3780229</v>
      </c>
      <c r="F767" s="146">
        <v>3780229</v>
      </c>
      <c r="G767" s="213" t="s">
        <v>500</v>
      </c>
      <c r="H767" s="215">
        <v>0</v>
      </c>
      <c r="I767" s="146">
        <v>66628</v>
      </c>
      <c r="J767" s="146">
        <v>64889</v>
      </c>
      <c r="K767" s="146">
        <v>1739</v>
      </c>
      <c r="L767" s="146">
        <v>-1739</v>
      </c>
    </row>
    <row r="768" spans="1:12" ht="30.75" outlineLevel="2" x14ac:dyDescent="0.25">
      <c r="A768" s="40" t="s">
        <v>284</v>
      </c>
      <c r="B768" s="196" t="s">
        <v>115</v>
      </c>
      <c r="C768" s="3" t="s">
        <v>116</v>
      </c>
      <c r="D768" s="40">
        <v>11</v>
      </c>
      <c r="E768" s="146">
        <v>43276594</v>
      </c>
      <c r="F768" s="146">
        <v>43276594</v>
      </c>
      <c r="G768" s="213" t="s">
        <v>500</v>
      </c>
      <c r="H768" s="215">
        <v>0</v>
      </c>
      <c r="I768" s="146">
        <v>5245736</v>
      </c>
      <c r="J768" s="146">
        <v>5240272</v>
      </c>
      <c r="K768" s="146">
        <v>5464</v>
      </c>
      <c r="L768" s="146">
        <v>-5464</v>
      </c>
    </row>
    <row r="769" spans="1:12" outlineLevel="2" x14ac:dyDescent="0.25">
      <c r="A769" s="40" t="s">
        <v>284</v>
      </c>
      <c r="B769" s="196" t="s">
        <v>363</v>
      </c>
      <c r="C769" s="3" t="s">
        <v>126</v>
      </c>
      <c r="D769" s="40">
        <v>26</v>
      </c>
      <c r="E769" s="146">
        <v>7457120</v>
      </c>
      <c r="F769" s="146">
        <v>7457120</v>
      </c>
      <c r="G769" s="213" t="s">
        <v>500</v>
      </c>
      <c r="H769" s="215">
        <v>0</v>
      </c>
      <c r="I769" s="146">
        <v>1014331</v>
      </c>
      <c r="J769" s="146">
        <v>983829</v>
      </c>
      <c r="K769" s="146">
        <v>30502</v>
      </c>
      <c r="L769" s="146">
        <v>-30502</v>
      </c>
    </row>
    <row r="770" spans="1:12" ht="30.75" outlineLevel="2" x14ac:dyDescent="0.25">
      <c r="A770" s="40" t="s">
        <v>284</v>
      </c>
      <c r="B770" s="196" t="s">
        <v>386</v>
      </c>
      <c r="C770" s="3" t="s">
        <v>126</v>
      </c>
      <c r="D770" s="40">
        <v>295</v>
      </c>
      <c r="E770" s="146">
        <v>136367742</v>
      </c>
      <c r="F770" s="146">
        <v>135960581</v>
      </c>
      <c r="G770" s="213" t="s">
        <v>500</v>
      </c>
      <c r="H770" s="146">
        <v>407161</v>
      </c>
      <c r="I770" s="215">
        <v>0</v>
      </c>
      <c r="J770" s="215">
        <v>0</v>
      </c>
      <c r="K770" s="215">
        <v>0</v>
      </c>
      <c r="L770" s="146">
        <v>407161</v>
      </c>
    </row>
    <row r="771" spans="1:12" outlineLevel="2" x14ac:dyDescent="0.25">
      <c r="A771" s="40" t="s">
        <v>284</v>
      </c>
      <c r="B771" s="196" t="s">
        <v>219</v>
      </c>
      <c r="C771" s="3" t="s">
        <v>220</v>
      </c>
      <c r="D771" s="40">
        <v>42</v>
      </c>
      <c r="E771" s="146">
        <v>14287192</v>
      </c>
      <c r="F771" s="146">
        <v>14287192</v>
      </c>
      <c r="G771" s="213" t="s">
        <v>500</v>
      </c>
      <c r="H771" s="215">
        <v>0</v>
      </c>
      <c r="I771" s="146">
        <v>111664</v>
      </c>
      <c r="J771" s="146">
        <v>111537</v>
      </c>
      <c r="K771" s="146">
        <v>127</v>
      </c>
      <c r="L771" s="146">
        <v>-127</v>
      </c>
    </row>
    <row r="772" spans="1:12" outlineLevel="1" x14ac:dyDescent="0.25">
      <c r="A772" s="40" t="s">
        <v>284</v>
      </c>
      <c r="B772" s="196" t="s">
        <v>289</v>
      </c>
      <c r="C772" s="3" t="s">
        <v>211</v>
      </c>
      <c r="D772" s="40">
        <v>92</v>
      </c>
      <c r="E772" s="146">
        <v>4416671</v>
      </c>
      <c r="F772" s="146">
        <v>4416671</v>
      </c>
      <c r="G772" s="213" t="s">
        <v>500</v>
      </c>
      <c r="H772" s="215">
        <v>0</v>
      </c>
      <c r="I772" s="146">
        <v>67236</v>
      </c>
      <c r="J772" s="146">
        <v>67019</v>
      </c>
      <c r="K772" s="146">
        <v>217</v>
      </c>
      <c r="L772" s="146">
        <v>-217</v>
      </c>
    </row>
    <row r="773" spans="1:12" outlineLevel="2" x14ac:dyDescent="0.25">
      <c r="A773" s="40" t="s">
        <v>284</v>
      </c>
      <c r="B773" s="196" t="s">
        <v>210</v>
      </c>
      <c r="C773" s="3" t="s">
        <v>211</v>
      </c>
      <c r="D773" s="40">
        <v>218</v>
      </c>
      <c r="E773" s="146">
        <v>222400</v>
      </c>
      <c r="F773" s="146">
        <v>219969</v>
      </c>
      <c r="G773" s="213" t="s">
        <v>500</v>
      </c>
      <c r="H773" s="146">
        <v>2431</v>
      </c>
      <c r="I773" s="215">
        <v>0</v>
      </c>
      <c r="J773" s="215">
        <v>0</v>
      </c>
      <c r="K773" s="215">
        <v>0</v>
      </c>
      <c r="L773" s="146">
        <v>2431</v>
      </c>
    </row>
    <row r="774" spans="1:12" outlineLevel="2" x14ac:dyDescent="0.25">
      <c r="A774" s="40" t="s">
        <v>284</v>
      </c>
      <c r="B774" s="196" t="s">
        <v>400</v>
      </c>
      <c r="C774" s="3" t="s">
        <v>399</v>
      </c>
      <c r="D774" s="40">
        <v>137</v>
      </c>
      <c r="E774" s="146">
        <v>242</v>
      </c>
      <c r="F774" s="146">
        <v>242</v>
      </c>
      <c r="G774" s="213" t="s">
        <v>500</v>
      </c>
      <c r="H774" s="215">
        <v>0</v>
      </c>
      <c r="I774" s="146">
        <v>5578</v>
      </c>
      <c r="J774" s="146">
        <v>5336</v>
      </c>
      <c r="K774" s="146">
        <v>242</v>
      </c>
      <c r="L774" s="146">
        <v>-242</v>
      </c>
    </row>
    <row r="775" spans="1:12" outlineLevel="2" x14ac:dyDescent="0.25">
      <c r="A775" s="40" t="s">
        <v>284</v>
      </c>
      <c r="B775" s="196" t="s">
        <v>398</v>
      </c>
      <c r="C775" s="3" t="s">
        <v>399</v>
      </c>
      <c r="D775" s="40">
        <v>184</v>
      </c>
      <c r="E775" s="146">
        <v>3567570</v>
      </c>
      <c r="F775" s="146">
        <v>3567570</v>
      </c>
      <c r="G775" s="213" t="s">
        <v>500</v>
      </c>
      <c r="H775" s="215">
        <v>0</v>
      </c>
      <c r="I775" s="146">
        <v>21765</v>
      </c>
      <c r="J775" s="146">
        <v>21752</v>
      </c>
      <c r="K775" s="146">
        <v>13</v>
      </c>
      <c r="L775" s="146">
        <v>-13</v>
      </c>
    </row>
    <row r="776" spans="1:12" outlineLevel="2" x14ac:dyDescent="0.25">
      <c r="A776" s="243" t="s">
        <v>284</v>
      </c>
      <c r="B776" s="196" t="s">
        <v>387</v>
      </c>
      <c r="C776" s="3" t="s">
        <v>360</v>
      </c>
      <c r="D776" s="40">
        <v>208</v>
      </c>
      <c r="E776" s="146">
        <v>23284241</v>
      </c>
      <c r="F776" s="146">
        <v>23249938</v>
      </c>
      <c r="G776" s="213" t="s">
        <v>500</v>
      </c>
      <c r="H776" s="146">
        <v>34303</v>
      </c>
      <c r="I776" s="146">
        <v>1272821</v>
      </c>
      <c r="J776" s="146">
        <v>1272821</v>
      </c>
      <c r="K776" s="146">
        <v>0</v>
      </c>
      <c r="L776" s="146">
        <v>34303</v>
      </c>
    </row>
    <row r="777" spans="1:12" outlineLevel="2" x14ac:dyDescent="0.25">
      <c r="A777" s="241" t="s">
        <v>287</v>
      </c>
      <c r="B777" s="184" t="s">
        <v>500</v>
      </c>
      <c r="C777" s="74" t="s">
        <v>500</v>
      </c>
      <c r="D777" s="180" t="s">
        <v>500</v>
      </c>
      <c r="E777" s="78">
        <f>SUBTOTAL(109,school199900[Program
Costs])</f>
        <v>271888512</v>
      </c>
      <c r="F777" s="78">
        <f>SUBTOTAL(109,school199900[Less: Net Payments and Offsets 10])</f>
        <v>268969947</v>
      </c>
      <c r="G777" s="74" t="s">
        <v>500</v>
      </c>
      <c r="H777" s="78">
        <f>SUBTOTAL(109,school199900[Accounts Payable
Balance])</f>
        <v>2918565</v>
      </c>
      <c r="I777" s="78">
        <f>SUBTOTAL(109,school199900[Established
Accounts Receivable])</f>
        <v>7805759</v>
      </c>
      <c r="J777" s="78">
        <f>SUBTOTAL(109,school199900[Less: Recovered Amount])</f>
        <v>7767455</v>
      </c>
      <c r="K777" s="78">
        <f>SUBTOTAL(109,school199900[Accounts Receivable
Balance])</f>
        <v>38304</v>
      </c>
      <c r="L777" s="78">
        <f>SUBTOTAL(109,school199900[Net
Balance])</f>
        <v>2880261</v>
      </c>
    </row>
    <row r="778" spans="1:12" s="244" customFormat="1" ht="15" outlineLevel="2" x14ac:dyDescent="0.2">
      <c r="A778" s="214" t="s">
        <v>508</v>
      </c>
      <c r="B778" s="196"/>
      <c r="C778" s="3"/>
      <c r="D778" s="40"/>
      <c r="E778" s="146"/>
      <c r="F778" s="146"/>
      <c r="G778" s="146"/>
      <c r="H778" s="146"/>
      <c r="I778" s="146"/>
      <c r="J778" s="146"/>
      <c r="K778" s="146"/>
      <c r="L778" s="146"/>
    </row>
    <row r="779" spans="1:12" ht="50.1" customHeight="1" outlineLevel="1" x14ac:dyDescent="0.25">
      <c r="A779" s="204" t="s">
        <v>98</v>
      </c>
      <c r="B779" s="204" t="s">
        <v>99</v>
      </c>
      <c r="C779" s="176" t="s">
        <v>1</v>
      </c>
      <c r="D779" s="204" t="s">
        <v>195</v>
      </c>
      <c r="E779" s="238" t="s">
        <v>188</v>
      </c>
      <c r="F779" s="239" t="s">
        <v>533</v>
      </c>
      <c r="G779" s="212" t="s">
        <v>532</v>
      </c>
      <c r="H779" s="210" t="s">
        <v>528</v>
      </c>
      <c r="I779" s="210" t="s">
        <v>529</v>
      </c>
      <c r="J779" s="238" t="s">
        <v>197</v>
      </c>
      <c r="K779" s="210" t="s">
        <v>530</v>
      </c>
      <c r="L779" s="238" t="s">
        <v>196</v>
      </c>
    </row>
    <row r="780" spans="1:12" ht="30.75" outlineLevel="2" x14ac:dyDescent="0.25">
      <c r="A780" s="40" t="s">
        <v>288</v>
      </c>
      <c r="B780" s="196" t="s">
        <v>340</v>
      </c>
      <c r="C780" s="3" t="s">
        <v>335</v>
      </c>
      <c r="D780" s="40">
        <v>348</v>
      </c>
      <c r="E780" s="146">
        <v>33439820</v>
      </c>
      <c r="F780" s="146">
        <v>31066839</v>
      </c>
      <c r="G780" s="213" t="s">
        <v>500</v>
      </c>
      <c r="H780" s="146">
        <v>2372981</v>
      </c>
      <c r="I780" s="215">
        <v>0</v>
      </c>
      <c r="J780" s="215">
        <v>0</v>
      </c>
      <c r="K780" s="215">
        <v>0</v>
      </c>
      <c r="L780" s="146">
        <v>2372981</v>
      </c>
    </row>
    <row r="781" spans="1:12" ht="30.75" outlineLevel="2" x14ac:dyDescent="0.25">
      <c r="A781" s="40" t="s">
        <v>288</v>
      </c>
      <c r="B781" s="196" t="s">
        <v>115</v>
      </c>
      <c r="C781" s="3" t="s">
        <v>116</v>
      </c>
      <c r="D781" s="40">
        <v>11</v>
      </c>
      <c r="E781" s="146">
        <v>44841220</v>
      </c>
      <c r="F781" s="146">
        <v>44841220</v>
      </c>
      <c r="G781" s="213" t="s">
        <v>500</v>
      </c>
      <c r="H781" s="215">
        <v>0</v>
      </c>
      <c r="I781" s="146">
        <v>4763751</v>
      </c>
      <c r="J781" s="146">
        <v>4753555</v>
      </c>
      <c r="K781" s="146">
        <v>10196</v>
      </c>
      <c r="L781" s="146">
        <v>-10196</v>
      </c>
    </row>
    <row r="782" spans="1:12" ht="30.75" outlineLevel="2" x14ac:dyDescent="0.25">
      <c r="A782" s="40" t="s">
        <v>288</v>
      </c>
      <c r="B782" s="196" t="s">
        <v>386</v>
      </c>
      <c r="C782" s="3" t="s">
        <v>126</v>
      </c>
      <c r="D782" s="40">
        <v>295</v>
      </c>
      <c r="E782" s="146">
        <v>113120944</v>
      </c>
      <c r="F782" s="146">
        <v>113117899</v>
      </c>
      <c r="G782" s="213" t="s">
        <v>500</v>
      </c>
      <c r="H782" s="146">
        <v>3045</v>
      </c>
      <c r="I782" s="215">
        <v>0</v>
      </c>
      <c r="J782" s="215">
        <v>0</v>
      </c>
      <c r="K782" s="215">
        <v>0</v>
      </c>
      <c r="L782" s="146">
        <v>3045</v>
      </c>
    </row>
    <row r="783" spans="1:12" outlineLevel="2" x14ac:dyDescent="0.25">
      <c r="A783" s="40" t="s">
        <v>288</v>
      </c>
      <c r="B783" s="196" t="s">
        <v>219</v>
      </c>
      <c r="C783" s="3" t="s">
        <v>220</v>
      </c>
      <c r="D783" s="40">
        <v>42</v>
      </c>
      <c r="E783" s="146">
        <v>11713000</v>
      </c>
      <c r="F783" s="146">
        <v>11713000</v>
      </c>
      <c r="G783" s="213" t="s">
        <v>500</v>
      </c>
      <c r="H783" s="215">
        <v>0</v>
      </c>
      <c r="I783" s="146">
        <v>1237169</v>
      </c>
      <c r="J783" s="146">
        <v>1236569</v>
      </c>
      <c r="K783" s="146">
        <v>600</v>
      </c>
      <c r="L783" s="146">
        <v>-600</v>
      </c>
    </row>
    <row r="784" spans="1:12" outlineLevel="2" x14ac:dyDescent="0.25">
      <c r="A784" s="40" t="s">
        <v>288</v>
      </c>
      <c r="B784" s="196" t="s">
        <v>148</v>
      </c>
      <c r="C784" s="3" t="s">
        <v>149</v>
      </c>
      <c r="D784" s="40">
        <v>244</v>
      </c>
      <c r="E784" s="146">
        <v>860408</v>
      </c>
      <c r="F784" s="146">
        <v>860408</v>
      </c>
      <c r="G784" s="213" t="s">
        <v>500</v>
      </c>
      <c r="H784" s="215">
        <v>0</v>
      </c>
      <c r="I784" s="146">
        <v>3186168</v>
      </c>
      <c r="J784" s="146">
        <v>1861377</v>
      </c>
      <c r="K784" s="146">
        <v>1324791</v>
      </c>
      <c r="L784" s="146">
        <v>-1324791</v>
      </c>
    </row>
    <row r="785" spans="1:12" outlineLevel="2" x14ac:dyDescent="0.25">
      <c r="A785" s="243" t="s">
        <v>288</v>
      </c>
      <c r="B785" s="196" t="s">
        <v>150</v>
      </c>
      <c r="C785" s="3" t="s">
        <v>151</v>
      </c>
      <c r="D785" s="40">
        <v>171</v>
      </c>
      <c r="E785" s="146">
        <v>2804864</v>
      </c>
      <c r="F785" s="146">
        <v>2804864</v>
      </c>
      <c r="G785" s="213" t="s">
        <v>500</v>
      </c>
      <c r="H785" s="215">
        <v>0</v>
      </c>
      <c r="I785" s="146">
        <v>484721</v>
      </c>
      <c r="J785" s="146">
        <v>484421</v>
      </c>
      <c r="K785" s="146">
        <v>300</v>
      </c>
      <c r="L785" s="146">
        <v>-300</v>
      </c>
    </row>
    <row r="786" spans="1:12" outlineLevel="2" x14ac:dyDescent="0.25">
      <c r="A786" s="241" t="s">
        <v>292</v>
      </c>
      <c r="B786" s="184" t="s">
        <v>500</v>
      </c>
      <c r="C786" s="74" t="s">
        <v>500</v>
      </c>
      <c r="D786" s="180" t="s">
        <v>500</v>
      </c>
      <c r="E786" s="78">
        <f>SUBTOTAL(109,school199899[Program
Costs])</f>
        <v>206780256</v>
      </c>
      <c r="F786" s="78">
        <f>SUBTOTAL(109,school199899[Less: Net Payments and Offsets 10])</f>
        <v>204404230</v>
      </c>
      <c r="G786" s="74" t="s">
        <v>500</v>
      </c>
      <c r="H786" s="78">
        <f>SUBTOTAL(109,school199899[Accounts Payable
Balance])</f>
        <v>2376026</v>
      </c>
      <c r="I786" s="78">
        <f>SUBTOTAL(109,school199899[Established
Accounts Receivable])</f>
        <v>9671809</v>
      </c>
      <c r="J786" s="78">
        <f>SUBTOTAL(109,school199899[Less: Recovered Amount])</f>
        <v>8335922</v>
      </c>
      <c r="K786" s="78">
        <f>SUBTOTAL(109,school199899[Accounts Receivable
Balance])</f>
        <v>1335887</v>
      </c>
      <c r="L786" s="78">
        <f>SUBTOTAL(109,school199899[Net
Balance])</f>
        <v>1040139</v>
      </c>
    </row>
    <row r="787" spans="1:12" s="244" customFormat="1" ht="15" outlineLevel="2" x14ac:dyDescent="0.2">
      <c r="A787" s="214" t="s">
        <v>508</v>
      </c>
      <c r="B787" s="196"/>
      <c r="C787" s="3"/>
      <c r="D787" s="40"/>
      <c r="E787" s="146"/>
      <c r="F787" s="146"/>
      <c r="G787" s="146"/>
      <c r="H787" s="146"/>
      <c r="I787" s="146"/>
      <c r="J787" s="146"/>
      <c r="K787" s="146"/>
      <c r="L787" s="146"/>
    </row>
    <row r="788" spans="1:12" ht="50.1" customHeight="1" outlineLevel="2" x14ac:dyDescent="0.25">
      <c r="A788" s="204" t="s">
        <v>98</v>
      </c>
      <c r="B788" s="204" t="s">
        <v>99</v>
      </c>
      <c r="C788" s="176" t="s">
        <v>1</v>
      </c>
      <c r="D788" s="204" t="s">
        <v>195</v>
      </c>
      <c r="E788" s="238" t="s">
        <v>188</v>
      </c>
      <c r="F788" s="239" t="s">
        <v>533</v>
      </c>
      <c r="G788" s="212" t="s">
        <v>532</v>
      </c>
      <c r="H788" s="210" t="s">
        <v>528</v>
      </c>
      <c r="I788" s="210" t="s">
        <v>529</v>
      </c>
      <c r="J788" s="238" t="s">
        <v>197</v>
      </c>
      <c r="K788" s="210" t="s">
        <v>530</v>
      </c>
      <c r="L788" s="238" t="s">
        <v>196</v>
      </c>
    </row>
    <row r="789" spans="1:12" ht="30.75" outlineLevel="1" x14ac:dyDescent="0.25">
      <c r="A789" s="40" t="s">
        <v>293</v>
      </c>
      <c r="B789" s="196" t="s">
        <v>340</v>
      </c>
      <c r="C789" s="3" t="s">
        <v>335</v>
      </c>
      <c r="D789" s="40">
        <v>348</v>
      </c>
      <c r="E789" s="146">
        <v>32997398</v>
      </c>
      <c r="F789" s="146">
        <v>30671594</v>
      </c>
      <c r="G789" s="213" t="s">
        <v>500</v>
      </c>
      <c r="H789" s="146">
        <v>2325804</v>
      </c>
      <c r="I789" s="215">
        <v>0</v>
      </c>
      <c r="J789" s="215">
        <v>0</v>
      </c>
      <c r="K789" s="215">
        <v>0</v>
      </c>
      <c r="L789" s="146">
        <v>2325804</v>
      </c>
    </row>
    <row r="790" spans="1:12" ht="30.75" outlineLevel="2" x14ac:dyDescent="0.25">
      <c r="A790" s="40" t="s">
        <v>293</v>
      </c>
      <c r="B790" s="196" t="s">
        <v>115</v>
      </c>
      <c r="C790" s="3" t="s">
        <v>116</v>
      </c>
      <c r="D790" s="40">
        <v>11</v>
      </c>
      <c r="E790" s="146">
        <v>36462408</v>
      </c>
      <c r="F790" s="146">
        <v>36462408</v>
      </c>
      <c r="G790" s="213" t="s">
        <v>500</v>
      </c>
      <c r="H790" s="215">
        <v>0</v>
      </c>
      <c r="I790" s="146">
        <v>6956351</v>
      </c>
      <c r="J790" s="146">
        <v>6947061</v>
      </c>
      <c r="K790" s="146">
        <v>9290</v>
      </c>
      <c r="L790" s="146">
        <v>-9290</v>
      </c>
    </row>
    <row r="791" spans="1:12" ht="30.75" outlineLevel="2" x14ac:dyDescent="0.25">
      <c r="A791" s="40" t="s">
        <v>293</v>
      </c>
      <c r="B791" s="196" t="s">
        <v>390</v>
      </c>
      <c r="C791" s="3" t="s">
        <v>380</v>
      </c>
      <c r="D791" s="40">
        <v>75</v>
      </c>
      <c r="E791" s="146">
        <v>21038713</v>
      </c>
      <c r="F791" s="146">
        <v>21038713</v>
      </c>
      <c r="G791" s="213" t="s">
        <v>500</v>
      </c>
      <c r="H791" s="215">
        <v>0</v>
      </c>
      <c r="I791" s="146">
        <v>1479796</v>
      </c>
      <c r="J791" s="146">
        <v>1479331</v>
      </c>
      <c r="K791" s="146">
        <v>465</v>
      </c>
      <c r="L791" s="146">
        <v>-465</v>
      </c>
    </row>
    <row r="792" spans="1:12" ht="15" customHeight="1" outlineLevel="2" x14ac:dyDescent="0.25">
      <c r="A792" s="40" t="s">
        <v>293</v>
      </c>
      <c r="B792" s="196" t="s">
        <v>320</v>
      </c>
      <c r="C792" s="3" t="s">
        <v>321</v>
      </c>
      <c r="D792" s="40">
        <v>148</v>
      </c>
      <c r="E792" s="146">
        <v>1779879</v>
      </c>
      <c r="F792" s="146">
        <v>1779879</v>
      </c>
      <c r="G792" s="213" t="s">
        <v>500</v>
      </c>
      <c r="H792" s="215">
        <v>0</v>
      </c>
      <c r="I792" s="146">
        <v>249145</v>
      </c>
      <c r="J792" s="146">
        <v>248887</v>
      </c>
      <c r="K792" s="146">
        <v>258</v>
      </c>
      <c r="L792" s="146">
        <v>-258</v>
      </c>
    </row>
    <row r="793" spans="1:12" ht="30.75" outlineLevel="2" x14ac:dyDescent="0.25">
      <c r="A793" s="40" t="s">
        <v>293</v>
      </c>
      <c r="B793" s="196" t="s">
        <v>401</v>
      </c>
      <c r="C793" s="3" t="s">
        <v>321</v>
      </c>
      <c r="D793" s="40">
        <v>149</v>
      </c>
      <c r="E793" s="146">
        <v>1091525</v>
      </c>
      <c r="F793" s="146">
        <v>1091525</v>
      </c>
      <c r="G793" s="213" t="s">
        <v>500</v>
      </c>
      <c r="H793" s="215">
        <v>0</v>
      </c>
      <c r="I793" s="146">
        <v>437671</v>
      </c>
      <c r="J793" s="146">
        <v>436936</v>
      </c>
      <c r="K793" s="146">
        <v>735</v>
      </c>
      <c r="L793" s="146">
        <v>-735</v>
      </c>
    </row>
    <row r="794" spans="1:12" outlineLevel="1" x14ac:dyDescent="0.25">
      <c r="A794" s="243" t="s">
        <v>293</v>
      </c>
      <c r="B794" s="196" t="s">
        <v>289</v>
      </c>
      <c r="C794" s="3" t="s">
        <v>211</v>
      </c>
      <c r="D794" s="40">
        <v>92</v>
      </c>
      <c r="E794" s="146">
        <v>3396990</v>
      </c>
      <c r="F794" s="146">
        <v>3396990</v>
      </c>
      <c r="G794" s="213" t="s">
        <v>500</v>
      </c>
      <c r="H794" s="215">
        <v>0</v>
      </c>
      <c r="I794" s="146">
        <v>223087</v>
      </c>
      <c r="J794" s="146">
        <v>220400</v>
      </c>
      <c r="K794" s="146">
        <v>2687</v>
      </c>
      <c r="L794" s="146">
        <v>-2687</v>
      </c>
    </row>
    <row r="795" spans="1:12" outlineLevel="1" x14ac:dyDescent="0.25">
      <c r="A795" s="241" t="s">
        <v>294</v>
      </c>
      <c r="B795" s="184" t="s">
        <v>500</v>
      </c>
      <c r="C795" s="74" t="s">
        <v>500</v>
      </c>
      <c r="D795" s="180" t="s">
        <v>500</v>
      </c>
      <c r="E795" s="78">
        <f>SUBTOTAL(109,school199798[Program
Costs])</f>
        <v>96766913</v>
      </c>
      <c r="F795" s="78">
        <f>SUBTOTAL(109,school199798[Less: Net Payments and Offsets 10])</f>
        <v>94441109</v>
      </c>
      <c r="G795" s="74" t="s">
        <v>500</v>
      </c>
      <c r="H795" s="78">
        <f>SUBTOTAL(109,school199798[Accounts Payable
Balance])</f>
        <v>2325804</v>
      </c>
      <c r="I795" s="78">
        <f>SUBTOTAL(109,school199798[Established
Accounts Receivable])</f>
        <v>9346050</v>
      </c>
      <c r="J795" s="78">
        <f>SUBTOTAL(109,school199798[Less: Recovered Amount])</f>
        <v>9332615</v>
      </c>
      <c r="K795" s="78">
        <f>SUBTOTAL(109,school199798[Accounts Receivable
Balance])</f>
        <v>13435</v>
      </c>
      <c r="L795" s="78">
        <f>SUBTOTAL(109,school199798[Net
Balance])</f>
        <v>2312369</v>
      </c>
    </row>
    <row r="796" spans="1:12" s="244" customFormat="1" ht="15" outlineLevel="2" x14ac:dyDescent="0.2">
      <c r="A796" s="214" t="s">
        <v>508</v>
      </c>
      <c r="B796" s="196"/>
      <c r="C796" s="3"/>
      <c r="D796" s="40"/>
      <c r="E796" s="146"/>
      <c r="F796" s="146"/>
      <c r="G796" s="146"/>
      <c r="H796" s="146"/>
      <c r="I796" s="146"/>
      <c r="J796" s="146"/>
      <c r="K796" s="146"/>
      <c r="L796" s="146"/>
    </row>
    <row r="797" spans="1:12" ht="50.1" customHeight="1" outlineLevel="2" x14ac:dyDescent="0.25">
      <c r="A797" s="204" t="s">
        <v>98</v>
      </c>
      <c r="B797" s="204" t="s">
        <v>99</v>
      </c>
      <c r="C797" s="176" t="s">
        <v>1</v>
      </c>
      <c r="D797" s="204" t="s">
        <v>195</v>
      </c>
      <c r="E797" s="238" t="s">
        <v>188</v>
      </c>
      <c r="F797" s="239" t="s">
        <v>533</v>
      </c>
      <c r="G797" s="212" t="s">
        <v>532</v>
      </c>
      <c r="H797" s="210" t="s">
        <v>528</v>
      </c>
      <c r="I797" s="210" t="s">
        <v>529</v>
      </c>
      <c r="J797" s="238" t="s">
        <v>197</v>
      </c>
      <c r="K797" s="210" t="s">
        <v>530</v>
      </c>
      <c r="L797" s="238" t="s">
        <v>196</v>
      </c>
    </row>
    <row r="798" spans="1:12" ht="30.75" outlineLevel="2" x14ac:dyDescent="0.25">
      <c r="A798" s="40" t="s">
        <v>295</v>
      </c>
      <c r="B798" s="196" t="s">
        <v>340</v>
      </c>
      <c r="C798" s="3" t="s">
        <v>335</v>
      </c>
      <c r="D798" s="40">
        <v>348</v>
      </c>
      <c r="E798" s="146">
        <v>31728592</v>
      </c>
      <c r="F798" s="146">
        <v>29479003</v>
      </c>
      <c r="G798" s="213" t="s">
        <v>500</v>
      </c>
      <c r="H798" s="146">
        <v>2249589</v>
      </c>
      <c r="I798" s="215">
        <v>0</v>
      </c>
      <c r="J798" s="215">
        <v>0</v>
      </c>
      <c r="K798" s="215">
        <v>0</v>
      </c>
      <c r="L798" s="146">
        <v>2249589</v>
      </c>
    </row>
    <row r="799" spans="1:12" ht="30.75" outlineLevel="2" x14ac:dyDescent="0.25">
      <c r="A799" s="40" t="s">
        <v>295</v>
      </c>
      <c r="B799" s="196" t="s">
        <v>115</v>
      </c>
      <c r="C799" s="3" t="s">
        <v>116</v>
      </c>
      <c r="D799" s="40">
        <v>11</v>
      </c>
      <c r="E799" s="146">
        <v>35731370</v>
      </c>
      <c r="F799" s="146">
        <v>35731370</v>
      </c>
      <c r="G799" s="213" t="s">
        <v>500</v>
      </c>
      <c r="H799" s="215">
        <v>0</v>
      </c>
      <c r="I799" s="146">
        <v>8222200</v>
      </c>
      <c r="J799" s="146">
        <v>8207235</v>
      </c>
      <c r="K799" s="146">
        <v>14965</v>
      </c>
      <c r="L799" s="146">
        <v>-14965</v>
      </c>
    </row>
    <row r="800" spans="1:12" outlineLevel="1" x14ac:dyDescent="0.25">
      <c r="A800" s="40" t="s">
        <v>295</v>
      </c>
      <c r="B800" s="196" t="s">
        <v>289</v>
      </c>
      <c r="C800" s="3" t="s">
        <v>211</v>
      </c>
      <c r="D800" s="40">
        <v>92</v>
      </c>
      <c r="E800" s="146">
        <v>2713598</v>
      </c>
      <c r="F800" s="146">
        <v>2713598</v>
      </c>
      <c r="G800" s="213" t="s">
        <v>500</v>
      </c>
      <c r="H800" s="215">
        <v>0</v>
      </c>
      <c r="I800" s="146">
        <v>217201</v>
      </c>
      <c r="J800" s="146">
        <v>217050</v>
      </c>
      <c r="K800" s="146">
        <v>151</v>
      </c>
      <c r="L800" s="146">
        <v>-151</v>
      </c>
    </row>
    <row r="801" spans="1:12" ht="30.75" outlineLevel="2" x14ac:dyDescent="0.25">
      <c r="A801" s="243" t="s">
        <v>295</v>
      </c>
      <c r="B801" s="196" t="s">
        <v>392</v>
      </c>
      <c r="C801" s="3" t="s">
        <v>393</v>
      </c>
      <c r="D801" s="40">
        <v>156</v>
      </c>
      <c r="E801" s="146">
        <v>5772216</v>
      </c>
      <c r="F801" s="146">
        <v>5772216</v>
      </c>
      <c r="G801" s="213" t="s">
        <v>500</v>
      </c>
      <c r="H801" s="215">
        <v>0</v>
      </c>
      <c r="I801" s="146">
        <v>136699</v>
      </c>
      <c r="J801" s="146">
        <v>136651</v>
      </c>
      <c r="K801" s="146">
        <v>48</v>
      </c>
      <c r="L801" s="146">
        <v>-48</v>
      </c>
    </row>
    <row r="802" spans="1:12" outlineLevel="2" x14ac:dyDescent="0.25">
      <c r="A802" s="40" t="s">
        <v>295</v>
      </c>
      <c r="B802" s="196" t="s">
        <v>354</v>
      </c>
      <c r="C802" s="3" t="s">
        <v>355</v>
      </c>
      <c r="D802" s="40">
        <v>58</v>
      </c>
      <c r="E802" s="146">
        <v>2051761</v>
      </c>
      <c r="F802" s="146">
        <v>2051761</v>
      </c>
      <c r="G802" s="213" t="s">
        <v>500</v>
      </c>
      <c r="H802" s="215">
        <v>0</v>
      </c>
      <c r="I802" s="146">
        <v>64789</v>
      </c>
      <c r="J802" s="146">
        <v>64485</v>
      </c>
      <c r="K802" s="146">
        <v>304</v>
      </c>
      <c r="L802" s="146">
        <v>-304</v>
      </c>
    </row>
    <row r="803" spans="1:12" outlineLevel="2" x14ac:dyDescent="0.25">
      <c r="A803" s="241" t="s">
        <v>296</v>
      </c>
      <c r="B803" s="184" t="s">
        <v>500</v>
      </c>
      <c r="C803" s="74" t="s">
        <v>500</v>
      </c>
      <c r="D803" s="180" t="s">
        <v>500</v>
      </c>
      <c r="E803" s="78">
        <f>SUBTOTAL(109,school199697[Program
Costs])</f>
        <v>77997537</v>
      </c>
      <c r="F803" s="78">
        <f>SUBTOTAL(109,school199697[Less: Net Payments and Offsets 10])</f>
        <v>75747948</v>
      </c>
      <c r="G803" s="74" t="s">
        <v>500</v>
      </c>
      <c r="H803" s="78">
        <f>SUBTOTAL(109,school199697[Accounts Payable
Balance])</f>
        <v>2249589</v>
      </c>
      <c r="I803" s="78">
        <f>SUBTOTAL(109,school199697[Established
Accounts Receivable])</f>
        <v>8640889</v>
      </c>
      <c r="J803" s="78">
        <f>SUBTOTAL(109,school199697[Less: Recovered Amount])</f>
        <v>8625421</v>
      </c>
      <c r="K803" s="78">
        <f>SUBTOTAL(109,school199697[Accounts Receivable
Balance])</f>
        <v>15468</v>
      </c>
      <c r="L803" s="78">
        <f>SUBTOTAL(109,school199697[Net
Balance])</f>
        <v>2234121</v>
      </c>
    </row>
    <row r="804" spans="1:12" s="244" customFormat="1" ht="15" outlineLevel="2" x14ac:dyDescent="0.2">
      <c r="A804" s="214" t="s">
        <v>508</v>
      </c>
      <c r="B804" s="196"/>
      <c r="C804" s="3"/>
      <c r="D804" s="40"/>
      <c r="E804" s="146"/>
      <c r="F804" s="146"/>
      <c r="G804" s="146"/>
      <c r="H804" s="146"/>
      <c r="I804" s="146"/>
      <c r="J804" s="146"/>
      <c r="K804" s="146"/>
      <c r="L804" s="146"/>
    </row>
    <row r="805" spans="1:12" ht="50.1" customHeight="1" outlineLevel="1" x14ac:dyDescent="0.25">
      <c r="A805" s="204" t="s">
        <v>98</v>
      </c>
      <c r="B805" s="204" t="s">
        <v>99</v>
      </c>
      <c r="C805" s="176" t="s">
        <v>1</v>
      </c>
      <c r="D805" s="204" t="s">
        <v>195</v>
      </c>
      <c r="E805" s="238" t="s">
        <v>188</v>
      </c>
      <c r="F805" s="239" t="s">
        <v>533</v>
      </c>
      <c r="G805" s="212" t="s">
        <v>532</v>
      </c>
      <c r="H805" s="210" t="s">
        <v>528</v>
      </c>
      <c r="I805" s="210" t="s">
        <v>529</v>
      </c>
      <c r="J805" s="238" t="s">
        <v>197</v>
      </c>
      <c r="K805" s="210" t="s">
        <v>530</v>
      </c>
      <c r="L805" s="238" t="s">
        <v>196</v>
      </c>
    </row>
    <row r="806" spans="1:12" outlineLevel="2" x14ac:dyDescent="0.25">
      <c r="A806" s="40" t="s">
        <v>297</v>
      </c>
      <c r="B806" s="196" t="s">
        <v>388</v>
      </c>
      <c r="C806" s="3" t="s">
        <v>102</v>
      </c>
      <c r="D806" s="40">
        <v>123</v>
      </c>
      <c r="E806" s="146">
        <v>2063016</v>
      </c>
      <c r="F806" s="146">
        <v>2063016</v>
      </c>
      <c r="G806" s="213" t="s">
        <v>500</v>
      </c>
      <c r="H806" s="215">
        <v>0</v>
      </c>
      <c r="I806" s="146">
        <v>691837</v>
      </c>
      <c r="J806" s="146">
        <v>691774</v>
      </c>
      <c r="K806" s="146">
        <v>63</v>
      </c>
      <c r="L806" s="146">
        <v>-63</v>
      </c>
    </row>
    <row r="807" spans="1:12" ht="30.75" outlineLevel="2" x14ac:dyDescent="0.25">
      <c r="A807" s="40" t="s">
        <v>297</v>
      </c>
      <c r="B807" s="196" t="s">
        <v>340</v>
      </c>
      <c r="C807" s="3" t="s">
        <v>335</v>
      </c>
      <c r="D807" s="40">
        <v>348</v>
      </c>
      <c r="E807" s="146">
        <v>30064772</v>
      </c>
      <c r="F807" s="146">
        <v>27948374</v>
      </c>
      <c r="G807" s="213" t="s">
        <v>500</v>
      </c>
      <c r="H807" s="146">
        <v>2116398</v>
      </c>
      <c r="I807" s="215">
        <v>0</v>
      </c>
      <c r="J807" s="215">
        <v>0</v>
      </c>
      <c r="K807" s="215">
        <v>0</v>
      </c>
      <c r="L807" s="146">
        <v>2116398</v>
      </c>
    </row>
    <row r="808" spans="1:12" ht="30.75" outlineLevel="1" x14ac:dyDescent="0.25">
      <c r="A808" s="40" t="s">
        <v>297</v>
      </c>
      <c r="B808" s="196" t="s">
        <v>115</v>
      </c>
      <c r="C808" s="3" t="s">
        <v>116</v>
      </c>
      <c r="D808" s="40">
        <v>11</v>
      </c>
      <c r="E808" s="146">
        <v>31593705</v>
      </c>
      <c r="F808" s="146">
        <v>31593705</v>
      </c>
      <c r="G808" s="213" t="s">
        <v>500</v>
      </c>
      <c r="H808" s="215">
        <v>0</v>
      </c>
      <c r="I808" s="146">
        <v>9201086</v>
      </c>
      <c r="J808" s="146">
        <v>9191407</v>
      </c>
      <c r="K808" s="146">
        <v>9679</v>
      </c>
      <c r="L808" s="146">
        <v>-9679</v>
      </c>
    </row>
    <row r="809" spans="1:12" outlineLevel="2" x14ac:dyDescent="0.25">
      <c r="A809" s="40" t="s">
        <v>297</v>
      </c>
      <c r="B809" s="196" t="s">
        <v>402</v>
      </c>
      <c r="C809" s="3" t="s">
        <v>403</v>
      </c>
      <c r="D809" s="40">
        <v>79</v>
      </c>
      <c r="E809" s="146">
        <v>2929406</v>
      </c>
      <c r="F809" s="146">
        <v>2929406</v>
      </c>
      <c r="G809" s="213" t="s">
        <v>500</v>
      </c>
      <c r="H809" s="215">
        <v>0</v>
      </c>
      <c r="I809" s="146">
        <v>60858</v>
      </c>
      <c r="J809" s="146">
        <v>60790</v>
      </c>
      <c r="K809" s="146">
        <v>68</v>
      </c>
      <c r="L809" s="146">
        <v>-68</v>
      </c>
    </row>
    <row r="810" spans="1:12" ht="30.75" outlineLevel="2" x14ac:dyDescent="0.25">
      <c r="A810" s="40" t="s">
        <v>297</v>
      </c>
      <c r="B810" s="196" t="s">
        <v>390</v>
      </c>
      <c r="C810" s="3" t="s">
        <v>380</v>
      </c>
      <c r="D810" s="40">
        <v>75</v>
      </c>
      <c r="E810" s="146">
        <v>7354211</v>
      </c>
      <c r="F810" s="146">
        <v>7354211</v>
      </c>
      <c r="G810" s="213" t="s">
        <v>500</v>
      </c>
      <c r="H810" s="215">
        <v>0</v>
      </c>
      <c r="I810" s="146">
        <v>62469</v>
      </c>
      <c r="J810" s="146">
        <v>62179</v>
      </c>
      <c r="K810" s="146">
        <v>290</v>
      </c>
      <c r="L810" s="146">
        <v>-290</v>
      </c>
    </row>
    <row r="811" spans="1:12" outlineLevel="1" x14ac:dyDescent="0.25">
      <c r="A811" s="40" t="s">
        <v>297</v>
      </c>
      <c r="B811" s="196" t="s">
        <v>289</v>
      </c>
      <c r="C811" s="3" t="s">
        <v>211</v>
      </c>
      <c r="D811" s="40">
        <v>92</v>
      </c>
      <c r="E811" s="146">
        <v>1774560</v>
      </c>
      <c r="F811" s="146">
        <v>1774560</v>
      </c>
      <c r="G811" s="213" t="s">
        <v>500</v>
      </c>
      <c r="H811" s="215">
        <v>0</v>
      </c>
      <c r="I811" s="146">
        <v>208523</v>
      </c>
      <c r="J811" s="146">
        <v>208225</v>
      </c>
      <c r="K811" s="146">
        <v>298</v>
      </c>
      <c r="L811" s="146">
        <v>-298</v>
      </c>
    </row>
    <row r="812" spans="1:12" ht="30.75" outlineLevel="2" x14ac:dyDescent="0.25">
      <c r="A812" s="40" t="s">
        <v>297</v>
      </c>
      <c r="B812" s="196" t="s">
        <v>392</v>
      </c>
      <c r="C812" s="3" t="s">
        <v>393</v>
      </c>
      <c r="D812" s="40">
        <v>156</v>
      </c>
      <c r="E812" s="146">
        <v>4726009</v>
      </c>
      <c r="F812" s="146">
        <v>4726009</v>
      </c>
      <c r="G812" s="213" t="s">
        <v>500</v>
      </c>
      <c r="H812" s="215">
        <v>0</v>
      </c>
      <c r="I812" s="146">
        <v>86368</v>
      </c>
      <c r="J812" s="146">
        <v>86324</v>
      </c>
      <c r="K812" s="146">
        <v>44</v>
      </c>
      <c r="L812" s="146">
        <v>-44</v>
      </c>
    </row>
    <row r="813" spans="1:12" outlineLevel="2" x14ac:dyDescent="0.25">
      <c r="A813" s="243" t="s">
        <v>297</v>
      </c>
      <c r="B813" s="196" t="s">
        <v>404</v>
      </c>
      <c r="C813" s="3" t="s">
        <v>405</v>
      </c>
      <c r="D813" s="40">
        <v>115</v>
      </c>
      <c r="E813" s="146">
        <v>562926</v>
      </c>
      <c r="F813" s="146">
        <v>562926</v>
      </c>
      <c r="G813" s="213" t="s">
        <v>500</v>
      </c>
      <c r="H813" s="215">
        <v>0</v>
      </c>
      <c r="I813" s="146">
        <v>219834</v>
      </c>
      <c r="J813" s="146">
        <v>219565</v>
      </c>
      <c r="K813" s="146">
        <v>269</v>
      </c>
      <c r="L813" s="146">
        <v>-269</v>
      </c>
    </row>
    <row r="814" spans="1:12" outlineLevel="2" x14ac:dyDescent="0.25">
      <c r="A814" s="241" t="s">
        <v>298</v>
      </c>
      <c r="B814" s="184" t="s">
        <v>500</v>
      </c>
      <c r="C814" s="74" t="s">
        <v>500</v>
      </c>
      <c r="D814" s="180" t="s">
        <v>500</v>
      </c>
      <c r="E814" s="78">
        <f>SUBTOTAL(109,school199596[Program
Costs])</f>
        <v>81068605</v>
      </c>
      <c r="F814" s="78">
        <f>SUBTOTAL(109,school199596[Less: Net Payments and Offsets 10])</f>
        <v>78952207</v>
      </c>
      <c r="G814" s="74" t="s">
        <v>500</v>
      </c>
      <c r="H814" s="78">
        <f>SUBTOTAL(109,school199596[Accounts Payable
Balance])</f>
        <v>2116398</v>
      </c>
      <c r="I814" s="78">
        <f>SUBTOTAL(109,school199596[Established
Accounts Receivable])</f>
        <v>10530975</v>
      </c>
      <c r="J814" s="78">
        <f>SUBTOTAL(109,school199596[Less: Recovered Amount])</f>
        <v>10520264</v>
      </c>
      <c r="K814" s="78">
        <f>SUBTOTAL(109,school199596[Accounts Receivable
Balance])</f>
        <v>10711</v>
      </c>
      <c r="L814" s="78">
        <f>SUBTOTAL(109,school199596[Net
Balance])</f>
        <v>2105687</v>
      </c>
    </row>
    <row r="815" spans="1:12" s="244" customFormat="1" ht="15" outlineLevel="1" x14ac:dyDescent="0.2">
      <c r="A815" s="214" t="s">
        <v>508</v>
      </c>
      <c r="B815" s="196"/>
      <c r="C815" s="3"/>
      <c r="D815" s="40"/>
      <c r="E815" s="146"/>
      <c r="F815" s="146"/>
      <c r="G815" s="146"/>
      <c r="H815" s="146"/>
      <c r="I815" s="146"/>
      <c r="J815" s="146"/>
      <c r="K815" s="146"/>
      <c r="L815" s="146"/>
    </row>
    <row r="816" spans="1:12" ht="50.1" customHeight="1" outlineLevel="2" x14ac:dyDescent="0.25">
      <c r="A816" s="204" t="s">
        <v>98</v>
      </c>
      <c r="B816" s="204" t="s">
        <v>99</v>
      </c>
      <c r="C816" s="176" t="s">
        <v>1</v>
      </c>
      <c r="D816" s="204" t="s">
        <v>195</v>
      </c>
      <c r="E816" s="238" t="s">
        <v>188</v>
      </c>
      <c r="F816" s="239" t="s">
        <v>533</v>
      </c>
      <c r="G816" s="212" t="s">
        <v>532</v>
      </c>
      <c r="H816" s="210" t="s">
        <v>528</v>
      </c>
      <c r="I816" s="210" t="s">
        <v>529</v>
      </c>
      <c r="J816" s="238" t="s">
        <v>197</v>
      </c>
      <c r="K816" s="210" t="s">
        <v>530</v>
      </c>
      <c r="L816" s="238" t="s">
        <v>196</v>
      </c>
    </row>
    <row r="817" spans="1:12" ht="30.75" outlineLevel="1" x14ac:dyDescent="0.25">
      <c r="A817" s="40" t="s">
        <v>299</v>
      </c>
      <c r="B817" s="196" t="s">
        <v>340</v>
      </c>
      <c r="C817" s="3" t="s">
        <v>335</v>
      </c>
      <c r="D817" s="40">
        <v>348</v>
      </c>
      <c r="E817" s="146">
        <v>28400653</v>
      </c>
      <c r="F817" s="146">
        <v>26404035</v>
      </c>
      <c r="G817" s="213" t="s">
        <v>500</v>
      </c>
      <c r="H817" s="146">
        <v>1996618</v>
      </c>
      <c r="I817" s="215">
        <v>0</v>
      </c>
      <c r="J817" s="215">
        <v>0</v>
      </c>
      <c r="K817" s="215">
        <v>0</v>
      </c>
      <c r="L817" s="146">
        <v>1996618</v>
      </c>
    </row>
    <row r="818" spans="1:12" outlineLevel="2" x14ac:dyDescent="0.25">
      <c r="A818" s="40" t="s">
        <v>299</v>
      </c>
      <c r="B818" s="196" t="s">
        <v>289</v>
      </c>
      <c r="C818" s="3" t="s">
        <v>211</v>
      </c>
      <c r="D818" s="40">
        <v>92</v>
      </c>
      <c r="E818" s="146">
        <v>1128612</v>
      </c>
      <c r="F818" s="146">
        <v>1128612</v>
      </c>
      <c r="G818" s="213" t="s">
        <v>500</v>
      </c>
      <c r="H818" s="215">
        <v>0</v>
      </c>
      <c r="I818" s="146">
        <v>2880</v>
      </c>
      <c r="J818" s="146">
        <v>2634</v>
      </c>
      <c r="K818" s="146">
        <v>246</v>
      </c>
      <c r="L818" s="146">
        <v>-246</v>
      </c>
    </row>
    <row r="819" spans="1:12" ht="15.6" customHeight="1" outlineLevel="1" x14ac:dyDescent="0.25">
      <c r="A819" s="40" t="s">
        <v>299</v>
      </c>
      <c r="B819" s="196" t="s">
        <v>373</v>
      </c>
      <c r="C819" s="3" t="s">
        <v>374</v>
      </c>
      <c r="D819" s="40">
        <v>151</v>
      </c>
      <c r="E819" s="146">
        <v>544631</v>
      </c>
      <c r="F819" s="146">
        <v>544631</v>
      </c>
      <c r="G819" s="213" t="s">
        <v>500</v>
      </c>
      <c r="H819" s="215">
        <v>0</v>
      </c>
      <c r="I819" s="146">
        <v>3055</v>
      </c>
      <c r="J819" s="146">
        <v>2643</v>
      </c>
      <c r="K819" s="146">
        <v>412</v>
      </c>
      <c r="L819" s="146">
        <v>-412</v>
      </c>
    </row>
    <row r="820" spans="1:12" ht="30.75" outlineLevel="2" x14ac:dyDescent="0.25">
      <c r="A820" s="243" t="s">
        <v>299</v>
      </c>
      <c r="B820" s="196" t="s">
        <v>392</v>
      </c>
      <c r="C820" s="3" t="s">
        <v>393</v>
      </c>
      <c r="D820" s="40">
        <v>156</v>
      </c>
      <c r="E820" s="146">
        <v>4230530</v>
      </c>
      <c r="F820" s="146">
        <v>4230530</v>
      </c>
      <c r="G820" s="213" t="s">
        <v>500</v>
      </c>
      <c r="H820" s="215">
        <v>0</v>
      </c>
      <c r="I820" s="146">
        <v>73525</v>
      </c>
      <c r="J820" s="146">
        <v>73477</v>
      </c>
      <c r="K820" s="146">
        <v>48</v>
      </c>
      <c r="L820" s="146">
        <v>-48</v>
      </c>
    </row>
    <row r="821" spans="1:12" outlineLevel="2" x14ac:dyDescent="0.25">
      <c r="A821" s="241" t="s">
        <v>300</v>
      </c>
      <c r="B821" s="184" t="s">
        <v>500</v>
      </c>
      <c r="C821" s="74" t="s">
        <v>500</v>
      </c>
      <c r="D821" s="180" t="s">
        <v>500</v>
      </c>
      <c r="E821" s="78">
        <f>SUBTOTAL(109,school199495[Program
Costs])</f>
        <v>34304426</v>
      </c>
      <c r="F821" s="78">
        <f>SUBTOTAL(109,school199495[Less: Net Payments and Offsets 10])</f>
        <v>32307808</v>
      </c>
      <c r="G821" s="74" t="s">
        <v>500</v>
      </c>
      <c r="H821" s="78">
        <f>SUBTOTAL(109,school199495[Accounts Payable
Balance])</f>
        <v>1996618</v>
      </c>
      <c r="I821" s="78">
        <f>SUBTOTAL(109,school199495[Established
Accounts Receivable])</f>
        <v>79460</v>
      </c>
      <c r="J821" s="78">
        <f>SUBTOTAL(109,school199495[Less: Recovered Amount])</f>
        <v>78754</v>
      </c>
      <c r="K821" s="78">
        <f>SUBTOTAL(109,school199495[Accounts Receivable
Balance])</f>
        <v>706</v>
      </c>
      <c r="L821" s="78">
        <f>SUBTOTAL(109,school199495[Net
Balance])</f>
        <v>1995912</v>
      </c>
    </row>
    <row r="822" spans="1:12" s="244" customFormat="1" ht="15" outlineLevel="1" x14ac:dyDescent="0.2">
      <c r="A822" s="214" t="s">
        <v>508</v>
      </c>
      <c r="B822" s="196"/>
      <c r="C822" s="3"/>
      <c r="D822" s="40"/>
      <c r="E822" s="146"/>
      <c r="F822" s="146"/>
      <c r="G822" s="146"/>
      <c r="H822" s="146"/>
      <c r="I822" s="146"/>
      <c r="J822" s="146"/>
      <c r="K822" s="146"/>
      <c r="L822" s="146"/>
    </row>
    <row r="823" spans="1:12" ht="50.1" customHeight="1" outlineLevel="2" x14ac:dyDescent="0.25">
      <c r="A823" s="204" t="s">
        <v>98</v>
      </c>
      <c r="B823" s="204" t="s">
        <v>99</v>
      </c>
      <c r="C823" s="176" t="s">
        <v>1</v>
      </c>
      <c r="D823" s="204" t="s">
        <v>195</v>
      </c>
      <c r="E823" s="238" t="s">
        <v>188</v>
      </c>
      <c r="F823" s="239" t="s">
        <v>533</v>
      </c>
      <c r="G823" s="212" t="s">
        <v>532</v>
      </c>
      <c r="H823" s="210" t="s">
        <v>528</v>
      </c>
      <c r="I823" s="210" t="s">
        <v>529</v>
      </c>
      <c r="J823" s="238" t="s">
        <v>197</v>
      </c>
      <c r="K823" s="210" t="s">
        <v>530</v>
      </c>
      <c r="L823" s="238" t="s">
        <v>196</v>
      </c>
    </row>
    <row r="824" spans="1:12" ht="30.75" outlineLevel="1" x14ac:dyDescent="0.25">
      <c r="A824" s="40" t="s">
        <v>406</v>
      </c>
      <c r="B824" s="196" t="s">
        <v>340</v>
      </c>
      <c r="C824" s="3" t="s">
        <v>335</v>
      </c>
      <c r="D824" s="40">
        <v>348</v>
      </c>
      <c r="E824" s="146">
        <v>27596496</v>
      </c>
      <c r="F824" s="146">
        <v>25255912</v>
      </c>
      <c r="G824" s="213" t="s">
        <v>500</v>
      </c>
      <c r="H824" s="146">
        <v>2340584</v>
      </c>
      <c r="I824" s="215">
        <v>0</v>
      </c>
      <c r="J824" s="215">
        <v>0</v>
      </c>
      <c r="K824" s="215">
        <v>0</v>
      </c>
      <c r="L824" s="146">
        <v>2340584</v>
      </c>
    </row>
    <row r="825" spans="1:12" ht="30.75" outlineLevel="1" x14ac:dyDescent="0.25">
      <c r="A825" s="40" t="s">
        <v>406</v>
      </c>
      <c r="B825" s="196" t="s">
        <v>115</v>
      </c>
      <c r="C825" s="3" t="s">
        <v>116</v>
      </c>
      <c r="D825" s="40">
        <v>11</v>
      </c>
      <c r="E825" s="146">
        <v>29969495</v>
      </c>
      <c r="F825" s="146">
        <v>29969495</v>
      </c>
      <c r="G825" s="213" t="s">
        <v>500</v>
      </c>
      <c r="H825" s="215">
        <v>0</v>
      </c>
      <c r="I825" s="146">
        <v>3859762</v>
      </c>
      <c r="J825" s="146">
        <v>3792203</v>
      </c>
      <c r="K825" s="146">
        <v>67559</v>
      </c>
      <c r="L825" s="146">
        <v>-67559</v>
      </c>
    </row>
    <row r="826" spans="1:12" x14ac:dyDescent="0.25">
      <c r="A826" s="243" t="s">
        <v>406</v>
      </c>
      <c r="B826" s="196" t="s">
        <v>289</v>
      </c>
      <c r="C826" s="3" t="s">
        <v>211</v>
      </c>
      <c r="D826" s="40">
        <v>92</v>
      </c>
      <c r="E826" s="146">
        <v>748308</v>
      </c>
      <c r="F826" s="146">
        <v>748308</v>
      </c>
      <c r="G826" s="213" t="s">
        <v>500</v>
      </c>
      <c r="H826" s="215">
        <v>0</v>
      </c>
      <c r="I826" s="146">
        <v>551</v>
      </c>
      <c r="J826" s="215">
        <v>0</v>
      </c>
      <c r="K826" s="146">
        <v>551</v>
      </c>
      <c r="L826" s="146">
        <v>-551</v>
      </c>
    </row>
    <row r="827" spans="1:12" ht="30.75" x14ac:dyDescent="0.25">
      <c r="A827" s="40" t="s">
        <v>406</v>
      </c>
      <c r="B827" s="196" t="s">
        <v>392</v>
      </c>
      <c r="C827" s="3" t="s">
        <v>393</v>
      </c>
      <c r="D827" s="40">
        <v>156</v>
      </c>
      <c r="E827" s="146">
        <v>2184496</v>
      </c>
      <c r="F827" s="146">
        <v>2184496</v>
      </c>
      <c r="G827" s="213" t="s">
        <v>500</v>
      </c>
      <c r="H827" s="215">
        <v>0</v>
      </c>
      <c r="I827" s="146">
        <v>32867</v>
      </c>
      <c r="J827" s="146">
        <v>32835</v>
      </c>
      <c r="K827" s="146">
        <v>32</v>
      </c>
      <c r="L827" s="146">
        <v>-32</v>
      </c>
    </row>
    <row r="828" spans="1:12" x14ac:dyDescent="0.25">
      <c r="A828" s="241" t="s">
        <v>407</v>
      </c>
      <c r="B828" s="184" t="s">
        <v>500</v>
      </c>
      <c r="C828" s="74" t="s">
        <v>500</v>
      </c>
      <c r="D828" s="180" t="s">
        <v>500</v>
      </c>
      <c r="E828" s="78">
        <f>SUBTOTAL(109,school199394[Program
Costs])</f>
        <v>60498795</v>
      </c>
      <c r="F828" s="78">
        <f>SUBTOTAL(109,school199394[Less: Net Payments and Offsets 10])</f>
        <v>58158211</v>
      </c>
      <c r="G828" s="74" t="s">
        <v>500</v>
      </c>
      <c r="H828" s="78">
        <f>SUBTOTAL(109,school199394[Accounts Payable
Balance])</f>
        <v>2340584</v>
      </c>
      <c r="I828" s="78">
        <f>SUBTOTAL(109,school199394[Established
Accounts Receivable])</f>
        <v>3893180</v>
      </c>
      <c r="J828" s="78">
        <f>SUBTOTAL(109,school199394[Less: Recovered Amount])</f>
        <v>3825038</v>
      </c>
      <c r="K828" s="78">
        <f>SUBTOTAL(109,school199394[Accounts Receivable
Balance])</f>
        <v>68142</v>
      </c>
      <c r="L828" s="78">
        <f>SUBTOTAL(109,school199394[Net
Balance])</f>
        <v>2272442</v>
      </c>
    </row>
    <row r="829" spans="1:12" s="244" customFormat="1" ht="15" x14ac:dyDescent="0.2">
      <c r="A829" s="214" t="s">
        <v>508</v>
      </c>
      <c r="B829" s="196"/>
      <c r="C829" s="3"/>
      <c r="D829" s="40"/>
      <c r="E829" s="146"/>
      <c r="F829" s="146"/>
      <c r="G829" s="146"/>
      <c r="H829" s="146"/>
      <c r="I829" s="146"/>
      <c r="J829" s="146"/>
      <c r="K829" s="146"/>
      <c r="L829" s="146"/>
    </row>
    <row r="830" spans="1:12" ht="50.1" customHeight="1" x14ac:dyDescent="0.25">
      <c r="A830" s="204" t="s">
        <v>98</v>
      </c>
      <c r="B830" s="204" t="s">
        <v>99</v>
      </c>
      <c r="C830" s="176" t="s">
        <v>1</v>
      </c>
      <c r="D830" s="204" t="s">
        <v>195</v>
      </c>
      <c r="E830" s="238" t="s">
        <v>188</v>
      </c>
      <c r="F830" s="239" t="s">
        <v>533</v>
      </c>
      <c r="G830" s="212" t="s">
        <v>532</v>
      </c>
      <c r="H830" s="210" t="s">
        <v>528</v>
      </c>
      <c r="I830" s="210" t="s">
        <v>529</v>
      </c>
      <c r="J830" s="238" t="s">
        <v>197</v>
      </c>
      <c r="K830" s="210" t="s">
        <v>530</v>
      </c>
      <c r="L830" s="238" t="s">
        <v>196</v>
      </c>
    </row>
    <row r="831" spans="1:12" x14ac:dyDescent="0.25">
      <c r="A831" s="40" t="s">
        <v>301</v>
      </c>
      <c r="B831" s="196" t="s">
        <v>408</v>
      </c>
      <c r="C831" s="3" t="s">
        <v>409</v>
      </c>
      <c r="D831" s="40">
        <v>114</v>
      </c>
      <c r="E831" s="146">
        <v>11846195</v>
      </c>
      <c r="F831" s="146">
        <v>11846195</v>
      </c>
      <c r="G831" s="213" t="s">
        <v>500</v>
      </c>
      <c r="H831" s="215">
        <v>0</v>
      </c>
      <c r="I831" s="146">
        <v>1179938</v>
      </c>
      <c r="J831" s="146">
        <v>1179552</v>
      </c>
      <c r="K831" s="146">
        <v>386</v>
      </c>
      <c r="L831" s="146">
        <v>-386</v>
      </c>
    </row>
    <row r="832" spans="1:12" ht="30.75" x14ac:dyDescent="0.25">
      <c r="A832" s="243" t="s">
        <v>301</v>
      </c>
      <c r="B832" s="196" t="s">
        <v>115</v>
      </c>
      <c r="C832" s="3" t="s">
        <v>116</v>
      </c>
      <c r="D832" s="40">
        <v>11</v>
      </c>
      <c r="E832" s="146">
        <v>29309462</v>
      </c>
      <c r="F832" s="146">
        <v>29309462</v>
      </c>
      <c r="G832" s="213" t="s">
        <v>500</v>
      </c>
      <c r="H832" s="215">
        <v>0</v>
      </c>
      <c r="I832" s="146">
        <v>3004258</v>
      </c>
      <c r="J832" s="146">
        <v>2983106</v>
      </c>
      <c r="K832" s="146">
        <v>21152</v>
      </c>
      <c r="L832" s="146">
        <v>-21152</v>
      </c>
    </row>
    <row r="833" spans="1:12" x14ac:dyDescent="0.25">
      <c r="A833" s="40" t="s">
        <v>301</v>
      </c>
      <c r="B833" s="196" t="s">
        <v>402</v>
      </c>
      <c r="C833" s="3" t="s">
        <v>403</v>
      </c>
      <c r="D833" s="40">
        <v>79</v>
      </c>
      <c r="E833" s="146">
        <v>1853410</v>
      </c>
      <c r="F833" s="146">
        <v>1853410</v>
      </c>
      <c r="G833" s="213" t="s">
        <v>500</v>
      </c>
      <c r="H833" s="215">
        <v>0</v>
      </c>
      <c r="I833" s="146">
        <v>654070</v>
      </c>
      <c r="J833" s="146">
        <v>649037</v>
      </c>
      <c r="K833" s="146">
        <v>5033</v>
      </c>
      <c r="L833" s="146">
        <v>-5033</v>
      </c>
    </row>
    <row r="834" spans="1:12" x14ac:dyDescent="0.25">
      <c r="A834" s="241" t="s">
        <v>304</v>
      </c>
      <c r="B834" s="184" t="s">
        <v>500</v>
      </c>
      <c r="C834" s="74" t="s">
        <v>500</v>
      </c>
      <c r="D834" s="180" t="s">
        <v>500</v>
      </c>
      <c r="E834" s="78">
        <f>SUBTOTAL(109,school199293[Program
Costs])</f>
        <v>43009067</v>
      </c>
      <c r="F834" s="78">
        <f>SUBTOTAL(109,school199293[Less: Net Payments and Offsets 10])</f>
        <v>43009067</v>
      </c>
      <c r="G834" s="74" t="s">
        <v>500</v>
      </c>
      <c r="H834" s="179">
        <f>SUBTOTAL(109,school199293[Accounts Payable
Balance])</f>
        <v>0</v>
      </c>
      <c r="I834" s="78">
        <f>SUBTOTAL(109,school199293[Established
Accounts Receivable])</f>
        <v>4838266</v>
      </c>
      <c r="J834" s="78">
        <f>SUBTOTAL(109,school199293[Less: Recovered Amount])</f>
        <v>4811695</v>
      </c>
      <c r="K834" s="78">
        <f>SUBTOTAL(109,school199293[Accounts Receivable
Balance])</f>
        <v>26571</v>
      </c>
      <c r="L834" s="78">
        <f>SUBTOTAL(109,school199293[Net
Balance])</f>
        <v>-26571</v>
      </c>
    </row>
    <row r="835" spans="1:12" s="244" customFormat="1" ht="15" x14ac:dyDescent="0.2">
      <c r="A835" s="214" t="s">
        <v>508</v>
      </c>
      <c r="B835" s="196"/>
      <c r="C835" s="3"/>
      <c r="D835" s="40"/>
      <c r="E835" s="146"/>
      <c r="F835" s="146"/>
      <c r="G835" s="146"/>
      <c r="H835" s="146"/>
      <c r="I835" s="146"/>
      <c r="J835" s="146"/>
      <c r="K835" s="146"/>
      <c r="L835" s="146"/>
    </row>
    <row r="836" spans="1:12" ht="50.1" customHeight="1" x14ac:dyDescent="0.25">
      <c r="A836" s="204" t="s">
        <v>98</v>
      </c>
      <c r="B836" s="204" t="s">
        <v>99</v>
      </c>
      <c r="C836" s="176" t="s">
        <v>1</v>
      </c>
      <c r="D836" s="204" t="s">
        <v>195</v>
      </c>
      <c r="E836" s="238" t="s">
        <v>188</v>
      </c>
      <c r="F836" s="239" t="s">
        <v>533</v>
      </c>
      <c r="G836" s="212" t="s">
        <v>532</v>
      </c>
      <c r="H836" s="210" t="s">
        <v>528</v>
      </c>
      <c r="I836" s="210" t="s">
        <v>529</v>
      </c>
      <c r="J836" s="238" t="s">
        <v>197</v>
      </c>
      <c r="K836" s="210" t="s">
        <v>530</v>
      </c>
      <c r="L836" s="238" t="s">
        <v>196</v>
      </c>
    </row>
    <row r="837" spans="1:12" x14ac:dyDescent="0.25">
      <c r="A837" s="40" t="s">
        <v>305</v>
      </c>
      <c r="B837" s="196" t="s">
        <v>408</v>
      </c>
      <c r="C837" s="3" t="s">
        <v>409</v>
      </c>
      <c r="D837" s="40">
        <v>114</v>
      </c>
      <c r="E837" s="146">
        <v>10650345</v>
      </c>
      <c r="F837" s="146">
        <v>10650345</v>
      </c>
      <c r="G837" s="213" t="s">
        <v>500</v>
      </c>
      <c r="H837" s="215">
        <v>0</v>
      </c>
      <c r="I837" s="146">
        <v>1058329</v>
      </c>
      <c r="J837" s="146">
        <v>1057915</v>
      </c>
      <c r="K837" s="146">
        <v>414</v>
      </c>
      <c r="L837" s="146">
        <v>-414</v>
      </c>
    </row>
    <row r="838" spans="1:12" x14ac:dyDescent="0.25">
      <c r="A838" s="243" t="s">
        <v>305</v>
      </c>
      <c r="B838" s="196" t="s">
        <v>289</v>
      </c>
      <c r="C838" s="3" t="s">
        <v>211</v>
      </c>
      <c r="D838" s="40">
        <v>92</v>
      </c>
      <c r="E838" s="146">
        <v>869812</v>
      </c>
      <c r="F838" s="146">
        <v>869812</v>
      </c>
      <c r="G838" s="213" t="s">
        <v>500</v>
      </c>
      <c r="H838" s="215">
        <v>0</v>
      </c>
      <c r="I838" s="146">
        <v>302710</v>
      </c>
      <c r="J838" s="146">
        <v>302634</v>
      </c>
      <c r="K838" s="146">
        <v>76</v>
      </c>
      <c r="L838" s="146">
        <v>-76</v>
      </c>
    </row>
    <row r="839" spans="1:12" x14ac:dyDescent="0.25">
      <c r="A839" s="241" t="s">
        <v>308</v>
      </c>
      <c r="B839" s="184" t="s">
        <v>500</v>
      </c>
      <c r="C839" s="74" t="s">
        <v>500</v>
      </c>
      <c r="D839" s="180" t="s">
        <v>500</v>
      </c>
      <c r="E839" s="78">
        <f>SUBTOTAL(109,school199192[Program
Costs])</f>
        <v>11520157</v>
      </c>
      <c r="F839" s="78">
        <f>SUBTOTAL(109,school199192[Less: Net Payments and Offsets 10])</f>
        <v>11520157</v>
      </c>
      <c r="G839" s="74" t="s">
        <v>500</v>
      </c>
      <c r="H839" s="179">
        <f>SUBTOTAL(109,school199192[Accounts Payable
Balance])</f>
        <v>0</v>
      </c>
      <c r="I839" s="78">
        <f>SUBTOTAL(109,school199192[Established
Accounts Receivable])</f>
        <v>1361039</v>
      </c>
      <c r="J839" s="78">
        <f>SUBTOTAL(109,school199192[Less: Recovered Amount])</f>
        <v>1360549</v>
      </c>
      <c r="K839" s="78">
        <f>SUBTOTAL(109,school199192[Accounts Receivable
Balance])</f>
        <v>490</v>
      </c>
      <c r="L839" s="78">
        <f>SUBTOTAL(109,school199192[Net
Balance])</f>
        <v>-490</v>
      </c>
    </row>
    <row r="840" spans="1:12" s="244" customFormat="1" ht="15" x14ac:dyDescent="0.2">
      <c r="A840" s="214" t="s">
        <v>508</v>
      </c>
      <c r="B840" s="196"/>
      <c r="C840" s="3"/>
      <c r="D840" s="40"/>
      <c r="E840" s="146"/>
      <c r="F840" s="146"/>
      <c r="G840" s="146"/>
      <c r="H840" s="146"/>
      <c r="I840" s="146"/>
      <c r="J840" s="146"/>
      <c r="K840" s="146"/>
      <c r="L840" s="146"/>
    </row>
    <row r="841" spans="1:12" ht="50.1" customHeight="1" x14ac:dyDescent="0.25">
      <c r="A841" s="204" t="s">
        <v>98</v>
      </c>
      <c r="B841" s="204" t="s">
        <v>99</v>
      </c>
      <c r="C841" s="176" t="s">
        <v>1</v>
      </c>
      <c r="D841" s="204" t="s">
        <v>195</v>
      </c>
      <c r="E841" s="238" t="s">
        <v>188</v>
      </c>
      <c r="F841" s="239" t="s">
        <v>533</v>
      </c>
      <c r="G841" s="212" t="s">
        <v>532</v>
      </c>
      <c r="H841" s="210" t="s">
        <v>528</v>
      </c>
      <c r="I841" s="210" t="s">
        <v>529</v>
      </c>
      <c r="J841" s="238" t="s">
        <v>197</v>
      </c>
      <c r="K841" s="210" t="s">
        <v>530</v>
      </c>
      <c r="L841" s="238" t="s">
        <v>196</v>
      </c>
    </row>
    <row r="842" spans="1:12" x14ac:dyDescent="0.25">
      <c r="A842" s="243" t="s">
        <v>410</v>
      </c>
      <c r="B842" s="196" t="s">
        <v>408</v>
      </c>
      <c r="C842" s="3" t="s">
        <v>409</v>
      </c>
      <c r="D842" s="40">
        <v>114</v>
      </c>
      <c r="E842" s="146">
        <v>9961940</v>
      </c>
      <c r="F842" s="146">
        <v>9961940</v>
      </c>
      <c r="G842" s="213" t="s">
        <v>500</v>
      </c>
      <c r="H842" s="215">
        <v>0</v>
      </c>
      <c r="I842" s="146">
        <v>1019995</v>
      </c>
      <c r="J842" s="146">
        <v>1019595</v>
      </c>
      <c r="K842" s="146">
        <v>400</v>
      </c>
      <c r="L842" s="146">
        <v>-400</v>
      </c>
    </row>
    <row r="843" spans="1:12" x14ac:dyDescent="0.25">
      <c r="A843" s="40" t="s">
        <v>410</v>
      </c>
      <c r="B843" s="196" t="s">
        <v>363</v>
      </c>
      <c r="C843" s="3" t="s">
        <v>126</v>
      </c>
      <c r="D843" s="40">
        <v>26</v>
      </c>
      <c r="E843" s="146">
        <v>5435894</v>
      </c>
      <c r="F843" s="146">
        <v>5435894</v>
      </c>
      <c r="G843" s="213" t="s">
        <v>500</v>
      </c>
      <c r="H843" s="215">
        <v>0</v>
      </c>
      <c r="I843" s="146">
        <v>2940929</v>
      </c>
      <c r="J843" s="146">
        <v>2591660</v>
      </c>
      <c r="K843" s="146">
        <v>349269</v>
      </c>
      <c r="L843" s="146">
        <v>-349269</v>
      </c>
    </row>
    <row r="844" spans="1:12" x14ac:dyDescent="0.25">
      <c r="A844" s="241" t="s">
        <v>411</v>
      </c>
      <c r="B844" s="184" t="s">
        <v>500</v>
      </c>
      <c r="C844" s="74" t="s">
        <v>500</v>
      </c>
      <c r="D844" s="180" t="s">
        <v>500</v>
      </c>
      <c r="E844" s="78">
        <f>SUBTOTAL(109,school199091[Program
Costs])</f>
        <v>15397834</v>
      </c>
      <c r="F844" s="78">
        <f>SUBTOTAL(109,school199091[Less: Net Payments and Offsets 10])</f>
        <v>15397834</v>
      </c>
      <c r="G844" s="74" t="s">
        <v>500</v>
      </c>
      <c r="H844" s="179">
        <f>SUBTOTAL(109,school199091[Accounts Payable
Balance])</f>
        <v>0</v>
      </c>
      <c r="I844" s="78">
        <f>SUBTOTAL(109,school199091[Established
Accounts Receivable])</f>
        <v>3960924</v>
      </c>
      <c r="J844" s="78">
        <f>SUBTOTAL(109,school199091[Less: Recovered Amount])</f>
        <v>3611255</v>
      </c>
      <c r="K844" s="78">
        <f>SUBTOTAL(109,school199091[Accounts Receivable
Balance])</f>
        <v>349669</v>
      </c>
      <c r="L844" s="78">
        <f>SUBTOTAL(109,school199091[Net
Balance])</f>
        <v>-349669</v>
      </c>
    </row>
    <row r="845" spans="1:12" s="244" customFormat="1" ht="15" x14ac:dyDescent="0.2">
      <c r="A845" s="214" t="s">
        <v>508</v>
      </c>
      <c r="B845" s="196"/>
      <c r="C845" s="3"/>
      <c r="D845" s="40"/>
      <c r="E845" s="146"/>
      <c r="F845" s="146"/>
      <c r="G845" s="146"/>
      <c r="H845" s="146"/>
      <c r="I845" s="146"/>
      <c r="J845" s="146"/>
      <c r="K845" s="146"/>
      <c r="L845" s="146"/>
    </row>
    <row r="846" spans="1:12" ht="50.1" customHeight="1" x14ac:dyDescent="0.25">
      <c r="A846" s="204" t="s">
        <v>98</v>
      </c>
      <c r="B846" s="204" t="s">
        <v>99</v>
      </c>
      <c r="C846" s="176" t="s">
        <v>1</v>
      </c>
      <c r="D846" s="204" t="s">
        <v>195</v>
      </c>
      <c r="E846" s="238" t="s">
        <v>188</v>
      </c>
      <c r="F846" s="239" t="s">
        <v>533</v>
      </c>
      <c r="G846" s="212" t="s">
        <v>532</v>
      </c>
      <c r="H846" s="210" t="s">
        <v>528</v>
      </c>
      <c r="I846" s="210" t="s">
        <v>529</v>
      </c>
      <c r="J846" s="238" t="s">
        <v>197</v>
      </c>
      <c r="K846" s="210" t="s">
        <v>530</v>
      </c>
      <c r="L846" s="238" t="s">
        <v>196</v>
      </c>
    </row>
    <row r="847" spans="1:12" x14ac:dyDescent="0.25">
      <c r="A847" s="40" t="s">
        <v>412</v>
      </c>
      <c r="B847" s="196" t="s">
        <v>408</v>
      </c>
      <c r="C847" s="3" t="s">
        <v>409</v>
      </c>
      <c r="D847" s="40">
        <v>114</v>
      </c>
      <c r="E847" s="146">
        <v>9684270</v>
      </c>
      <c r="F847" s="146">
        <v>9684270</v>
      </c>
      <c r="G847" s="213" t="s">
        <v>500</v>
      </c>
      <c r="H847" s="215">
        <v>0</v>
      </c>
      <c r="I847" s="146">
        <v>954100</v>
      </c>
      <c r="J847" s="146">
        <v>953623</v>
      </c>
      <c r="K847" s="146">
        <v>477</v>
      </c>
      <c r="L847" s="146">
        <v>-477</v>
      </c>
    </row>
    <row r="848" spans="1:12" x14ac:dyDescent="0.25">
      <c r="A848" s="243" t="s">
        <v>412</v>
      </c>
      <c r="B848" s="196" t="s">
        <v>363</v>
      </c>
      <c r="C848" s="3" t="s">
        <v>126</v>
      </c>
      <c r="D848" s="40">
        <v>26</v>
      </c>
      <c r="E848" s="146">
        <v>8260170</v>
      </c>
      <c r="F848" s="146">
        <v>8260170</v>
      </c>
      <c r="G848" s="213" t="s">
        <v>500</v>
      </c>
      <c r="H848" s="215">
        <v>0</v>
      </c>
      <c r="I848" s="146">
        <v>611477</v>
      </c>
      <c r="J848" s="146">
        <v>571387</v>
      </c>
      <c r="K848" s="146">
        <v>40090</v>
      </c>
      <c r="L848" s="146">
        <v>-40090</v>
      </c>
    </row>
    <row r="849" spans="1:12" x14ac:dyDescent="0.25">
      <c r="A849" s="241" t="s">
        <v>413</v>
      </c>
      <c r="B849" s="184" t="s">
        <v>500</v>
      </c>
      <c r="C849" s="74" t="s">
        <v>500</v>
      </c>
      <c r="D849" s="180" t="s">
        <v>500</v>
      </c>
      <c r="E849" s="78">
        <f>SUBTOTAL(109,school198990[Program
Costs])</f>
        <v>17944440</v>
      </c>
      <c r="F849" s="78">
        <f>SUBTOTAL(109,school198990[Less: Net Payments and Offsets 10])</f>
        <v>17944440</v>
      </c>
      <c r="G849" s="74" t="s">
        <v>500</v>
      </c>
      <c r="H849" s="179">
        <f>SUBTOTAL(109,school198990[Accounts Payable
Balance])</f>
        <v>0</v>
      </c>
      <c r="I849" s="78">
        <f>SUBTOTAL(109,school198990[Established
Accounts Receivable])</f>
        <v>1565577</v>
      </c>
      <c r="J849" s="78">
        <f>SUBTOTAL(109,school198990[Less: Recovered Amount])</f>
        <v>1525010</v>
      </c>
      <c r="K849" s="78">
        <f>SUBTOTAL(109,school198990[Accounts Receivable
Balance])</f>
        <v>40567</v>
      </c>
      <c r="L849" s="78">
        <f>SUBTOTAL(109,school198990[Net
Balance])</f>
        <v>-40567</v>
      </c>
    </row>
    <row r="850" spans="1:12" s="244" customFormat="1" ht="15" x14ac:dyDescent="0.2">
      <c r="A850" s="214" t="s">
        <v>508</v>
      </c>
      <c r="B850" s="196"/>
      <c r="C850" s="3"/>
      <c r="D850" s="40"/>
      <c r="E850" s="146"/>
      <c r="F850" s="146"/>
      <c r="G850" s="146"/>
      <c r="H850" s="146"/>
      <c r="I850" s="146"/>
      <c r="J850" s="146"/>
      <c r="K850" s="146"/>
      <c r="L850" s="146"/>
    </row>
    <row r="851" spans="1:12" ht="50.1" customHeight="1" x14ac:dyDescent="0.25">
      <c r="A851" s="204" t="s">
        <v>98</v>
      </c>
      <c r="B851" s="204" t="s">
        <v>99</v>
      </c>
      <c r="C851" s="176" t="s">
        <v>1</v>
      </c>
      <c r="D851" s="204" t="s">
        <v>195</v>
      </c>
      <c r="E851" s="238" t="s">
        <v>188</v>
      </c>
      <c r="F851" s="239" t="s">
        <v>533</v>
      </c>
      <c r="G851" s="212" t="s">
        <v>532</v>
      </c>
      <c r="H851" s="210" t="s">
        <v>528</v>
      </c>
      <c r="I851" s="210" t="s">
        <v>529</v>
      </c>
      <c r="J851" s="238" t="s">
        <v>197</v>
      </c>
      <c r="K851" s="210" t="s">
        <v>530</v>
      </c>
      <c r="L851" s="238" t="s">
        <v>196</v>
      </c>
    </row>
    <row r="852" spans="1:12" x14ac:dyDescent="0.25">
      <c r="A852" s="243" t="s">
        <v>414</v>
      </c>
      <c r="B852" s="196" t="s">
        <v>408</v>
      </c>
      <c r="C852" s="3" t="s">
        <v>409</v>
      </c>
      <c r="D852" s="40">
        <v>114</v>
      </c>
      <c r="E852" s="146">
        <v>8195968</v>
      </c>
      <c r="F852" s="146">
        <v>8195968</v>
      </c>
      <c r="G852" s="213" t="s">
        <v>500</v>
      </c>
      <c r="H852" s="215">
        <v>0</v>
      </c>
      <c r="I852" s="146">
        <v>880183</v>
      </c>
      <c r="J852" s="146">
        <v>879682</v>
      </c>
      <c r="K852" s="146">
        <v>501</v>
      </c>
      <c r="L852" s="146">
        <v>-501</v>
      </c>
    </row>
    <row r="853" spans="1:12" x14ac:dyDescent="0.25">
      <c r="A853" s="241" t="s">
        <v>415</v>
      </c>
      <c r="B853" s="184" t="s">
        <v>500</v>
      </c>
      <c r="C853" s="74" t="s">
        <v>500</v>
      </c>
      <c r="D853" s="180" t="s">
        <v>500</v>
      </c>
      <c r="E853" s="78">
        <f>SUBTOTAL(109,school198889[Program
Costs])</f>
        <v>8195968</v>
      </c>
      <c r="F853" s="78">
        <f>SUBTOTAL(109,school198889[Less: Net Payments and Offsets 10])</f>
        <v>8195968</v>
      </c>
      <c r="G853" s="74" t="s">
        <v>500</v>
      </c>
      <c r="H853" s="179">
        <f>SUBTOTAL(109,school198889[Accounts Payable
Balance])</f>
        <v>0</v>
      </c>
      <c r="I853" s="78">
        <f>SUBTOTAL(109,school198889[Established
Accounts Receivable])</f>
        <v>880183</v>
      </c>
      <c r="J853" s="78">
        <f>SUBTOTAL(109,school198889[Less: Recovered Amount])</f>
        <v>879682</v>
      </c>
      <c r="K853" s="78">
        <f>SUBTOTAL(109,school198889[Accounts Receivable
Balance])</f>
        <v>501</v>
      </c>
      <c r="L853" s="78">
        <f>SUBTOTAL(109,school198889[Net
Balance])</f>
        <v>-501</v>
      </c>
    </row>
    <row r="854" spans="1:12" s="244" customFormat="1" ht="15" x14ac:dyDescent="0.2">
      <c r="A854" s="214" t="s">
        <v>508</v>
      </c>
      <c r="B854" s="196"/>
      <c r="C854" s="3"/>
      <c r="D854" s="40"/>
      <c r="E854" s="146"/>
      <c r="F854" s="146"/>
      <c r="G854" s="146"/>
      <c r="H854" s="146"/>
      <c r="I854" s="146"/>
      <c r="J854" s="146"/>
      <c r="K854" s="146"/>
      <c r="L854" s="146"/>
    </row>
    <row r="855" spans="1:12" ht="50.1" customHeight="1" x14ac:dyDescent="0.25">
      <c r="A855" s="204" t="s">
        <v>98</v>
      </c>
      <c r="B855" s="204" t="s">
        <v>99</v>
      </c>
      <c r="C855" s="176" t="s">
        <v>1</v>
      </c>
      <c r="D855" s="204" t="s">
        <v>195</v>
      </c>
      <c r="E855" s="238" t="s">
        <v>188</v>
      </c>
      <c r="F855" s="239" t="s">
        <v>533</v>
      </c>
      <c r="G855" s="212" t="s">
        <v>532</v>
      </c>
      <c r="H855" s="210" t="s">
        <v>528</v>
      </c>
      <c r="I855" s="210" t="s">
        <v>529</v>
      </c>
      <c r="J855" s="238" t="s">
        <v>197</v>
      </c>
      <c r="K855" s="210" t="s">
        <v>530</v>
      </c>
      <c r="L855" s="238" t="s">
        <v>196</v>
      </c>
    </row>
    <row r="856" spans="1:12" x14ac:dyDescent="0.25">
      <c r="A856" s="243" t="s">
        <v>416</v>
      </c>
      <c r="B856" s="196" t="s">
        <v>408</v>
      </c>
      <c r="C856" s="3" t="s">
        <v>409</v>
      </c>
      <c r="D856" s="40">
        <v>114</v>
      </c>
      <c r="E856" s="146">
        <v>8055062</v>
      </c>
      <c r="F856" s="146">
        <v>8055062</v>
      </c>
      <c r="G856" s="213" t="s">
        <v>500</v>
      </c>
      <c r="H856" s="215">
        <v>0</v>
      </c>
      <c r="I856" s="146">
        <v>803598</v>
      </c>
      <c r="J856" s="146">
        <v>803123</v>
      </c>
      <c r="K856" s="146">
        <v>475</v>
      </c>
      <c r="L856" s="146">
        <v>-475</v>
      </c>
    </row>
    <row r="857" spans="1:12" x14ac:dyDescent="0.25">
      <c r="A857" s="241" t="s">
        <v>417</v>
      </c>
      <c r="B857" s="184" t="s">
        <v>500</v>
      </c>
      <c r="C857" s="74" t="s">
        <v>500</v>
      </c>
      <c r="D857" s="180" t="s">
        <v>500</v>
      </c>
      <c r="E857" s="78">
        <f>SUBTOTAL(109,school198788[Program
Costs])</f>
        <v>8055062</v>
      </c>
      <c r="F857" s="78">
        <f>SUBTOTAL(109,school198788[Less: Net Payments and Offsets 10])</f>
        <v>8055062</v>
      </c>
      <c r="G857" s="74" t="s">
        <v>500</v>
      </c>
      <c r="H857" s="179">
        <f>SUBTOTAL(109,school198788[Accounts Payable
Balance])</f>
        <v>0</v>
      </c>
      <c r="I857" s="78">
        <f>SUBTOTAL(109,school198788[Established
Accounts Receivable])</f>
        <v>803598</v>
      </c>
      <c r="J857" s="78">
        <f>SUBTOTAL(109,school198788[Less: Recovered Amount])</f>
        <v>803123</v>
      </c>
      <c r="K857" s="78">
        <f>SUBTOTAL(109,school198788[Accounts Receivable
Balance])</f>
        <v>475</v>
      </c>
      <c r="L857" s="78">
        <f>SUBTOTAL(109,school198788[Net
Balance])</f>
        <v>-475</v>
      </c>
    </row>
    <row r="858" spans="1:12" s="244" customFormat="1" ht="15" x14ac:dyDescent="0.2">
      <c r="A858" s="214" t="s">
        <v>508</v>
      </c>
      <c r="B858" s="196"/>
      <c r="C858" s="3"/>
      <c r="D858" s="40"/>
      <c r="E858" s="146"/>
      <c r="F858" s="146"/>
      <c r="G858" s="146"/>
      <c r="H858" s="146"/>
      <c r="I858" s="146"/>
      <c r="J858" s="146"/>
      <c r="K858" s="146"/>
      <c r="L858" s="146"/>
    </row>
    <row r="859" spans="1:12" ht="50.1" customHeight="1" x14ac:dyDescent="0.25">
      <c r="A859" s="204" t="s">
        <v>98</v>
      </c>
      <c r="B859" s="204" t="s">
        <v>99</v>
      </c>
      <c r="C859" s="176" t="s">
        <v>1</v>
      </c>
      <c r="D859" s="204" t="s">
        <v>195</v>
      </c>
      <c r="E859" s="238" t="s">
        <v>188</v>
      </c>
      <c r="F859" s="239" t="s">
        <v>533</v>
      </c>
      <c r="G859" s="212" t="s">
        <v>532</v>
      </c>
      <c r="H859" s="210" t="s">
        <v>528</v>
      </c>
      <c r="I859" s="210" t="s">
        <v>529</v>
      </c>
      <c r="J859" s="238" t="s">
        <v>197</v>
      </c>
      <c r="K859" s="210" t="s">
        <v>530</v>
      </c>
      <c r="L859" s="238" t="s">
        <v>196</v>
      </c>
    </row>
    <row r="860" spans="1:12" x14ac:dyDescent="0.25">
      <c r="A860" s="243" t="s">
        <v>418</v>
      </c>
      <c r="B860" s="196" t="s">
        <v>408</v>
      </c>
      <c r="C860" s="3" t="s">
        <v>409</v>
      </c>
      <c r="D860" s="40">
        <v>114</v>
      </c>
      <c r="E860" s="146">
        <v>7376797</v>
      </c>
      <c r="F860" s="146">
        <v>7376797</v>
      </c>
      <c r="G860" s="213" t="s">
        <v>500</v>
      </c>
      <c r="H860" s="215">
        <v>0</v>
      </c>
      <c r="I860" s="146">
        <v>727817</v>
      </c>
      <c r="J860" s="146">
        <v>726917</v>
      </c>
      <c r="K860" s="146">
        <v>900</v>
      </c>
      <c r="L860" s="146">
        <v>-900</v>
      </c>
    </row>
    <row r="861" spans="1:12" x14ac:dyDescent="0.25">
      <c r="A861" s="241" t="s">
        <v>419</v>
      </c>
      <c r="B861" s="184" t="s">
        <v>500</v>
      </c>
      <c r="C861" s="74" t="s">
        <v>500</v>
      </c>
      <c r="D861" s="180" t="s">
        <v>500</v>
      </c>
      <c r="E861" s="78">
        <f>SUBTOTAL(109,school198687[Program
Costs])</f>
        <v>7376797</v>
      </c>
      <c r="F861" s="78">
        <f>SUBTOTAL(109,school198687[Less: Net Payments and Offsets 10])</f>
        <v>7376797</v>
      </c>
      <c r="G861" s="74" t="s">
        <v>500</v>
      </c>
      <c r="H861" s="179">
        <f>SUBTOTAL(109,school198687[Accounts Payable
Balance])</f>
        <v>0</v>
      </c>
      <c r="I861" s="78">
        <f>SUBTOTAL(109,school198687[Established
Accounts Receivable])</f>
        <v>727817</v>
      </c>
      <c r="J861" s="78">
        <f>SUBTOTAL(109,school198687[Less: Recovered Amount])</f>
        <v>726917</v>
      </c>
      <c r="K861" s="78">
        <f>SUBTOTAL(109,school198687[Accounts Receivable
Balance])</f>
        <v>900</v>
      </c>
      <c r="L861" s="78">
        <f>SUBTOTAL(109,school198687[Net
Balance])</f>
        <v>-900</v>
      </c>
    </row>
    <row r="862" spans="1:12" s="244" customFormat="1" ht="15" x14ac:dyDescent="0.2">
      <c r="A862" s="214" t="s">
        <v>508</v>
      </c>
      <c r="B862" s="196"/>
      <c r="C862" s="3"/>
      <c r="D862" s="40"/>
      <c r="E862" s="146"/>
      <c r="F862" s="146"/>
      <c r="G862" s="146"/>
      <c r="H862" s="146"/>
      <c r="I862" s="146"/>
      <c r="J862" s="146"/>
      <c r="K862" s="146"/>
      <c r="L862" s="146"/>
    </row>
    <row r="863" spans="1:12" ht="50.1" customHeight="1" x14ac:dyDescent="0.25">
      <c r="A863" s="204" t="s">
        <v>98</v>
      </c>
      <c r="B863" s="204" t="s">
        <v>99</v>
      </c>
      <c r="C863" s="176" t="s">
        <v>1</v>
      </c>
      <c r="D863" s="204" t="s">
        <v>195</v>
      </c>
      <c r="E863" s="238" t="s">
        <v>188</v>
      </c>
      <c r="F863" s="239" t="s">
        <v>533</v>
      </c>
      <c r="G863" s="212" t="s">
        <v>532</v>
      </c>
      <c r="H863" s="210" t="s">
        <v>528</v>
      </c>
      <c r="I863" s="210" t="s">
        <v>529</v>
      </c>
      <c r="J863" s="238" t="s">
        <v>197</v>
      </c>
      <c r="K863" s="210" t="s">
        <v>530</v>
      </c>
      <c r="L863" s="238" t="s">
        <v>196</v>
      </c>
    </row>
    <row r="864" spans="1:12" x14ac:dyDescent="0.25">
      <c r="A864" s="243" t="s">
        <v>420</v>
      </c>
      <c r="B864" s="196" t="s">
        <v>408</v>
      </c>
      <c r="C864" s="3" t="s">
        <v>409</v>
      </c>
      <c r="D864" s="40">
        <v>114</v>
      </c>
      <c r="E864" s="146">
        <v>7513308</v>
      </c>
      <c r="F864" s="146">
        <v>7513308</v>
      </c>
      <c r="G864" s="213" t="s">
        <v>500</v>
      </c>
      <c r="H864" s="215">
        <v>0</v>
      </c>
      <c r="I864" s="146">
        <v>588899</v>
      </c>
      <c r="J864" s="146">
        <v>588367</v>
      </c>
      <c r="K864" s="146">
        <v>532</v>
      </c>
      <c r="L864" s="146">
        <v>-532</v>
      </c>
    </row>
    <row r="865" spans="1:12" x14ac:dyDescent="0.25">
      <c r="A865" s="241" t="s">
        <v>421</v>
      </c>
      <c r="B865" s="184" t="s">
        <v>500</v>
      </c>
      <c r="C865" s="74" t="s">
        <v>500</v>
      </c>
      <c r="D865" s="180" t="s">
        <v>500</v>
      </c>
      <c r="E865" s="78">
        <f>SUBTOTAL(109,school198586[Program
Costs])</f>
        <v>7513308</v>
      </c>
      <c r="F865" s="78">
        <f>SUBTOTAL(109,school198586[Less: Net Payments and Offsets 10])</f>
        <v>7513308</v>
      </c>
      <c r="G865" s="74" t="s">
        <v>500</v>
      </c>
      <c r="H865" s="179">
        <f>SUBTOTAL(109,school198586[Accounts Payable
Balance])</f>
        <v>0</v>
      </c>
      <c r="I865" s="78">
        <f>SUBTOTAL(109,school198586[Established
Accounts Receivable])</f>
        <v>588899</v>
      </c>
      <c r="J865" s="78">
        <f>SUBTOTAL(109,school198586[Less: Recovered Amount])</f>
        <v>588367</v>
      </c>
      <c r="K865" s="78">
        <f>SUBTOTAL(109,school198586[Accounts Receivable
Balance])</f>
        <v>532</v>
      </c>
      <c r="L865" s="78">
        <f>SUBTOTAL(109,school198586[Net
Balance])</f>
        <v>-532</v>
      </c>
    </row>
    <row r="866" spans="1:12" s="244" customFormat="1" ht="15" x14ac:dyDescent="0.2">
      <c r="A866" s="214" t="s">
        <v>508</v>
      </c>
      <c r="B866" s="196"/>
      <c r="C866" s="3"/>
      <c r="D866" s="40"/>
      <c r="E866" s="146"/>
      <c r="F866" s="146"/>
      <c r="G866" s="146"/>
      <c r="H866" s="146"/>
      <c r="I866" s="146"/>
      <c r="J866" s="146"/>
      <c r="K866" s="146"/>
      <c r="L866" s="146"/>
    </row>
    <row r="867" spans="1:12" s="244" customFormat="1" ht="50.1" customHeight="1" x14ac:dyDescent="0.25">
      <c r="A867" s="204" t="s">
        <v>98</v>
      </c>
      <c r="B867" s="204" t="s">
        <v>99</v>
      </c>
      <c r="C867" s="176" t="s">
        <v>1</v>
      </c>
      <c r="D867" s="204" t="s">
        <v>195</v>
      </c>
      <c r="E867" s="238" t="s">
        <v>188</v>
      </c>
      <c r="F867" s="239" t="s">
        <v>533</v>
      </c>
      <c r="G867" s="212" t="s">
        <v>532</v>
      </c>
      <c r="H867" s="210" t="s">
        <v>528</v>
      </c>
      <c r="I867" s="210" t="s">
        <v>529</v>
      </c>
      <c r="J867" s="238" t="s">
        <v>197</v>
      </c>
      <c r="K867" s="210" t="s">
        <v>530</v>
      </c>
      <c r="L867" s="238" t="s">
        <v>196</v>
      </c>
    </row>
    <row r="868" spans="1:12" s="244" customFormat="1" ht="15.6" customHeight="1" x14ac:dyDescent="0.2">
      <c r="A868" s="248" t="s">
        <v>165</v>
      </c>
      <c r="B868" s="213" t="s">
        <v>500</v>
      </c>
      <c r="C868" s="213" t="s">
        <v>500</v>
      </c>
      <c r="D868" s="213" t="s">
        <v>500</v>
      </c>
      <c r="E868" s="258">
        <v>4130891</v>
      </c>
      <c r="F868" s="259">
        <v>31000</v>
      </c>
      <c r="G868" s="254" t="s">
        <v>500</v>
      </c>
      <c r="H868" s="257">
        <v>4099891</v>
      </c>
      <c r="I868" s="255">
        <v>0</v>
      </c>
      <c r="J868" s="256">
        <v>0</v>
      </c>
      <c r="K868" s="255">
        <v>0</v>
      </c>
      <c r="L868" s="258">
        <v>4099891</v>
      </c>
    </row>
    <row r="869" spans="1:12" s="244" customFormat="1" ht="15.6" customHeight="1" x14ac:dyDescent="0.2">
      <c r="A869" s="248" t="s">
        <v>16</v>
      </c>
      <c r="B869" s="213" t="s">
        <v>500</v>
      </c>
      <c r="C869" s="213" t="s">
        <v>500</v>
      </c>
      <c r="D869" s="213" t="s">
        <v>500</v>
      </c>
      <c r="E869" s="258">
        <v>5358461</v>
      </c>
      <c r="F869" s="259">
        <v>32000</v>
      </c>
      <c r="G869" s="254" t="s">
        <v>500</v>
      </c>
      <c r="H869" s="257">
        <v>5326461</v>
      </c>
      <c r="I869" s="255">
        <v>0</v>
      </c>
      <c r="J869" s="256">
        <v>0</v>
      </c>
      <c r="K869" s="255">
        <v>0</v>
      </c>
      <c r="L869" s="258">
        <v>5326461</v>
      </c>
    </row>
    <row r="870" spans="1:12" s="244" customFormat="1" ht="15.6" customHeight="1" x14ac:dyDescent="0.2">
      <c r="A870" s="248" t="s">
        <v>18</v>
      </c>
      <c r="B870" s="213" t="s">
        <v>500</v>
      </c>
      <c r="C870" s="213" t="s">
        <v>500</v>
      </c>
      <c r="D870" s="213" t="s">
        <v>500</v>
      </c>
      <c r="E870" s="258">
        <v>22957051</v>
      </c>
      <c r="F870" s="259">
        <v>10967524</v>
      </c>
      <c r="G870" s="254" t="s">
        <v>500</v>
      </c>
      <c r="H870" s="257">
        <v>11989527</v>
      </c>
      <c r="I870" s="255">
        <v>0</v>
      </c>
      <c r="J870" s="256">
        <v>0</v>
      </c>
      <c r="K870" s="255">
        <v>0</v>
      </c>
      <c r="L870" s="258">
        <v>11989527</v>
      </c>
    </row>
    <row r="871" spans="1:12" s="244" customFormat="1" ht="15.6" customHeight="1" x14ac:dyDescent="0.2">
      <c r="A871" s="248" t="s">
        <v>14</v>
      </c>
      <c r="B871" s="213" t="s">
        <v>500</v>
      </c>
      <c r="C871" s="213" t="s">
        <v>500</v>
      </c>
      <c r="D871" s="213" t="s">
        <v>500</v>
      </c>
      <c r="E871" s="258">
        <v>47113602</v>
      </c>
      <c r="F871" s="259">
        <v>28463721</v>
      </c>
      <c r="G871" s="254" t="s">
        <v>500</v>
      </c>
      <c r="H871" s="257">
        <v>18649881</v>
      </c>
      <c r="I871" s="257">
        <v>1000</v>
      </c>
      <c r="J871" s="256">
        <v>0</v>
      </c>
      <c r="K871" s="257">
        <v>1000</v>
      </c>
      <c r="L871" s="258">
        <v>18648881</v>
      </c>
    </row>
    <row r="872" spans="1:12" s="244" customFormat="1" ht="15.6" customHeight="1" x14ac:dyDescent="0.2">
      <c r="A872" s="248" t="s">
        <v>206</v>
      </c>
      <c r="B872" s="213" t="s">
        <v>500</v>
      </c>
      <c r="C872" s="213" t="s">
        <v>500</v>
      </c>
      <c r="D872" s="213" t="s">
        <v>500</v>
      </c>
      <c r="E872" s="258">
        <v>84475735</v>
      </c>
      <c r="F872" s="259">
        <v>54123611</v>
      </c>
      <c r="G872" s="254" t="s">
        <v>500</v>
      </c>
      <c r="H872" s="257">
        <v>30352124</v>
      </c>
      <c r="I872" s="255">
        <v>0</v>
      </c>
      <c r="J872" s="256">
        <v>0</v>
      </c>
      <c r="K872" s="255">
        <v>0</v>
      </c>
      <c r="L872" s="258">
        <v>30352124</v>
      </c>
    </row>
    <row r="873" spans="1:12" s="244" customFormat="1" ht="15.6" customHeight="1" x14ac:dyDescent="0.2">
      <c r="A873" s="248" t="s">
        <v>183</v>
      </c>
      <c r="B873" s="213" t="s">
        <v>500</v>
      </c>
      <c r="C873" s="213" t="s">
        <v>500</v>
      </c>
      <c r="D873" s="213" t="s">
        <v>500</v>
      </c>
      <c r="E873" s="258">
        <v>103471204</v>
      </c>
      <c r="F873" s="259">
        <v>81562333</v>
      </c>
      <c r="G873" s="254" t="s">
        <v>500</v>
      </c>
      <c r="H873" s="257">
        <v>21908871</v>
      </c>
      <c r="I873" s="255">
        <v>0</v>
      </c>
      <c r="J873" s="256">
        <v>0</v>
      </c>
      <c r="K873" s="255">
        <v>0</v>
      </c>
      <c r="L873" s="258">
        <v>21908871</v>
      </c>
    </row>
    <row r="874" spans="1:12" s="244" customFormat="1" ht="15.6" customHeight="1" x14ac:dyDescent="0.2">
      <c r="A874" s="248" t="s">
        <v>184</v>
      </c>
      <c r="B874" s="213" t="s">
        <v>500</v>
      </c>
      <c r="C874" s="213" t="s">
        <v>500</v>
      </c>
      <c r="D874" s="213" t="s">
        <v>500</v>
      </c>
      <c r="E874" s="258">
        <v>257181148</v>
      </c>
      <c r="F874" s="259">
        <v>143344942</v>
      </c>
      <c r="G874" s="254" t="s">
        <v>500</v>
      </c>
      <c r="H874" s="257">
        <v>113836206</v>
      </c>
      <c r="I874" s="257">
        <v>1000</v>
      </c>
      <c r="J874" s="258">
        <v>1000</v>
      </c>
      <c r="K874" s="255">
        <v>0</v>
      </c>
      <c r="L874" s="258">
        <v>113836206</v>
      </c>
    </row>
    <row r="875" spans="1:12" s="244" customFormat="1" ht="15.6" customHeight="1" x14ac:dyDescent="0.2">
      <c r="A875" s="248" t="s">
        <v>185</v>
      </c>
      <c r="B875" s="213" t="s">
        <v>500</v>
      </c>
      <c r="C875" s="213" t="s">
        <v>500</v>
      </c>
      <c r="D875" s="213" t="s">
        <v>500</v>
      </c>
      <c r="E875" s="258">
        <v>417214426</v>
      </c>
      <c r="F875" s="259">
        <v>279527311</v>
      </c>
      <c r="G875" s="254" t="s">
        <v>500</v>
      </c>
      <c r="H875" s="257">
        <v>137687115</v>
      </c>
      <c r="I875" s="255">
        <v>0</v>
      </c>
      <c r="J875" s="256">
        <v>0</v>
      </c>
      <c r="K875" s="255">
        <v>0</v>
      </c>
      <c r="L875" s="258">
        <v>137687115</v>
      </c>
    </row>
    <row r="876" spans="1:12" s="244" customFormat="1" ht="15.6" customHeight="1" x14ac:dyDescent="0.2">
      <c r="A876" s="248" t="s">
        <v>84</v>
      </c>
      <c r="B876" s="213" t="s">
        <v>500</v>
      </c>
      <c r="C876" s="213" t="s">
        <v>500</v>
      </c>
      <c r="D876" s="213" t="s">
        <v>500</v>
      </c>
      <c r="E876" s="258">
        <v>426537951</v>
      </c>
      <c r="F876" s="259">
        <v>301477254</v>
      </c>
      <c r="G876" s="254" t="s">
        <v>500</v>
      </c>
      <c r="H876" s="257">
        <v>125060697</v>
      </c>
      <c r="I876" s="255">
        <v>0</v>
      </c>
      <c r="J876" s="256">
        <v>0</v>
      </c>
      <c r="K876" s="255">
        <v>0</v>
      </c>
      <c r="L876" s="258">
        <v>125060697</v>
      </c>
    </row>
    <row r="877" spans="1:12" s="244" customFormat="1" ht="15.6" customHeight="1" x14ac:dyDescent="0.2">
      <c r="A877" s="248" t="s">
        <v>87</v>
      </c>
      <c r="B877" s="213" t="s">
        <v>500</v>
      </c>
      <c r="C877" s="213" t="s">
        <v>500</v>
      </c>
      <c r="D877" s="213" t="s">
        <v>500</v>
      </c>
      <c r="E877" s="258">
        <v>470276090</v>
      </c>
      <c r="F877" s="259">
        <v>363490392</v>
      </c>
      <c r="G877" s="254" t="s">
        <v>500</v>
      </c>
      <c r="H877" s="257">
        <v>106785698</v>
      </c>
      <c r="I877" s="257">
        <v>740238</v>
      </c>
      <c r="J877" s="258">
        <v>33523</v>
      </c>
      <c r="K877" s="257">
        <v>706715</v>
      </c>
      <c r="L877" s="258">
        <v>106078983</v>
      </c>
    </row>
    <row r="878" spans="1:12" s="244" customFormat="1" ht="15.6" customHeight="1" x14ac:dyDescent="0.2">
      <c r="A878" s="248" t="s">
        <v>76</v>
      </c>
      <c r="B878" s="213" t="s">
        <v>500</v>
      </c>
      <c r="C878" s="213" t="s">
        <v>500</v>
      </c>
      <c r="D878" s="213" t="s">
        <v>500</v>
      </c>
      <c r="E878" s="258">
        <v>479114940</v>
      </c>
      <c r="F878" s="259">
        <v>380599458</v>
      </c>
      <c r="G878" s="254" t="s">
        <v>500</v>
      </c>
      <c r="H878" s="257">
        <v>98515482</v>
      </c>
      <c r="I878" s="257">
        <v>2272295</v>
      </c>
      <c r="J878" s="258">
        <v>295119</v>
      </c>
      <c r="K878" s="257">
        <v>1977176</v>
      </c>
      <c r="L878" s="258">
        <v>96538306</v>
      </c>
    </row>
    <row r="879" spans="1:12" s="244" customFormat="1" ht="15.6" customHeight="1" x14ac:dyDescent="0.2">
      <c r="A879" s="248" t="s">
        <v>79</v>
      </c>
      <c r="B879" s="213" t="s">
        <v>500</v>
      </c>
      <c r="C879" s="213" t="s">
        <v>500</v>
      </c>
      <c r="D879" s="213" t="s">
        <v>500</v>
      </c>
      <c r="E879" s="258">
        <v>479521182</v>
      </c>
      <c r="F879" s="259">
        <v>392806553</v>
      </c>
      <c r="G879" s="254" t="s">
        <v>500</v>
      </c>
      <c r="H879" s="257">
        <v>86714629</v>
      </c>
      <c r="I879" s="257">
        <v>1087600</v>
      </c>
      <c r="J879" s="258">
        <v>1086573</v>
      </c>
      <c r="K879" s="257">
        <v>1027</v>
      </c>
      <c r="L879" s="258">
        <v>86713602</v>
      </c>
    </row>
    <row r="880" spans="1:12" s="244" customFormat="1" ht="15.6" customHeight="1" x14ac:dyDescent="0.2">
      <c r="A880" s="248" t="s">
        <v>80</v>
      </c>
      <c r="B880" s="213" t="s">
        <v>500</v>
      </c>
      <c r="C880" s="213" t="s">
        <v>500</v>
      </c>
      <c r="D880" s="213" t="s">
        <v>500</v>
      </c>
      <c r="E880" s="258">
        <v>453651870</v>
      </c>
      <c r="F880" s="259">
        <v>394141865</v>
      </c>
      <c r="G880" s="254" t="s">
        <v>500</v>
      </c>
      <c r="H880" s="257">
        <v>59510005</v>
      </c>
      <c r="I880" s="257">
        <v>2341878</v>
      </c>
      <c r="J880" s="258">
        <v>1649405</v>
      </c>
      <c r="K880" s="257">
        <v>692473</v>
      </c>
      <c r="L880" s="258">
        <v>58817532</v>
      </c>
    </row>
    <row r="881" spans="1:12" s="244" customFormat="1" ht="15.6" customHeight="1" x14ac:dyDescent="0.2">
      <c r="A881" s="248" t="s">
        <v>81</v>
      </c>
      <c r="B881" s="213" t="s">
        <v>500</v>
      </c>
      <c r="C881" s="213" t="s">
        <v>500</v>
      </c>
      <c r="D881" s="213" t="s">
        <v>500</v>
      </c>
      <c r="E881" s="258">
        <v>427207125</v>
      </c>
      <c r="F881" s="259">
        <v>382189807</v>
      </c>
      <c r="G881" s="254" t="s">
        <v>500</v>
      </c>
      <c r="H881" s="257">
        <v>45017318</v>
      </c>
      <c r="I881" s="257">
        <v>12998953</v>
      </c>
      <c r="J881" s="258">
        <v>10179156</v>
      </c>
      <c r="K881" s="257">
        <v>2819797</v>
      </c>
      <c r="L881" s="258">
        <v>42197521</v>
      </c>
    </row>
    <row r="882" spans="1:12" s="244" customFormat="1" ht="15.6" customHeight="1" x14ac:dyDescent="0.2">
      <c r="A882" s="248" t="s">
        <v>82</v>
      </c>
      <c r="B882" s="213" t="s">
        <v>500</v>
      </c>
      <c r="C882" s="213" t="s">
        <v>500</v>
      </c>
      <c r="D882" s="213" t="s">
        <v>500</v>
      </c>
      <c r="E882" s="258">
        <v>370755137</v>
      </c>
      <c r="F882" s="259">
        <v>346625327</v>
      </c>
      <c r="G882" s="254" t="s">
        <v>500</v>
      </c>
      <c r="H882" s="257">
        <v>24129810</v>
      </c>
      <c r="I882" s="257">
        <v>6102299</v>
      </c>
      <c r="J882" s="258">
        <v>3709101</v>
      </c>
      <c r="K882" s="257">
        <v>2393198</v>
      </c>
      <c r="L882" s="258">
        <v>21736612</v>
      </c>
    </row>
    <row r="883" spans="1:12" s="244" customFormat="1" ht="15.6" customHeight="1" x14ac:dyDescent="0.2">
      <c r="A883" s="248" t="s">
        <v>83</v>
      </c>
      <c r="B883" s="213" t="s">
        <v>500</v>
      </c>
      <c r="C883" s="213" t="s">
        <v>500</v>
      </c>
      <c r="D883" s="213" t="s">
        <v>500</v>
      </c>
      <c r="E883" s="258">
        <v>307781613</v>
      </c>
      <c r="F883" s="259">
        <v>293368546</v>
      </c>
      <c r="G883" s="254" t="s">
        <v>500</v>
      </c>
      <c r="H883" s="257">
        <v>14413067</v>
      </c>
      <c r="I883" s="257">
        <v>3551141</v>
      </c>
      <c r="J883" s="258">
        <v>1620797</v>
      </c>
      <c r="K883" s="257">
        <v>1930344</v>
      </c>
      <c r="L883" s="258">
        <v>12482723</v>
      </c>
    </row>
    <row r="884" spans="1:12" s="244" customFormat="1" ht="15.6" customHeight="1" x14ac:dyDescent="0.2">
      <c r="A884" s="248" t="s">
        <v>71</v>
      </c>
      <c r="B884" s="213" t="s">
        <v>500</v>
      </c>
      <c r="C884" s="213" t="s">
        <v>500</v>
      </c>
      <c r="D884" s="213" t="s">
        <v>500</v>
      </c>
      <c r="E884" s="258">
        <v>321301010</v>
      </c>
      <c r="F884" s="259">
        <v>313038200</v>
      </c>
      <c r="G884" s="254" t="s">
        <v>500</v>
      </c>
      <c r="H884" s="257">
        <v>8262810</v>
      </c>
      <c r="I884" s="257">
        <v>30205577</v>
      </c>
      <c r="J884" s="258">
        <v>4562729</v>
      </c>
      <c r="K884" s="257">
        <v>25642848</v>
      </c>
      <c r="L884" s="258">
        <v>-17380038</v>
      </c>
    </row>
    <row r="885" spans="1:12" s="244" customFormat="1" ht="15.6" customHeight="1" x14ac:dyDescent="0.2">
      <c r="A885" s="248" t="s">
        <v>74</v>
      </c>
      <c r="B885" s="213" t="s">
        <v>500</v>
      </c>
      <c r="C885" s="213" t="s">
        <v>500</v>
      </c>
      <c r="D885" s="213" t="s">
        <v>500</v>
      </c>
      <c r="E885" s="258">
        <v>397097007</v>
      </c>
      <c r="F885" s="259">
        <v>392062400</v>
      </c>
      <c r="G885" s="254" t="s">
        <v>500</v>
      </c>
      <c r="H885" s="257">
        <v>5034607</v>
      </c>
      <c r="I885" s="257">
        <v>49635549</v>
      </c>
      <c r="J885" s="258">
        <v>36119171</v>
      </c>
      <c r="K885" s="257">
        <v>13516378</v>
      </c>
      <c r="L885" s="258">
        <v>-8481771</v>
      </c>
    </row>
    <row r="886" spans="1:12" s="244" customFormat="1" ht="15.6" customHeight="1" x14ac:dyDescent="0.2">
      <c r="A886" s="248" t="s">
        <v>75</v>
      </c>
      <c r="B886" s="213" t="s">
        <v>500</v>
      </c>
      <c r="C886" s="213" t="s">
        <v>500</v>
      </c>
      <c r="D886" s="213" t="s">
        <v>500</v>
      </c>
      <c r="E886" s="258">
        <v>306231013</v>
      </c>
      <c r="F886" s="259">
        <v>302749655</v>
      </c>
      <c r="G886" s="254" t="s">
        <v>500</v>
      </c>
      <c r="H886" s="257">
        <v>3481358</v>
      </c>
      <c r="I886" s="257">
        <v>21213288</v>
      </c>
      <c r="J886" s="258">
        <v>21091402</v>
      </c>
      <c r="K886" s="257">
        <v>121886</v>
      </c>
      <c r="L886" s="258">
        <v>3359472</v>
      </c>
    </row>
    <row r="887" spans="1:12" s="244" customFormat="1" ht="15.6" customHeight="1" x14ac:dyDescent="0.2">
      <c r="A887" s="248" t="s">
        <v>284</v>
      </c>
      <c r="B887" s="213" t="s">
        <v>500</v>
      </c>
      <c r="C887" s="213" t="s">
        <v>500</v>
      </c>
      <c r="D887" s="213" t="s">
        <v>500</v>
      </c>
      <c r="E887" s="258">
        <v>271888512</v>
      </c>
      <c r="F887" s="259">
        <v>268969947</v>
      </c>
      <c r="G887" s="254" t="s">
        <v>500</v>
      </c>
      <c r="H887" s="257">
        <v>2918565</v>
      </c>
      <c r="I887" s="257">
        <v>7805759</v>
      </c>
      <c r="J887" s="258">
        <v>7767455</v>
      </c>
      <c r="K887" s="257">
        <v>38304</v>
      </c>
      <c r="L887" s="258">
        <v>2880261</v>
      </c>
    </row>
    <row r="888" spans="1:12" s="244" customFormat="1" ht="15.6" customHeight="1" x14ac:dyDescent="0.2">
      <c r="A888" s="248" t="s">
        <v>288</v>
      </c>
      <c r="B888" s="213" t="s">
        <v>500</v>
      </c>
      <c r="C888" s="213" t="s">
        <v>500</v>
      </c>
      <c r="D888" s="213" t="s">
        <v>500</v>
      </c>
      <c r="E888" s="258">
        <v>206780256</v>
      </c>
      <c r="F888" s="259">
        <v>204404230</v>
      </c>
      <c r="G888" s="254" t="s">
        <v>500</v>
      </c>
      <c r="H888" s="257">
        <v>2376026</v>
      </c>
      <c r="I888" s="257">
        <v>9671809</v>
      </c>
      <c r="J888" s="258">
        <v>8335922</v>
      </c>
      <c r="K888" s="257">
        <v>1335887</v>
      </c>
      <c r="L888" s="258">
        <v>1040139</v>
      </c>
    </row>
    <row r="889" spans="1:12" s="244" customFormat="1" ht="15.6" customHeight="1" x14ac:dyDescent="0.2">
      <c r="A889" s="248" t="s">
        <v>293</v>
      </c>
      <c r="B889" s="213" t="s">
        <v>500</v>
      </c>
      <c r="C889" s="213" t="s">
        <v>500</v>
      </c>
      <c r="D889" s="213" t="s">
        <v>500</v>
      </c>
      <c r="E889" s="258">
        <v>96766913</v>
      </c>
      <c r="F889" s="259">
        <v>94441109</v>
      </c>
      <c r="G889" s="254" t="s">
        <v>500</v>
      </c>
      <c r="H889" s="257">
        <v>2325804</v>
      </c>
      <c r="I889" s="257">
        <v>9346050</v>
      </c>
      <c r="J889" s="258">
        <v>9332615</v>
      </c>
      <c r="K889" s="257">
        <v>13435</v>
      </c>
      <c r="L889" s="258">
        <v>2312369</v>
      </c>
    </row>
    <row r="890" spans="1:12" s="244" customFormat="1" ht="15.6" customHeight="1" x14ac:dyDescent="0.2">
      <c r="A890" s="248" t="s">
        <v>295</v>
      </c>
      <c r="B890" s="213" t="s">
        <v>500</v>
      </c>
      <c r="C890" s="213" t="s">
        <v>500</v>
      </c>
      <c r="D890" s="213" t="s">
        <v>500</v>
      </c>
      <c r="E890" s="258">
        <v>77997537</v>
      </c>
      <c r="F890" s="259">
        <v>75747948</v>
      </c>
      <c r="G890" s="254" t="s">
        <v>500</v>
      </c>
      <c r="H890" s="257">
        <v>2249589</v>
      </c>
      <c r="I890" s="257">
        <v>8640889</v>
      </c>
      <c r="J890" s="258">
        <v>8625421</v>
      </c>
      <c r="K890" s="257">
        <v>15468</v>
      </c>
      <c r="L890" s="258">
        <v>2234121</v>
      </c>
    </row>
    <row r="891" spans="1:12" s="244" customFormat="1" ht="15.6" customHeight="1" x14ac:dyDescent="0.2">
      <c r="A891" s="248" t="s">
        <v>297</v>
      </c>
      <c r="B891" s="213" t="s">
        <v>500</v>
      </c>
      <c r="C891" s="213" t="s">
        <v>500</v>
      </c>
      <c r="D891" s="213" t="s">
        <v>500</v>
      </c>
      <c r="E891" s="258">
        <v>81068605</v>
      </c>
      <c r="F891" s="259">
        <v>78952207</v>
      </c>
      <c r="G891" s="254" t="s">
        <v>500</v>
      </c>
      <c r="H891" s="257">
        <v>2116398</v>
      </c>
      <c r="I891" s="257">
        <v>10530975</v>
      </c>
      <c r="J891" s="258">
        <v>10520264</v>
      </c>
      <c r="K891" s="257">
        <v>10711</v>
      </c>
      <c r="L891" s="258">
        <v>2105687</v>
      </c>
    </row>
    <row r="892" spans="1:12" s="244" customFormat="1" ht="15.6" customHeight="1" x14ac:dyDescent="0.2">
      <c r="A892" s="248" t="s">
        <v>299</v>
      </c>
      <c r="B892" s="213" t="s">
        <v>500</v>
      </c>
      <c r="C892" s="213" t="s">
        <v>500</v>
      </c>
      <c r="D892" s="213" t="s">
        <v>500</v>
      </c>
      <c r="E892" s="258">
        <v>34304426</v>
      </c>
      <c r="F892" s="259">
        <v>32307808</v>
      </c>
      <c r="G892" s="254" t="s">
        <v>500</v>
      </c>
      <c r="H892" s="257">
        <v>1996618</v>
      </c>
      <c r="I892" s="257">
        <v>79460</v>
      </c>
      <c r="J892" s="258">
        <v>78754</v>
      </c>
      <c r="K892" s="257">
        <v>706</v>
      </c>
      <c r="L892" s="258">
        <v>1995912</v>
      </c>
    </row>
    <row r="893" spans="1:12" s="244" customFormat="1" ht="15.6" customHeight="1" x14ac:dyDescent="0.2">
      <c r="A893" s="248" t="s">
        <v>406</v>
      </c>
      <c r="B893" s="213" t="s">
        <v>500</v>
      </c>
      <c r="C893" s="213" t="s">
        <v>500</v>
      </c>
      <c r="D893" s="213" t="s">
        <v>500</v>
      </c>
      <c r="E893" s="258">
        <v>60498795</v>
      </c>
      <c r="F893" s="259">
        <v>58158211</v>
      </c>
      <c r="G893" s="254" t="s">
        <v>500</v>
      </c>
      <c r="H893" s="257">
        <v>2340584</v>
      </c>
      <c r="I893" s="257">
        <v>3893180</v>
      </c>
      <c r="J893" s="258">
        <v>3825038</v>
      </c>
      <c r="K893" s="257">
        <v>68142</v>
      </c>
      <c r="L893" s="258">
        <v>2272442</v>
      </c>
    </row>
    <row r="894" spans="1:12" s="244" customFormat="1" ht="15.6" customHeight="1" x14ac:dyDescent="0.2">
      <c r="A894" s="248" t="s">
        <v>301</v>
      </c>
      <c r="B894" s="213" t="s">
        <v>500</v>
      </c>
      <c r="C894" s="213" t="s">
        <v>500</v>
      </c>
      <c r="D894" s="213" t="s">
        <v>500</v>
      </c>
      <c r="E894" s="258">
        <v>43009067</v>
      </c>
      <c r="F894" s="259">
        <v>43009067</v>
      </c>
      <c r="G894" s="254" t="s">
        <v>500</v>
      </c>
      <c r="H894" s="260">
        <v>0</v>
      </c>
      <c r="I894" s="257">
        <v>4838266</v>
      </c>
      <c r="J894" s="258">
        <v>4811695</v>
      </c>
      <c r="K894" s="257">
        <v>26571</v>
      </c>
      <c r="L894" s="258">
        <v>-26571</v>
      </c>
    </row>
    <row r="895" spans="1:12" s="244" customFormat="1" ht="15.6" customHeight="1" x14ac:dyDescent="0.2">
      <c r="A895" s="248" t="s">
        <v>305</v>
      </c>
      <c r="B895" s="213" t="s">
        <v>500</v>
      </c>
      <c r="C895" s="213" t="s">
        <v>500</v>
      </c>
      <c r="D895" s="213" t="s">
        <v>500</v>
      </c>
      <c r="E895" s="258">
        <v>11520157</v>
      </c>
      <c r="F895" s="259">
        <v>11520157</v>
      </c>
      <c r="G895" s="254" t="s">
        <v>500</v>
      </c>
      <c r="H895" s="260">
        <v>0</v>
      </c>
      <c r="I895" s="257">
        <v>1361039</v>
      </c>
      <c r="J895" s="258">
        <v>1360549</v>
      </c>
      <c r="K895" s="257">
        <v>490</v>
      </c>
      <c r="L895" s="258">
        <v>-490</v>
      </c>
    </row>
    <row r="896" spans="1:12" s="244" customFormat="1" ht="15.6" customHeight="1" x14ac:dyDescent="0.2">
      <c r="A896" s="248" t="s">
        <v>410</v>
      </c>
      <c r="B896" s="213" t="s">
        <v>500</v>
      </c>
      <c r="C896" s="213" t="s">
        <v>500</v>
      </c>
      <c r="D896" s="213" t="s">
        <v>500</v>
      </c>
      <c r="E896" s="258">
        <v>15397834</v>
      </c>
      <c r="F896" s="259">
        <v>15397834</v>
      </c>
      <c r="G896" s="254" t="s">
        <v>500</v>
      </c>
      <c r="H896" s="260">
        <v>0</v>
      </c>
      <c r="I896" s="257">
        <v>3960924</v>
      </c>
      <c r="J896" s="258">
        <v>3611255</v>
      </c>
      <c r="K896" s="257">
        <v>349669</v>
      </c>
      <c r="L896" s="258">
        <v>-349669</v>
      </c>
    </row>
    <row r="897" spans="1:12" s="244" customFormat="1" ht="15.6" customHeight="1" x14ac:dyDescent="0.2">
      <c r="A897" s="248" t="s">
        <v>412</v>
      </c>
      <c r="B897" s="213" t="s">
        <v>500</v>
      </c>
      <c r="C897" s="213" t="s">
        <v>500</v>
      </c>
      <c r="D897" s="213" t="s">
        <v>500</v>
      </c>
      <c r="E897" s="258">
        <v>17944440</v>
      </c>
      <c r="F897" s="259">
        <v>17944440</v>
      </c>
      <c r="G897" s="254" t="s">
        <v>500</v>
      </c>
      <c r="H897" s="260">
        <v>0</v>
      </c>
      <c r="I897" s="257">
        <v>1565577</v>
      </c>
      <c r="J897" s="258">
        <v>1525010</v>
      </c>
      <c r="K897" s="257">
        <v>40567</v>
      </c>
      <c r="L897" s="258">
        <v>-40567</v>
      </c>
    </row>
    <row r="898" spans="1:12" s="244" customFormat="1" ht="15.6" customHeight="1" x14ac:dyDescent="0.2">
      <c r="A898" s="248" t="s">
        <v>414</v>
      </c>
      <c r="B898" s="213" t="s">
        <v>500</v>
      </c>
      <c r="C898" s="213" t="s">
        <v>500</v>
      </c>
      <c r="D898" s="213" t="s">
        <v>500</v>
      </c>
      <c r="E898" s="258">
        <v>8195968</v>
      </c>
      <c r="F898" s="259">
        <v>8195968</v>
      </c>
      <c r="G898" s="254" t="s">
        <v>500</v>
      </c>
      <c r="H898" s="260">
        <v>0</v>
      </c>
      <c r="I898" s="257">
        <v>880183</v>
      </c>
      <c r="J898" s="258">
        <v>879682</v>
      </c>
      <c r="K898" s="257">
        <v>501</v>
      </c>
      <c r="L898" s="258">
        <v>-501</v>
      </c>
    </row>
    <row r="899" spans="1:12" s="244" customFormat="1" ht="15.6" customHeight="1" x14ac:dyDescent="0.2">
      <c r="A899" s="248" t="s">
        <v>416</v>
      </c>
      <c r="B899" s="213" t="s">
        <v>500</v>
      </c>
      <c r="C899" s="213" t="s">
        <v>500</v>
      </c>
      <c r="D899" s="213" t="s">
        <v>500</v>
      </c>
      <c r="E899" s="258">
        <v>8055062</v>
      </c>
      <c r="F899" s="259">
        <v>8055062</v>
      </c>
      <c r="G899" s="254" t="s">
        <v>500</v>
      </c>
      <c r="H899" s="260">
        <v>0</v>
      </c>
      <c r="I899" s="257">
        <v>803598</v>
      </c>
      <c r="J899" s="258">
        <v>803123</v>
      </c>
      <c r="K899" s="257">
        <v>475</v>
      </c>
      <c r="L899" s="258">
        <v>-475</v>
      </c>
    </row>
    <row r="900" spans="1:12" s="244" customFormat="1" ht="15.6" customHeight="1" x14ac:dyDescent="0.2">
      <c r="A900" s="248" t="s">
        <v>418</v>
      </c>
      <c r="B900" s="213" t="s">
        <v>500</v>
      </c>
      <c r="C900" s="213" t="s">
        <v>500</v>
      </c>
      <c r="D900" s="213" t="s">
        <v>500</v>
      </c>
      <c r="E900" s="258">
        <v>7376797</v>
      </c>
      <c r="F900" s="259">
        <v>7376797</v>
      </c>
      <c r="G900" s="254" t="s">
        <v>500</v>
      </c>
      <c r="H900" s="260">
        <v>0</v>
      </c>
      <c r="I900" s="257">
        <v>727817</v>
      </c>
      <c r="J900" s="258">
        <v>726917</v>
      </c>
      <c r="K900" s="257">
        <v>900</v>
      </c>
      <c r="L900" s="258">
        <v>-900</v>
      </c>
    </row>
    <row r="901" spans="1:12" s="244" customFormat="1" ht="15.6" customHeight="1" x14ac:dyDescent="0.2">
      <c r="A901" s="248" t="s">
        <v>420</v>
      </c>
      <c r="B901" s="213" t="s">
        <v>500</v>
      </c>
      <c r="C901" s="213" t="s">
        <v>500</v>
      </c>
      <c r="D901" s="213" t="s">
        <v>500</v>
      </c>
      <c r="E901" s="258">
        <v>7513308</v>
      </c>
      <c r="F901" s="259">
        <v>7513308</v>
      </c>
      <c r="G901" s="254" t="s">
        <v>500</v>
      </c>
      <c r="H901" s="260">
        <v>0</v>
      </c>
      <c r="I901" s="257">
        <v>588899</v>
      </c>
      <c r="J901" s="258">
        <v>588367</v>
      </c>
      <c r="K901" s="257">
        <v>532</v>
      </c>
      <c r="L901" s="258">
        <v>-532</v>
      </c>
    </row>
    <row r="902" spans="1:12" s="20" customFormat="1" ht="15.6" customHeight="1" x14ac:dyDescent="0.25">
      <c r="A902" s="261" t="s">
        <v>536</v>
      </c>
      <c r="B902" s="262" t="s">
        <v>500</v>
      </c>
      <c r="C902" s="262" t="s">
        <v>500</v>
      </c>
      <c r="D902" s="262" t="s">
        <v>500</v>
      </c>
      <c r="E902" s="263">
        <f>SUBTOTAL(109,schooltotal[Program
Costs])</f>
        <v>6329695133</v>
      </c>
      <c r="F902" s="264">
        <f>SUBTOTAL(109,schooltotal[Less: Net Payments and Offsets 10])</f>
        <v>5392595992</v>
      </c>
      <c r="G902" s="262" t="s">
        <v>500</v>
      </c>
      <c r="H902" s="265">
        <f>SUBTOTAL(109,schooltotal[Accounts Payable
Balance])</f>
        <v>937099141</v>
      </c>
      <c r="I902" s="266">
        <f>SUBTOTAL(109,schooltotal[Established
Accounts Receivable])</f>
        <v>194845243</v>
      </c>
      <c r="J902" s="263">
        <f>SUBTOTAL(109,schooltotal[Less: Recovered Amount])</f>
        <v>143140043</v>
      </c>
      <c r="K902" s="266">
        <f>SUBTOTAL(109,schooltotal[Accounts Receivable
Balance])</f>
        <v>51705200</v>
      </c>
      <c r="L902" s="263">
        <f>SUBTOTAL(109,schooltotal[Net
Balance])</f>
        <v>885393941</v>
      </c>
    </row>
    <row r="903" spans="1:12" s="244" customFormat="1" ht="15.6" customHeight="1" x14ac:dyDescent="0.2">
      <c r="A903" s="395" t="s">
        <v>579</v>
      </c>
      <c r="B903" s="248"/>
      <c r="C903" s="249"/>
      <c r="D903" s="248"/>
      <c r="E903" s="250"/>
      <c r="F903" s="251"/>
      <c r="G903" s="252"/>
      <c r="H903" s="253"/>
      <c r="I903" s="253"/>
      <c r="J903" s="250"/>
      <c r="K903" s="253"/>
      <c r="L903" s="250"/>
    </row>
    <row r="904" spans="1:12" s="244" customFormat="1" ht="18.600000000000001" customHeight="1" x14ac:dyDescent="0.2">
      <c r="A904" s="267" t="s">
        <v>535</v>
      </c>
      <c r="B904" s="248"/>
      <c r="C904" s="249"/>
      <c r="D904" s="248"/>
      <c r="E904" s="250"/>
      <c r="F904" s="251"/>
      <c r="G904" s="252"/>
      <c r="H904" s="253"/>
      <c r="I904" s="253"/>
      <c r="J904" s="250"/>
      <c r="K904" s="253"/>
      <c r="L904" s="250"/>
    </row>
  </sheetData>
  <hyperlinks>
    <hyperlink ref="F2" location="'Schedule B1-Schools'!A904" tooltip="This hyperlink will take you to the referenced footnote-footnote 10" display="Less: Net Payments and Offsets 10"/>
  </hyperlinks>
  <printOptions horizontalCentered="1" gridLines="1"/>
  <pageMargins left="0.3" right="0.3" top="1.1000000000000001" bottom="0.75" header="0.3" footer="0.3"/>
  <pageSetup scale="59" fitToHeight="0" orientation="landscape" r:id="rId1"/>
  <headerFooter>
    <oddHeader>&amp;C&amp;"-,Bold"&amp;12State Controller's Office
Schedule B1: Detail of Funded State-Mandated Programs by Fiscal Year
As of August 31, 2020</oddHeader>
    <oddFooter>&amp;LSchedule B1: Detail of Funded State-Mandated Programs by Fiscal Year
School Districts&amp;RPage &amp;P of &amp;N</oddFooter>
  </headerFooter>
  <rowBreaks count="5" manualBreakCount="5">
    <brk id="277" max="11" man="1"/>
    <brk id="420" max="11" man="1"/>
    <brk id="667" max="11" man="1"/>
    <brk id="737" max="11" man="1"/>
    <brk id="840" max="11" man="1"/>
  </rowBreaks>
  <legacyDrawing r:id="rId2"/>
  <tableParts count="3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72"/>
  <sheetViews>
    <sheetView zoomScaleNormal="100" zoomScalePageLayoutView="80" workbookViewId="0"/>
  </sheetViews>
  <sheetFormatPr defaultColWidth="9.140625" defaultRowHeight="15.75" outlineLevelRow="2" x14ac:dyDescent="0.25"/>
  <cols>
    <col min="1" max="1" width="37" style="193" customWidth="1"/>
    <col min="2" max="2" width="35.7109375" style="206" customWidth="1"/>
    <col min="3" max="3" width="12.5703125" style="207" customWidth="1"/>
    <col min="4" max="4" width="20.5703125" style="193" customWidth="1"/>
    <col min="5" max="6" width="18.7109375" style="270" customWidth="1"/>
    <col min="7" max="7" width="2.5703125" style="270" customWidth="1"/>
    <col min="8" max="8" width="18.7109375" style="270" customWidth="1"/>
    <col min="9" max="11" width="17.5703125" style="270" customWidth="1"/>
    <col min="12" max="12" width="18.7109375" style="270" customWidth="1"/>
    <col min="13" max="16384" width="9.140625" style="20"/>
  </cols>
  <sheetData>
    <row r="1" spans="1:12" s="244" customFormat="1" ht="54" customHeight="1" x14ac:dyDescent="0.25">
      <c r="A1" s="198" t="s">
        <v>531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</row>
    <row r="2" spans="1:12" s="244" customFormat="1" ht="50.1" customHeight="1" outlineLevel="1" x14ac:dyDescent="0.25">
      <c r="A2" s="203" t="s">
        <v>98</v>
      </c>
      <c r="B2" s="176" t="s">
        <v>99</v>
      </c>
      <c r="C2" s="176" t="s">
        <v>1</v>
      </c>
      <c r="D2" s="176" t="s">
        <v>195</v>
      </c>
      <c r="E2" s="210" t="s">
        <v>188</v>
      </c>
      <c r="F2" s="211" t="s">
        <v>580</v>
      </c>
      <c r="G2" s="212" t="s">
        <v>557</v>
      </c>
      <c r="H2" s="210" t="s">
        <v>528</v>
      </c>
      <c r="I2" s="210" t="s">
        <v>529</v>
      </c>
      <c r="J2" s="210" t="s">
        <v>197</v>
      </c>
      <c r="K2" s="210" t="s">
        <v>530</v>
      </c>
      <c r="L2" s="210" t="s">
        <v>196</v>
      </c>
    </row>
    <row r="3" spans="1:12" ht="30.95" customHeight="1" outlineLevel="2" x14ac:dyDescent="0.25">
      <c r="A3" s="243" t="s">
        <v>206</v>
      </c>
      <c r="B3" s="245" t="s">
        <v>115</v>
      </c>
      <c r="C3" s="244" t="s">
        <v>116</v>
      </c>
      <c r="D3" s="243">
        <v>232</v>
      </c>
      <c r="E3" s="246">
        <v>54721</v>
      </c>
      <c r="F3" s="246">
        <v>8356</v>
      </c>
      <c r="G3" s="213" t="s">
        <v>500</v>
      </c>
      <c r="H3" s="246">
        <v>46365</v>
      </c>
      <c r="I3" s="297">
        <v>0</v>
      </c>
      <c r="J3" s="297">
        <v>0</v>
      </c>
      <c r="K3" s="297">
        <v>0</v>
      </c>
      <c r="L3" s="246">
        <v>46365</v>
      </c>
    </row>
    <row r="4" spans="1:12" ht="30.75" customHeight="1" outlineLevel="2" x14ac:dyDescent="0.25">
      <c r="A4" s="243" t="s">
        <v>206</v>
      </c>
      <c r="B4" s="245" t="s">
        <v>422</v>
      </c>
      <c r="C4" s="244" t="s">
        <v>333</v>
      </c>
      <c r="D4" s="243">
        <v>267</v>
      </c>
      <c r="E4" s="246">
        <v>321143</v>
      </c>
      <c r="F4" s="246">
        <v>121251</v>
      </c>
      <c r="G4" s="213" t="s">
        <v>500</v>
      </c>
      <c r="H4" s="246">
        <v>199892</v>
      </c>
      <c r="I4" s="297">
        <v>0</v>
      </c>
      <c r="J4" s="297">
        <v>0</v>
      </c>
      <c r="K4" s="297">
        <v>0</v>
      </c>
      <c r="L4" s="246">
        <v>199892</v>
      </c>
    </row>
    <row r="5" spans="1:12" outlineLevel="2" x14ac:dyDescent="0.25">
      <c r="A5" s="243" t="s">
        <v>206</v>
      </c>
      <c r="B5" s="245" t="s">
        <v>423</v>
      </c>
      <c r="C5" s="244" t="s">
        <v>424</v>
      </c>
      <c r="D5" s="243">
        <v>347</v>
      </c>
      <c r="E5" s="297">
        <v>0</v>
      </c>
      <c r="F5" s="297">
        <v>0</v>
      </c>
      <c r="G5" s="213" t="s">
        <v>500</v>
      </c>
      <c r="H5" s="297">
        <v>0</v>
      </c>
      <c r="I5" s="246">
        <v>1000</v>
      </c>
      <c r="J5" s="297">
        <v>0</v>
      </c>
      <c r="K5" s="246">
        <v>1000</v>
      </c>
      <c r="L5" s="246">
        <v>-1000</v>
      </c>
    </row>
    <row r="6" spans="1:12" outlineLevel="2" x14ac:dyDescent="0.25">
      <c r="A6" s="241" t="s">
        <v>207</v>
      </c>
      <c r="B6" s="184" t="s">
        <v>500</v>
      </c>
      <c r="C6" s="74" t="s">
        <v>500</v>
      </c>
      <c r="D6" s="180" t="s">
        <v>500</v>
      </c>
      <c r="E6" s="78">
        <f>SUBTOTAL(109,college201415[Program
Costs])</f>
        <v>375864</v>
      </c>
      <c r="F6" s="78">
        <f>SUBTOTAL(109,college201415[Less: Net Payments and Offsets 11])</f>
        <v>129607</v>
      </c>
      <c r="G6" s="74" t="s">
        <v>500</v>
      </c>
      <c r="H6" s="78">
        <f>SUBTOTAL(109,college201415[Accounts Payable
Balance])</f>
        <v>246257</v>
      </c>
      <c r="I6" s="78">
        <f>SUBTOTAL(109,college201415[Established
Accounts Receivable])</f>
        <v>1000</v>
      </c>
      <c r="J6" s="179">
        <f>SUBTOTAL(109,college201415[Less: Recovered Amount])</f>
        <v>0</v>
      </c>
      <c r="K6" s="78">
        <f>SUBTOTAL(109,college201415[Accounts Receivable
Balance])</f>
        <v>1000</v>
      </c>
      <c r="L6" s="78">
        <f>SUBTOTAL(109,college201415[Net
Balance])</f>
        <v>245257</v>
      </c>
    </row>
    <row r="7" spans="1:12" s="244" customFormat="1" ht="15" outlineLevel="1" x14ac:dyDescent="0.2">
      <c r="A7" s="214" t="s">
        <v>508</v>
      </c>
      <c r="B7" s="245"/>
      <c r="D7" s="243"/>
      <c r="E7" s="246"/>
      <c r="F7" s="246"/>
      <c r="G7" s="246"/>
      <c r="H7" s="246"/>
      <c r="I7" s="246"/>
      <c r="J7" s="246"/>
      <c r="K7" s="246"/>
      <c r="L7" s="246"/>
    </row>
    <row r="8" spans="1:12" ht="50.1" customHeight="1" outlineLevel="2" x14ac:dyDescent="0.25">
      <c r="A8" s="203" t="s">
        <v>98</v>
      </c>
      <c r="B8" s="176" t="s">
        <v>99</v>
      </c>
      <c r="C8" s="176" t="s">
        <v>1</v>
      </c>
      <c r="D8" s="176" t="s">
        <v>195</v>
      </c>
      <c r="E8" s="210" t="s">
        <v>188</v>
      </c>
      <c r="F8" s="239" t="s">
        <v>537</v>
      </c>
      <c r="G8" s="212" t="s">
        <v>532</v>
      </c>
      <c r="H8" s="210" t="s">
        <v>528</v>
      </c>
      <c r="I8" s="210" t="s">
        <v>529</v>
      </c>
      <c r="J8" s="210" t="s">
        <v>197</v>
      </c>
      <c r="K8" s="210" t="s">
        <v>530</v>
      </c>
      <c r="L8" s="210" t="s">
        <v>196</v>
      </c>
    </row>
    <row r="9" spans="1:12" outlineLevel="2" x14ac:dyDescent="0.25">
      <c r="A9" s="243" t="s">
        <v>183</v>
      </c>
      <c r="B9" s="245" t="s">
        <v>173</v>
      </c>
      <c r="C9" s="244" t="s">
        <v>174</v>
      </c>
      <c r="D9" s="243">
        <v>355</v>
      </c>
      <c r="E9" s="246">
        <v>67945</v>
      </c>
      <c r="F9" s="246">
        <v>38765</v>
      </c>
      <c r="G9" s="213" t="s">
        <v>500</v>
      </c>
      <c r="H9" s="246">
        <v>29180</v>
      </c>
      <c r="I9" s="297">
        <v>0</v>
      </c>
      <c r="J9" s="297">
        <v>0</v>
      </c>
      <c r="K9" s="297">
        <v>0</v>
      </c>
      <c r="L9" s="246">
        <v>29180</v>
      </c>
    </row>
    <row r="10" spans="1:12" ht="45" customHeight="1" outlineLevel="2" x14ac:dyDescent="0.25">
      <c r="A10" s="243" t="s">
        <v>183</v>
      </c>
      <c r="B10" s="245" t="s">
        <v>115</v>
      </c>
      <c r="C10" s="244" t="s">
        <v>116</v>
      </c>
      <c r="D10" s="243">
        <v>232</v>
      </c>
      <c r="E10" s="246">
        <v>488941</v>
      </c>
      <c r="F10" s="246">
        <v>439154</v>
      </c>
      <c r="G10" s="213" t="s">
        <v>500</v>
      </c>
      <c r="H10" s="246">
        <v>49787</v>
      </c>
      <c r="I10" s="297">
        <v>0</v>
      </c>
      <c r="J10" s="297">
        <v>0</v>
      </c>
      <c r="K10" s="297">
        <v>0</v>
      </c>
      <c r="L10" s="246">
        <v>49787</v>
      </c>
    </row>
    <row r="11" spans="1:12" ht="30.75" outlineLevel="2" x14ac:dyDescent="0.25">
      <c r="A11" s="243" t="s">
        <v>183</v>
      </c>
      <c r="B11" s="245" t="s">
        <v>422</v>
      </c>
      <c r="C11" s="244" t="s">
        <v>333</v>
      </c>
      <c r="D11" s="243">
        <v>267</v>
      </c>
      <c r="E11" s="246">
        <v>390536</v>
      </c>
      <c r="F11" s="246">
        <v>241191</v>
      </c>
      <c r="G11" s="213" t="s">
        <v>500</v>
      </c>
      <c r="H11" s="246">
        <v>149345</v>
      </c>
      <c r="I11" s="297">
        <v>0</v>
      </c>
      <c r="J11" s="297">
        <v>0</v>
      </c>
      <c r="K11" s="297">
        <v>0</v>
      </c>
      <c r="L11" s="246">
        <v>149345</v>
      </c>
    </row>
    <row r="12" spans="1:12" outlineLevel="1" x14ac:dyDescent="0.25">
      <c r="A12" s="243" t="s">
        <v>183</v>
      </c>
      <c r="B12" s="245" t="s">
        <v>423</v>
      </c>
      <c r="C12" s="244" t="s">
        <v>424</v>
      </c>
      <c r="D12" s="243">
        <v>347</v>
      </c>
      <c r="E12" s="297">
        <v>0</v>
      </c>
      <c r="F12" s="297">
        <v>0</v>
      </c>
      <c r="G12" s="213" t="s">
        <v>500</v>
      </c>
      <c r="H12" s="297">
        <v>0</v>
      </c>
      <c r="I12" s="246">
        <v>1000</v>
      </c>
      <c r="J12" s="297">
        <v>0</v>
      </c>
      <c r="K12" s="246">
        <v>1000</v>
      </c>
      <c r="L12" s="246">
        <v>-1000</v>
      </c>
    </row>
    <row r="13" spans="1:12" outlineLevel="2" x14ac:dyDescent="0.25">
      <c r="A13" s="271" t="s">
        <v>208</v>
      </c>
      <c r="B13" s="184" t="s">
        <v>500</v>
      </c>
      <c r="C13" s="74" t="s">
        <v>500</v>
      </c>
      <c r="D13" s="180" t="s">
        <v>500</v>
      </c>
      <c r="E13" s="78">
        <f>SUBTOTAL(109,college201314[Program
Costs])</f>
        <v>947422</v>
      </c>
      <c r="F13" s="78">
        <f>SUBTOTAL(109,college201314[Less: Net Payments and Offsets 11])</f>
        <v>719110</v>
      </c>
      <c r="G13" s="74" t="s">
        <v>500</v>
      </c>
      <c r="H13" s="78">
        <f>SUBTOTAL(109,college201314[Accounts Payable
Balance])</f>
        <v>228312</v>
      </c>
      <c r="I13" s="78">
        <f>SUBTOTAL(109,college201314[Established
Accounts Receivable])</f>
        <v>1000</v>
      </c>
      <c r="J13" s="179">
        <f>SUBTOTAL(109,college201314[Less: Recovered Amount])</f>
        <v>0</v>
      </c>
      <c r="K13" s="78">
        <f>SUBTOTAL(109,college201314[Accounts Receivable
Balance])</f>
        <v>1000</v>
      </c>
      <c r="L13" s="78">
        <f>SUBTOTAL(109,college201314[Net
Balance])</f>
        <v>227312</v>
      </c>
    </row>
    <row r="14" spans="1:12" outlineLevel="2" x14ac:dyDescent="0.25">
      <c r="A14" s="214" t="s">
        <v>508</v>
      </c>
      <c r="B14" s="217"/>
      <c r="C14" s="218"/>
      <c r="D14" s="219"/>
      <c r="E14" s="220"/>
      <c r="F14" s="220"/>
      <c r="G14" s="218"/>
      <c r="H14" s="220"/>
      <c r="I14" s="220"/>
      <c r="J14" s="220"/>
      <c r="K14" s="220"/>
      <c r="L14" s="220"/>
    </row>
    <row r="15" spans="1:12" ht="50.1" customHeight="1" outlineLevel="2" x14ac:dyDescent="0.25">
      <c r="A15" s="203" t="s">
        <v>98</v>
      </c>
      <c r="B15" s="176" t="s">
        <v>99</v>
      </c>
      <c r="C15" s="176" t="s">
        <v>1</v>
      </c>
      <c r="D15" s="176" t="s">
        <v>195</v>
      </c>
      <c r="E15" s="210" t="s">
        <v>188</v>
      </c>
      <c r="F15" s="239" t="s">
        <v>537</v>
      </c>
      <c r="G15" s="212" t="s">
        <v>532</v>
      </c>
      <c r="H15" s="210" t="s">
        <v>528</v>
      </c>
      <c r="I15" s="210" t="s">
        <v>529</v>
      </c>
      <c r="J15" s="210" t="s">
        <v>197</v>
      </c>
      <c r="K15" s="210" t="s">
        <v>530</v>
      </c>
      <c r="L15" s="210" t="s">
        <v>196</v>
      </c>
    </row>
    <row r="16" spans="1:12" ht="15" customHeight="1" outlineLevel="2" x14ac:dyDescent="0.25">
      <c r="A16" s="243" t="s">
        <v>184</v>
      </c>
      <c r="B16" s="245" t="s">
        <v>173</v>
      </c>
      <c r="C16" s="244" t="s">
        <v>174</v>
      </c>
      <c r="D16" s="243">
        <v>355</v>
      </c>
      <c r="E16" s="246">
        <v>33830</v>
      </c>
      <c r="F16" s="246">
        <v>15629</v>
      </c>
      <c r="G16" s="213" t="s">
        <v>500</v>
      </c>
      <c r="H16" s="246">
        <v>18201</v>
      </c>
      <c r="I16" s="297">
        <v>0</v>
      </c>
      <c r="J16" s="297">
        <v>0</v>
      </c>
      <c r="K16" s="297">
        <v>0</v>
      </c>
      <c r="L16" s="246">
        <v>18201</v>
      </c>
    </row>
    <row r="17" spans="1:12" ht="45" customHeight="1" outlineLevel="2" x14ac:dyDescent="0.25">
      <c r="A17" s="243" t="s">
        <v>184</v>
      </c>
      <c r="B17" s="245" t="s">
        <v>115</v>
      </c>
      <c r="C17" s="244" t="s">
        <v>116</v>
      </c>
      <c r="D17" s="243">
        <v>232</v>
      </c>
      <c r="E17" s="246">
        <v>233153</v>
      </c>
      <c r="F17" s="246">
        <v>161629</v>
      </c>
      <c r="G17" s="213" t="s">
        <v>500</v>
      </c>
      <c r="H17" s="246">
        <v>71524</v>
      </c>
      <c r="I17" s="297">
        <v>0</v>
      </c>
      <c r="J17" s="297">
        <v>0</v>
      </c>
      <c r="K17" s="297">
        <v>0</v>
      </c>
      <c r="L17" s="246">
        <v>71524</v>
      </c>
    </row>
    <row r="18" spans="1:12" ht="30.75" outlineLevel="2" x14ac:dyDescent="0.25">
      <c r="A18" s="243" t="s">
        <v>184</v>
      </c>
      <c r="B18" s="245" t="s">
        <v>422</v>
      </c>
      <c r="C18" s="244" t="s">
        <v>333</v>
      </c>
      <c r="D18" s="243">
        <v>267</v>
      </c>
      <c r="E18" s="246">
        <v>536777</v>
      </c>
      <c r="F18" s="246">
        <v>237059</v>
      </c>
      <c r="G18" s="213" t="s">
        <v>500</v>
      </c>
      <c r="H18" s="246">
        <v>299718</v>
      </c>
      <c r="I18" s="297">
        <v>0</v>
      </c>
      <c r="J18" s="297">
        <v>0</v>
      </c>
      <c r="K18" s="297">
        <v>0</v>
      </c>
      <c r="L18" s="246">
        <v>299718</v>
      </c>
    </row>
    <row r="19" spans="1:12" ht="30.75" outlineLevel="2" x14ac:dyDescent="0.25">
      <c r="A19" s="243" t="s">
        <v>184</v>
      </c>
      <c r="B19" s="245" t="s">
        <v>337</v>
      </c>
      <c r="C19" s="244" t="s">
        <v>220</v>
      </c>
      <c r="D19" s="243">
        <v>320</v>
      </c>
      <c r="E19" s="246">
        <v>75416</v>
      </c>
      <c r="F19" s="246">
        <v>57555</v>
      </c>
      <c r="G19" s="213" t="s">
        <v>500</v>
      </c>
      <c r="H19" s="246">
        <v>17861</v>
      </c>
      <c r="I19" s="297">
        <v>0</v>
      </c>
      <c r="J19" s="297">
        <v>0</v>
      </c>
      <c r="K19" s="297">
        <v>0</v>
      </c>
      <c r="L19" s="246">
        <v>17861</v>
      </c>
    </row>
    <row r="20" spans="1:12" outlineLevel="1" x14ac:dyDescent="0.25">
      <c r="A20" s="243" t="s">
        <v>184</v>
      </c>
      <c r="B20" s="245" t="s">
        <v>423</v>
      </c>
      <c r="C20" s="244" t="s">
        <v>424</v>
      </c>
      <c r="D20" s="243">
        <v>347</v>
      </c>
      <c r="E20" s="297">
        <v>0</v>
      </c>
      <c r="F20" s="297">
        <v>0</v>
      </c>
      <c r="G20" s="213" t="s">
        <v>500</v>
      </c>
      <c r="H20" s="297">
        <v>0</v>
      </c>
      <c r="I20" s="246">
        <v>1000</v>
      </c>
      <c r="J20" s="297">
        <v>0</v>
      </c>
      <c r="K20" s="246">
        <v>1000</v>
      </c>
      <c r="L20" s="246">
        <v>-1000</v>
      </c>
    </row>
    <row r="21" spans="1:12" ht="15.75" customHeight="1" outlineLevel="2" x14ac:dyDescent="0.25">
      <c r="A21" s="243" t="s">
        <v>184</v>
      </c>
      <c r="B21" s="245" t="s">
        <v>425</v>
      </c>
      <c r="C21" s="244" t="s">
        <v>211</v>
      </c>
      <c r="D21" s="243">
        <v>238</v>
      </c>
      <c r="E21" s="246">
        <v>77295</v>
      </c>
      <c r="F21" s="246">
        <v>69101</v>
      </c>
      <c r="G21" s="213" t="s">
        <v>500</v>
      </c>
      <c r="H21" s="246">
        <v>8194</v>
      </c>
      <c r="I21" s="297">
        <v>0</v>
      </c>
      <c r="J21" s="297">
        <v>0</v>
      </c>
      <c r="K21" s="297">
        <v>0</v>
      </c>
      <c r="L21" s="246">
        <v>8194</v>
      </c>
    </row>
    <row r="22" spans="1:12" outlineLevel="2" x14ac:dyDescent="0.25">
      <c r="A22" s="271" t="s">
        <v>209</v>
      </c>
      <c r="B22" s="184" t="s">
        <v>500</v>
      </c>
      <c r="C22" s="74" t="s">
        <v>500</v>
      </c>
      <c r="D22" s="180" t="s">
        <v>500</v>
      </c>
      <c r="E22" s="78">
        <f>SUBTOTAL(109,college201213[Program
Costs])</f>
        <v>956471</v>
      </c>
      <c r="F22" s="78">
        <f>SUBTOTAL(109,college201213[Less: Net Payments and Offsets 11])</f>
        <v>540973</v>
      </c>
      <c r="G22" s="74" t="s">
        <v>500</v>
      </c>
      <c r="H22" s="78">
        <f>SUBTOTAL(109,college201213[Accounts Payable
Balance])</f>
        <v>415498</v>
      </c>
      <c r="I22" s="78">
        <f>SUBTOTAL(109,college201213[Established
Accounts Receivable])</f>
        <v>1000</v>
      </c>
      <c r="J22" s="179">
        <f>SUBTOTAL(109,college201213[Less: Recovered Amount])</f>
        <v>0</v>
      </c>
      <c r="K22" s="78">
        <f>SUBTOTAL(109,college201213[Accounts Receivable
Balance])</f>
        <v>1000</v>
      </c>
      <c r="L22" s="78">
        <f>SUBTOTAL(109,college201213[Net
Balance])</f>
        <v>414498</v>
      </c>
    </row>
    <row r="23" spans="1:12" s="244" customFormat="1" ht="15" outlineLevel="2" x14ac:dyDescent="0.2">
      <c r="A23" s="214" t="s">
        <v>508</v>
      </c>
      <c r="B23" s="245"/>
      <c r="D23" s="243"/>
      <c r="E23" s="246"/>
      <c r="F23" s="246"/>
      <c r="G23" s="246"/>
      <c r="H23" s="246"/>
      <c r="I23" s="246"/>
      <c r="J23" s="246"/>
      <c r="K23" s="246"/>
      <c r="L23" s="246"/>
    </row>
    <row r="24" spans="1:12" ht="50.1" customHeight="1" outlineLevel="2" x14ac:dyDescent="0.25">
      <c r="A24" s="203" t="s">
        <v>98</v>
      </c>
      <c r="B24" s="176" t="s">
        <v>99</v>
      </c>
      <c r="C24" s="176" t="s">
        <v>1</v>
      </c>
      <c r="D24" s="176" t="s">
        <v>195</v>
      </c>
      <c r="E24" s="210" t="s">
        <v>188</v>
      </c>
      <c r="F24" s="239" t="s">
        <v>537</v>
      </c>
      <c r="G24" s="212" t="s">
        <v>532</v>
      </c>
      <c r="H24" s="210" t="s">
        <v>528</v>
      </c>
      <c r="I24" s="210" t="s">
        <v>529</v>
      </c>
      <c r="J24" s="210" t="s">
        <v>197</v>
      </c>
      <c r="K24" s="210" t="s">
        <v>530</v>
      </c>
      <c r="L24" s="210" t="s">
        <v>196</v>
      </c>
    </row>
    <row r="25" spans="1:12" outlineLevel="2" x14ac:dyDescent="0.25">
      <c r="A25" s="243" t="s">
        <v>185</v>
      </c>
      <c r="B25" s="245" t="s">
        <v>173</v>
      </c>
      <c r="C25" s="244" t="s">
        <v>174</v>
      </c>
      <c r="D25" s="243">
        <v>355</v>
      </c>
      <c r="E25" s="246">
        <v>61153</v>
      </c>
      <c r="F25" s="246">
        <v>42166</v>
      </c>
      <c r="G25" s="213" t="s">
        <v>500</v>
      </c>
      <c r="H25" s="246">
        <v>18987</v>
      </c>
      <c r="I25" s="297">
        <v>0</v>
      </c>
      <c r="J25" s="297">
        <v>0</v>
      </c>
      <c r="K25" s="297">
        <v>0</v>
      </c>
      <c r="L25" s="246">
        <v>18987</v>
      </c>
    </row>
    <row r="26" spans="1:12" ht="29.1" customHeight="1" outlineLevel="2" x14ac:dyDescent="0.25">
      <c r="A26" s="243" t="s">
        <v>185</v>
      </c>
      <c r="B26" s="245" t="s">
        <v>328</v>
      </c>
      <c r="C26" s="244" t="s">
        <v>329</v>
      </c>
      <c r="D26" s="243">
        <v>287</v>
      </c>
      <c r="E26" s="246">
        <v>30729</v>
      </c>
      <c r="F26" s="246">
        <v>27607</v>
      </c>
      <c r="G26" s="213" t="s">
        <v>500</v>
      </c>
      <c r="H26" s="246">
        <v>3122</v>
      </c>
      <c r="I26" s="297">
        <v>0</v>
      </c>
      <c r="J26" s="297">
        <v>0</v>
      </c>
      <c r="K26" s="297">
        <v>0</v>
      </c>
      <c r="L26" s="246">
        <v>3122</v>
      </c>
    </row>
    <row r="27" spans="1:12" ht="45" customHeight="1" outlineLevel="2" x14ac:dyDescent="0.25">
      <c r="A27" s="243" t="s">
        <v>185</v>
      </c>
      <c r="B27" s="245" t="s">
        <v>115</v>
      </c>
      <c r="C27" s="244" t="s">
        <v>116</v>
      </c>
      <c r="D27" s="243">
        <v>232</v>
      </c>
      <c r="E27" s="246">
        <v>3644350</v>
      </c>
      <c r="F27" s="246">
        <v>3393229</v>
      </c>
      <c r="G27" s="213" t="s">
        <v>500</v>
      </c>
      <c r="H27" s="246">
        <v>251121</v>
      </c>
      <c r="I27" s="297">
        <v>0</v>
      </c>
      <c r="J27" s="297">
        <v>0</v>
      </c>
      <c r="K27" s="297">
        <v>0</v>
      </c>
      <c r="L27" s="246">
        <v>251121</v>
      </c>
    </row>
    <row r="28" spans="1:12" outlineLevel="2" x14ac:dyDescent="0.25">
      <c r="A28" s="243" t="s">
        <v>185</v>
      </c>
      <c r="B28" s="245" t="s">
        <v>426</v>
      </c>
      <c r="C28" s="244" t="s">
        <v>427</v>
      </c>
      <c r="D28" s="243">
        <v>332</v>
      </c>
      <c r="E28" s="246">
        <v>141970</v>
      </c>
      <c r="F28" s="246">
        <v>64245</v>
      </c>
      <c r="G28" s="213" t="s">
        <v>500</v>
      </c>
      <c r="H28" s="246">
        <v>77725</v>
      </c>
      <c r="I28" s="297">
        <v>0</v>
      </c>
      <c r="J28" s="297">
        <v>0</v>
      </c>
      <c r="K28" s="297">
        <v>0</v>
      </c>
      <c r="L28" s="246">
        <v>77725</v>
      </c>
    </row>
    <row r="29" spans="1:12" ht="45" customHeight="1" outlineLevel="2" x14ac:dyDescent="0.25">
      <c r="A29" s="243" t="s">
        <v>185</v>
      </c>
      <c r="B29" s="245" t="s">
        <v>428</v>
      </c>
      <c r="C29" s="244" t="s">
        <v>335</v>
      </c>
      <c r="D29" s="243">
        <v>340</v>
      </c>
      <c r="E29" s="246">
        <v>713298</v>
      </c>
      <c r="F29" s="246">
        <v>377169</v>
      </c>
      <c r="G29" s="213" t="s">
        <v>500</v>
      </c>
      <c r="H29" s="246">
        <v>336129</v>
      </c>
      <c r="I29" s="297">
        <v>0</v>
      </c>
      <c r="J29" s="297">
        <v>0</v>
      </c>
      <c r="K29" s="297">
        <v>0</v>
      </c>
      <c r="L29" s="246">
        <v>336129</v>
      </c>
    </row>
    <row r="30" spans="1:12" ht="30.75" outlineLevel="2" x14ac:dyDescent="0.25">
      <c r="A30" s="243" t="s">
        <v>185</v>
      </c>
      <c r="B30" s="245" t="s">
        <v>422</v>
      </c>
      <c r="C30" s="244" t="s">
        <v>333</v>
      </c>
      <c r="D30" s="243">
        <v>267</v>
      </c>
      <c r="E30" s="246">
        <v>3224800</v>
      </c>
      <c r="F30" s="246">
        <v>2788812</v>
      </c>
      <c r="G30" s="213" t="s">
        <v>500</v>
      </c>
      <c r="H30" s="246">
        <v>435988</v>
      </c>
      <c r="I30" s="297">
        <v>0</v>
      </c>
      <c r="J30" s="297">
        <v>0</v>
      </c>
      <c r="K30" s="297">
        <v>0</v>
      </c>
      <c r="L30" s="246">
        <v>435988</v>
      </c>
    </row>
    <row r="31" spans="1:12" ht="30.75" outlineLevel="2" x14ac:dyDescent="0.25">
      <c r="A31" s="243" t="s">
        <v>185</v>
      </c>
      <c r="B31" s="245" t="s">
        <v>429</v>
      </c>
      <c r="C31" s="244" t="s">
        <v>430</v>
      </c>
      <c r="D31" s="243">
        <v>234</v>
      </c>
      <c r="E31" s="246">
        <v>5088326</v>
      </c>
      <c r="F31" s="246">
        <v>4545035</v>
      </c>
      <c r="G31" s="213" t="s">
        <v>500</v>
      </c>
      <c r="H31" s="246">
        <v>543291</v>
      </c>
      <c r="I31" s="297">
        <v>0</v>
      </c>
      <c r="J31" s="297">
        <v>0</v>
      </c>
      <c r="K31" s="297">
        <v>0</v>
      </c>
      <c r="L31" s="246">
        <v>543291</v>
      </c>
    </row>
    <row r="32" spans="1:12" ht="30.75" outlineLevel="2" x14ac:dyDescent="0.25">
      <c r="A32" s="243" t="s">
        <v>185</v>
      </c>
      <c r="B32" s="245" t="s">
        <v>337</v>
      </c>
      <c r="C32" s="244" t="s">
        <v>220</v>
      </c>
      <c r="D32" s="243">
        <v>320</v>
      </c>
      <c r="E32" s="246">
        <v>594187</v>
      </c>
      <c r="F32" s="246">
        <v>511243</v>
      </c>
      <c r="G32" s="213" t="s">
        <v>500</v>
      </c>
      <c r="H32" s="246">
        <v>82944</v>
      </c>
      <c r="I32" s="297">
        <v>0</v>
      </c>
      <c r="J32" s="297">
        <v>0</v>
      </c>
      <c r="K32" s="297">
        <v>0</v>
      </c>
      <c r="L32" s="246">
        <v>82944</v>
      </c>
    </row>
    <row r="33" spans="1:12" outlineLevel="1" x14ac:dyDescent="0.25">
      <c r="A33" s="243" t="s">
        <v>185</v>
      </c>
      <c r="B33" s="245" t="s">
        <v>423</v>
      </c>
      <c r="C33" s="244" t="s">
        <v>424</v>
      </c>
      <c r="D33" s="243">
        <v>347</v>
      </c>
      <c r="E33" s="246">
        <v>5570956</v>
      </c>
      <c r="F33" s="246">
        <v>3891706</v>
      </c>
      <c r="G33" s="213" t="s">
        <v>500</v>
      </c>
      <c r="H33" s="246">
        <v>1679250</v>
      </c>
      <c r="I33" s="297">
        <v>0</v>
      </c>
      <c r="J33" s="297">
        <v>0</v>
      </c>
      <c r="K33" s="297">
        <v>0</v>
      </c>
      <c r="L33" s="246">
        <v>1679250</v>
      </c>
    </row>
    <row r="34" spans="1:12" ht="15.6" customHeight="1" outlineLevel="2" x14ac:dyDescent="0.25">
      <c r="A34" s="243" t="s">
        <v>185</v>
      </c>
      <c r="B34" s="245" t="s">
        <v>425</v>
      </c>
      <c r="C34" s="244" t="s">
        <v>211</v>
      </c>
      <c r="D34" s="243">
        <v>238</v>
      </c>
      <c r="E34" s="246">
        <v>1362137</v>
      </c>
      <c r="F34" s="246">
        <v>1151679</v>
      </c>
      <c r="G34" s="213" t="s">
        <v>500</v>
      </c>
      <c r="H34" s="246">
        <v>210458</v>
      </c>
      <c r="I34" s="297">
        <v>0</v>
      </c>
      <c r="J34" s="297">
        <v>0</v>
      </c>
      <c r="K34" s="297">
        <v>0</v>
      </c>
      <c r="L34" s="246">
        <v>210458</v>
      </c>
    </row>
    <row r="35" spans="1:12" outlineLevel="2" x14ac:dyDescent="0.25">
      <c r="A35" s="243" t="s">
        <v>185</v>
      </c>
      <c r="B35" s="245" t="s">
        <v>431</v>
      </c>
      <c r="C35" s="244" t="s">
        <v>124</v>
      </c>
      <c r="D35" s="243">
        <v>301</v>
      </c>
      <c r="E35" s="246">
        <v>705908</v>
      </c>
      <c r="F35" s="246">
        <v>664522</v>
      </c>
      <c r="G35" s="213" t="s">
        <v>500</v>
      </c>
      <c r="H35" s="246">
        <v>41386</v>
      </c>
      <c r="I35" s="297">
        <v>0</v>
      </c>
      <c r="J35" s="297">
        <v>0</v>
      </c>
      <c r="K35" s="297">
        <v>0</v>
      </c>
      <c r="L35" s="246">
        <v>41386</v>
      </c>
    </row>
    <row r="36" spans="1:12" outlineLevel="2" x14ac:dyDescent="0.25">
      <c r="A36" s="271" t="s">
        <v>212</v>
      </c>
      <c r="B36" s="184" t="s">
        <v>500</v>
      </c>
      <c r="C36" s="74" t="s">
        <v>500</v>
      </c>
      <c r="D36" s="180" t="s">
        <v>500</v>
      </c>
      <c r="E36" s="78">
        <f>SUBTOTAL(109,college201112[Program
Costs])</f>
        <v>21137814</v>
      </c>
      <c r="F36" s="78">
        <f>SUBTOTAL(109,college201112[Less: Net Payments and Offsets 11])</f>
        <v>17457413</v>
      </c>
      <c r="G36" s="74" t="s">
        <v>500</v>
      </c>
      <c r="H36" s="78">
        <f>SUBTOTAL(109,college201112[Accounts Payable
Balance])</f>
        <v>3680401</v>
      </c>
      <c r="I36" s="179">
        <f>SUBTOTAL(109,college201112[Established
Accounts Receivable])</f>
        <v>0</v>
      </c>
      <c r="J36" s="179">
        <f>SUBTOTAL(109,college201112[Less: Recovered Amount])</f>
        <v>0</v>
      </c>
      <c r="K36" s="179">
        <f>SUBTOTAL(109,college201112[Accounts Receivable
Balance])</f>
        <v>0</v>
      </c>
      <c r="L36" s="78">
        <f>SUBTOTAL(109,college201112[Net
Balance])</f>
        <v>3680401</v>
      </c>
    </row>
    <row r="37" spans="1:12" s="244" customFormat="1" ht="15" outlineLevel="2" x14ac:dyDescent="0.2">
      <c r="A37" s="214" t="s">
        <v>508</v>
      </c>
      <c r="B37" s="245"/>
      <c r="D37" s="243"/>
      <c r="E37" s="246"/>
      <c r="F37" s="246"/>
      <c r="G37" s="246"/>
      <c r="H37" s="246"/>
      <c r="I37" s="246"/>
      <c r="J37" s="246"/>
      <c r="K37" s="246"/>
      <c r="L37" s="246"/>
    </row>
    <row r="38" spans="1:12" ht="50.1" customHeight="1" outlineLevel="2" x14ac:dyDescent="0.25">
      <c r="A38" s="203" t="s">
        <v>98</v>
      </c>
      <c r="B38" s="176" t="s">
        <v>99</v>
      </c>
      <c r="C38" s="176" t="s">
        <v>1</v>
      </c>
      <c r="D38" s="176" t="s">
        <v>195</v>
      </c>
      <c r="E38" s="210" t="s">
        <v>188</v>
      </c>
      <c r="F38" s="239" t="s">
        <v>537</v>
      </c>
      <c r="G38" s="212" t="s">
        <v>532</v>
      </c>
      <c r="H38" s="210" t="s">
        <v>528</v>
      </c>
      <c r="I38" s="210" t="s">
        <v>529</v>
      </c>
      <c r="J38" s="210" t="s">
        <v>197</v>
      </c>
      <c r="K38" s="210" t="s">
        <v>530</v>
      </c>
      <c r="L38" s="210" t="s">
        <v>196</v>
      </c>
    </row>
    <row r="39" spans="1:12" ht="15.6" customHeight="1" outlineLevel="2" x14ac:dyDescent="0.25">
      <c r="A39" s="243" t="s">
        <v>84</v>
      </c>
      <c r="B39" s="245" t="s">
        <v>173</v>
      </c>
      <c r="C39" s="244" t="s">
        <v>174</v>
      </c>
      <c r="D39" s="243">
        <v>355</v>
      </c>
      <c r="E39" s="246">
        <v>10348</v>
      </c>
      <c r="F39" s="246">
        <v>7533</v>
      </c>
      <c r="G39" s="213" t="s">
        <v>500</v>
      </c>
      <c r="H39" s="246">
        <v>2815</v>
      </c>
      <c r="I39" s="297">
        <v>0</v>
      </c>
      <c r="J39" s="297">
        <v>0</v>
      </c>
      <c r="K39" s="297">
        <v>0</v>
      </c>
      <c r="L39" s="246">
        <v>2815</v>
      </c>
    </row>
    <row r="40" spans="1:12" ht="45" customHeight="1" outlineLevel="2" x14ac:dyDescent="0.25">
      <c r="A40" s="243" t="s">
        <v>84</v>
      </c>
      <c r="B40" s="245" t="s">
        <v>328</v>
      </c>
      <c r="C40" s="244" t="s">
        <v>329</v>
      </c>
      <c r="D40" s="243">
        <v>287</v>
      </c>
      <c r="E40" s="246">
        <v>40850</v>
      </c>
      <c r="F40" s="246">
        <v>38469</v>
      </c>
      <c r="G40" s="213" t="s">
        <v>500</v>
      </c>
      <c r="H40" s="246">
        <v>2381</v>
      </c>
      <c r="I40" s="297">
        <v>0</v>
      </c>
      <c r="J40" s="297">
        <v>0</v>
      </c>
      <c r="K40" s="297">
        <v>0</v>
      </c>
      <c r="L40" s="246">
        <v>2381</v>
      </c>
    </row>
    <row r="41" spans="1:12" ht="45" customHeight="1" outlineLevel="2" x14ac:dyDescent="0.25">
      <c r="A41" s="243" t="s">
        <v>84</v>
      </c>
      <c r="B41" s="245" t="s">
        <v>115</v>
      </c>
      <c r="C41" s="244" t="s">
        <v>116</v>
      </c>
      <c r="D41" s="243">
        <v>232</v>
      </c>
      <c r="E41" s="246">
        <v>3804239</v>
      </c>
      <c r="F41" s="246">
        <v>3628460</v>
      </c>
      <c r="G41" s="213" t="s">
        <v>500</v>
      </c>
      <c r="H41" s="246">
        <v>175779</v>
      </c>
      <c r="I41" s="297">
        <v>0</v>
      </c>
      <c r="J41" s="297">
        <v>0</v>
      </c>
      <c r="K41" s="297">
        <v>0</v>
      </c>
      <c r="L41" s="246">
        <v>175779</v>
      </c>
    </row>
    <row r="42" spans="1:12" outlineLevel="2" x14ac:dyDescent="0.25">
      <c r="A42" s="243" t="s">
        <v>84</v>
      </c>
      <c r="B42" s="245" t="s">
        <v>426</v>
      </c>
      <c r="C42" s="244" t="s">
        <v>427</v>
      </c>
      <c r="D42" s="243">
        <v>332</v>
      </c>
      <c r="E42" s="246">
        <v>79698</v>
      </c>
      <c r="F42" s="246">
        <v>46173</v>
      </c>
      <c r="G42" s="213" t="s">
        <v>500</v>
      </c>
      <c r="H42" s="246">
        <v>33525</v>
      </c>
      <c r="I42" s="297">
        <v>0</v>
      </c>
      <c r="J42" s="297">
        <v>0</v>
      </c>
      <c r="K42" s="297">
        <v>0</v>
      </c>
      <c r="L42" s="246">
        <v>33525</v>
      </c>
    </row>
    <row r="43" spans="1:12" ht="45.75" outlineLevel="2" x14ac:dyDescent="0.25">
      <c r="A43" s="243" t="s">
        <v>84</v>
      </c>
      <c r="B43" s="245" t="s">
        <v>428</v>
      </c>
      <c r="C43" s="244" t="s">
        <v>335</v>
      </c>
      <c r="D43" s="243">
        <v>340</v>
      </c>
      <c r="E43" s="246">
        <v>543779</v>
      </c>
      <c r="F43" s="246">
        <v>325401</v>
      </c>
      <c r="G43" s="213" t="s">
        <v>500</v>
      </c>
      <c r="H43" s="246">
        <v>218378</v>
      </c>
      <c r="I43" s="297">
        <v>0</v>
      </c>
      <c r="J43" s="297">
        <v>0</v>
      </c>
      <c r="K43" s="297">
        <v>0</v>
      </c>
      <c r="L43" s="246">
        <v>218378</v>
      </c>
    </row>
    <row r="44" spans="1:12" ht="30.75" outlineLevel="2" x14ac:dyDescent="0.25">
      <c r="A44" s="243" t="s">
        <v>84</v>
      </c>
      <c r="B44" s="245" t="s">
        <v>422</v>
      </c>
      <c r="C44" s="244" t="s">
        <v>333</v>
      </c>
      <c r="D44" s="243">
        <v>267</v>
      </c>
      <c r="E44" s="246">
        <v>5522032</v>
      </c>
      <c r="F44" s="246">
        <v>4634414</v>
      </c>
      <c r="G44" s="213" t="s">
        <v>500</v>
      </c>
      <c r="H44" s="246">
        <v>887618</v>
      </c>
      <c r="I44" s="297">
        <v>0</v>
      </c>
      <c r="J44" s="297">
        <v>0</v>
      </c>
      <c r="K44" s="297">
        <v>0</v>
      </c>
      <c r="L44" s="246">
        <v>887618</v>
      </c>
    </row>
    <row r="45" spans="1:12" ht="30.75" outlineLevel="2" x14ac:dyDescent="0.25">
      <c r="A45" s="243" t="s">
        <v>84</v>
      </c>
      <c r="B45" s="245" t="s">
        <v>429</v>
      </c>
      <c r="C45" s="244" t="s">
        <v>430</v>
      </c>
      <c r="D45" s="243">
        <v>234</v>
      </c>
      <c r="E45" s="246">
        <v>5636135</v>
      </c>
      <c r="F45" s="246">
        <v>5483671</v>
      </c>
      <c r="G45" s="213" t="s">
        <v>500</v>
      </c>
      <c r="H45" s="246">
        <v>152464</v>
      </c>
      <c r="I45" s="297">
        <v>0</v>
      </c>
      <c r="J45" s="297">
        <v>0</v>
      </c>
      <c r="K45" s="297">
        <v>0</v>
      </c>
      <c r="L45" s="246">
        <v>152464</v>
      </c>
    </row>
    <row r="46" spans="1:12" outlineLevel="2" x14ac:dyDescent="0.25">
      <c r="A46" s="243" t="s">
        <v>84</v>
      </c>
      <c r="B46" s="245" t="s">
        <v>432</v>
      </c>
      <c r="C46" s="244" t="s">
        <v>433</v>
      </c>
      <c r="D46" s="243">
        <v>256</v>
      </c>
      <c r="E46" s="246">
        <v>292934</v>
      </c>
      <c r="F46" s="246">
        <v>269889</v>
      </c>
      <c r="G46" s="213" t="s">
        <v>500</v>
      </c>
      <c r="H46" s="246">
        <v>23045</v>
      </c>
      <c r="I46" s="297">
        <v>0</v>
      </c>
      <c r="J46" s="297">
        <v>0</v>
      </c>
      <c r="K46" s="297">
        <v>0</v>
      </c>
      <c r="L46" s="246">
        <v>23045</v>
      </c>
    </row>
    <row r="47" spans="1:12" ht="30.75" outlineLevel="1" x14ac:dyDescent="0.25">
      <c r="A47" s="243" t="s">
        <v>84</v>
      </c>
      <c r="B47" s="245" t="s">
        <v>219</v>
      </c>
      <c r="C47" s="244" t="s">
        <v>220</v>
      </c>
      <c r="D47" s="243">
        <v>237</v>
      </c>
      <c r="E47" s="246">
        <v>676281</v>
      </c>
      <c r="F47" s="246">
        <v>627596</v>
      </c>
      <c r="G47" s="213" t="s">
        <v>500</v>
      </c>
      <c r="H47" s="246">
        <v>48685</v>
      </c>
      <c r="I47" s="297">
        <v>0</v>
      </c>
      <c r="J47" s="297">
        <v>0</v>
      </c>
      <c r="K47" s="297">
        <v>0</v>
      </c>
      <c r="L47" s="246">
        <v>48685</v>
      </c>
    </row>
    <row r="48" spans="1:12" outlineLevel="2" x14ac:dyDescent="0.25">
      <c r="A48" s="243" t="s">
        <v>84</v>
      </c>
      <c r="B48" s="245" t="s">
        <v>423</v>
      </c>
      <c r="C48" s="244" t="s">
        <v>424</v>
      </c>
      <c r="D48" s="243">
        <v>347</v>
      </c>
      <c r="E48" s="246">
        <v>5189154</v>
      </c>
      <c r="F48" s="246">
        <v>4698840</v>
      </c>
      <c r="G48" s="213" t="s">
        <v>500</v>
      </c>
      <c r="H48" s="246">
        <v>490314</v>
      </c>
      <c r="I48" s="297">
        <v>0</v>
      </c>
      <c r="J48" s="297">
        <v>0</v>
      </c>
      <c r="K48" s="297">
        <v>0</v>
      </c>
      <c r="L48" s="246">
        <v>490314</v>
      </c>
    </row>
    <row r="49" spans="1:12" ht="15.6" customHeight="1" outlineLevel="2" x14ac:dyDescent="0.25">
      <c r="A49" s="243" t="s">
        <v>84</v>
      </c>
      <c r="B49" s="245" t="s">
        <v>425</v>
      </c>
      <c r="C49" s="244" t="s">
        <v>211</v>
      </c>
      <c r="D49" s="243">
        <v>238</v>
      </c>
      <c r="E49" s="246">
        <v>1420015</v>
      </c>
      <c r="F49" s="246">
        <v>1360205</v>
      </c>
      <c r="G49" s="213" t="s">
        <v>500</v>
      </c>
      <c r="H49" s="246">
        <v>59810</v>
      </c>
      <c r="I49" s="297">
        <v>0</v>
      </c>
      <c r="J49" s="297">
        <v>0</v>
      </c>
      <c r="K49" s="297">
        <v>0</v>
      </c>
      <c r="L49" s="246">
        <v>59810</v>
      </c>
    </row>
    <row r="50" spans="1:12" ht="15.6" customHeight="1" outlineLevel="2" x14ac:dyDescent="0.25">
      <c r="A50" s="243" t="s">
        <v>84</v>
      </c>
      <c r="B50" s="245" t="s">
        <v>431</v>
      </c>
      <c r="C50" s="244" t="s">
        <v>124</v>
      </c>
      <c r="D50" s="243">
        <v>301</v>
      </c>
      <c r="E50" s="246">
        <v>915059</v>
      </c>
      <c r="F50" s="246">
        <v>873666</v>
      </c>
      <c r="G50" s="213" t="s">
        <v>500</v>
      </c>
      <c r="H50" s="246">
        <v>41393</v>
      </c>
      <c r="I50" s="297">
        <v>0</v>
      </c>
      <c r="J50" s="297">
        <v>0</v>
      </c>
      <c r="K50" s="297">
        <v>0</v>
      </c>
      <c r="L50" s="246">
        <v>41393</v>
      </c>
    </row>
    <row r="51" spans="1:12" ht="15.6" customHeight="1" outlineLevel="2" x14ac:dyDescent="0.25">
      <c r="A51" s="271" t="s">
        <v>223</v>
      </c>
      <c r="B51" s="184" t="s">
        <v>500</v>
      </c>
      <c r="C51" s="74" t="s">
        <v>500</v>
      </c>
      <c r="D51" s="180" t="s">
        <v>500</v>
      </c>
      <c r="E51" s="78">
        <f>SUBTOTAL(109,college201011[Program
Costs])</f>
        <v>24130524</v>
      </c>
      <c r="F51" s="78">
        <f>SUBTOTAL(109,college201011[Less: Net Payments and Offsets 11])</f>
        <v>21994317</v>
      </c>
      <c r="G51" s="74" t="s">
        <v>500</v>
      </c>
      <c r="H51" s="78">
        <f>SUBTOTAL(109,college201011[Accounts Payable
Balance])</f>
        <v>2136207</v>
      </c>
      <c r="I51" s="179">
        <f>SUBTOTAL(109,college201011[Established
Accounts Receivable])</f>
        <v>0</v>
      </c>
      <c r="J51" s="179">
        <f>SUBTOTAL(109,college201011[Less: Recovered Amount])</f>
        <v>0</v>
      </c>
      <c r="K51" s="179">
        <f>SUBTOTAL(109,college201011[Accounts Receivable
Balance])</f>
        <v>0</v>
      </c>
      <c r="L51" s="78">
        <f>SUBTOTAL(109,college201011[Net
Balance])</f>
        <v>2136207</v>
      </c>
    </row>
    <row r="52" spans="1:12" s="244" customFormat="1" ht="15" customHeight="1" outlineLevel="2" x14ac:dyDescent="0.2">
      <c r="A52" s="214" t="s">
        <v>508</v>
      </c>
      <c r="B52" s="245"/>
      <c r="D52" s="243"/>
      <c r="E52" s="246"/>
      <c r="F52" s="246"/>
      <c r="G52" s="246"/>
      <c r="H52" s="246"/>
      <c r="I52" s="246"/>
      <c r="J52" s="246"/>
      <c r="K52" s="246"/>
      <c r="L52" s="246"/>
    </row>
    <row r="53" spans="1:12" ht="50.1" customHeight="1" outlineLevel="2" x14ac:dyDescent="0.25">
      <c r="A53" s="203" t="s">
        <v>98</v>
      </c>
      <c r="B53" s="176" t="s">
        <v>99</v>
      </c>
      <c r="C53" s="176" t="s">
        <v>1</v>
      </c>
      <c r="D53" s="176" t="s">
        <v>195</v>
      </c>
      <c r="E53" s="210" t="s">
        <v>188</v>
      </c>
      <c r="F53" s="239" t="s">
        <v>537</v>
      </c>
      <c r="G53" s="212" t="s">
        <v>532</v>
      </c>
      <c r="H53" s="210" t="s">
        <v>528</v>
      </c>
      <c r="I53" s="210" t="s">
        <v>529</v>
      </c>
      <c r="J53" s="210" t="s">
        <v>197</v>
      </c>
      <c r="K53" s="210" t="s">
        <v>530</v>
      </c>
      <c r="L53" s="210" t="s">
        <v>196</v>
      </c>
    </row>
    <row r="54" spans="1:12" ht="45" customHeight="1" outlineLevel="2" x14ac:dyDescent="0.25">
      <c r="A54" s="243" t="s">
        <v>87</v>
      </c>
      <c r="B54" s="245" t="s">
        <v>115</v>
      </c>
      <c r="C54" s="244" t="s">
        <v>116</v>
      </c>
      <c r="D54" s="243">
        <v>232</v>
      </c>
      <c r="E54" s="246">
        <v>4567806</v>
      </c>
      <c r="F54" s="246">
        <v>4329618</v>
      </c>
      <c r="G54" s="213" t="s">
        <v>500</v>
      </c>
      <c r="H54" s="246">
        <v>238188</v>
      </c>
      <c r="I54" s="246">
        <v>4602</v>
      </c>
      <c r="J54" s="297">
        <v>0</v>
      </c>
      <c r="K54" s="246">
        <v>4602</v>
      </c>
      <c r="L54" s="246">
        <v>233586</v>
      </c>
    </row>
    <row r="55" spans="1:12" outlineLevel="2" x14ac:dyDescent="0.25">
      <c r="A55" s="243" t="s">
        <v>87</v>
      </c>
      <c r="B55" s="245" t="s">
        <v>426</v>
      </c>
      <c r="C55" s="244" t="s">
        <v>427</v>
      </c>
      <c r="D55" s="243">
        <v>332</v>
      </c>
      <c r="E55" s="246">
        <v>79988</v>
      </c>
      <c r="F55" s="246">
        <v>39713</v>
      </c>
      <c r="G55" s="213" t="s">
        <v>500</v>
      </c>
      <c r="H55" s="246">
        <v>40275</v>
      </c>
      <c r="I55" s="297">
        <v>0</v>
      </c>
      <c r="J55" s="297">
        <v>0</v>
      </c>
      <c r="K55" s="297">
        <v>0</v>
      </c>
      <c r="L55" s="246">
        <v>40275</v>
      </c>
    </row>
    <row r="56" spans="1:12" ht="45.75" outlineLevel="2" x14ac:dyDescent="0.25">
      <c r="A56" s="243" t="s">
        <v>87</v>
      </c>
      <c r="B56" s="245" t="s">
        <v>428</v>
      </c>
      <c r="C56" s="244" t="s">
        <v>335</v>
      </c>
      <c r="D56" s="243">
        <v>340</v>
      </c>
      <c r="E56" s="246">
        <v>631179</v>
      </c>
      <c r="F56" s="246">
        <v>359567</v>
      </c>
      <c r="G56" s="213" t="s">
        <v>500</v>
      </c>
      <c r="H56" s="246">
        <v>271612</v>
      </c>
      <c r="I56" s="297">
        <v>0</v>
      </c>
      <c r="J56" s="297">
        <v>0</v>
      </c>
      <c r="K56" s="297">
        <v>0</v>
      </c>
      <c r="L56" s="246">
        <v>271612</v>
      </c>
    </row>
    <row r="57" spans="1:12" ht="30.75" outlineLevel="2" x14ac:dyDescent="0.25">
      <c r="A57" s="243" t="s">
        <v>87</v>
      </c>
      <c r="B57" s="245" t="s">
        <v>422</v>
      </c>
      <c r="C57" s="244" t="s">
        <v>333</v>
      </c>
      <c r="D57" s="243">
        <v>267</v>
      </c>
      <c r="E57" s="246">
        <v>7294856</v>
      </c>
      <c r="F57" s="246">
        <v>6212480</v>
      </c>
      <c r="G57" s="213" t="s">
        <v>500</v>
      </c>
      <c r="H57" s="246">
        <v>1082376</v>
      </c>
      <c r="I57" s="246">
        <v>1598277</v>
      </c>
      <c r="J57" s="297">
        <v>0</v>
      </c>
      <c r="K57" s="246">
        <v>1598277</v>
      </c>
      <c r="L57" s="246">
        <v>-515901</v>
      </c>
    </row>
    <row r="58" spans="1:12" ht="30.75" outlineLevel="2" x14ac:dyDescent="0.25">
      <c r="A58" s="243" t="s">
        <v>87</v>
      </c>
      <c r="B58" s="245" t="s">
        <v>429</v>
      </c>
      <c r="C58" s="244" t="s">
        <v>430</v>
      </c>
      <c r="D58" s="243">
        <v>234</v>
      </c>
      <c r="E58" s="246">
        <v>3066366</v>
      </c>
      <c r="F58" s="246">
        <v>3066366</v>
      </c>
      <c r="G58" s="213" t="s">
        <v>500</v>
      </c>
      <c r="H58" s="297">
        <v>0</v>
      </c>
      <c r="I58" s="246">
        <v>1619834</v>
      </c>
      <c r="J58" s="246">
        <v>258603</v>
      </c>
      <c r="K58" s="246">
        <v>1361231</v>
      </c>
      <c r="L58" s="246">
        <v>-1361231</v>
      </c>
    </row>
    <row r="59" spans="1:12" outlineLevel="2" x14ac:dyDescent="0.25">
      <c r="A59" s="243" t="s">
        <v>87</v>
      </c>
      <c r="B59" s="245" t="s">
        <v>432</v>
      </c>
      <c r="C59" s="244" t="s">
        <v>433</v>
      </c>
      <c r="D59" s="243">
        <v>256</v>
      </c>
      <c r="E59" s="246">
        <v>1006042</v>
      </c>
      <c r="F59" s="246">
        <v>922624</v>
      </c>
      <c r="G59" s="213" t="s">
        <v>500</v>
      </c>
      <c r="H59" s="246">
        <v>83418</v>
      </c>
      <c r="I59" s="297">
        <v>0</v>
      </c>
      <c r="J59" s="297">
        <v>0</v>
      </c>
      <c r="K59" s="297">
        <v>0</v>
      </c>
      <c r="L59" s="246">
        <v>83418</v>
      </c>
    </row>
    <row r="60" spans="1:12" ht="30.75" outlineLevel="1" x14ac:dyDescent="0.25">
      <c r="A60" s="243" t="s">
        <v>87</v>
      </c>
      <c r="B60" s="245" t="s">
        <v>219</v>
      </c>
      <c r="C60" s="244" t="s">
        <v>220</v>
      </c>
      <c r="D60" s="243">
        <v>237</v>
      </c>
      <c r="E60" s="246">
        <v>684534</v>
      </c>
      <c r="F60" s="246">
        <v>639450</v>
      </c>
      <c r="G60" s="213" t="s">
        <v>500</v>
      </c>
      <c r="H60" s="246">
        <v>45084</v>
      </c>
      <c r="I60" s="297">
        <v>0</v>
      </c>
      <c r="J60" s="297">
        <v>0</v>
      </c>
      <c r="K60" s="297">
        <v>0</v>
      </c>
      <c r="L60" s="246">
        <v>45084</v>
      </c>
    </row>
    <row r="61" spans="1:12" outlineLevel="2" x14ac:dyDescent="0.25">
      <c r="A61" s="243" t="s">
        <v>87</v>
      </c>
      <c r="B61" s="245" t="s">
        <v>423</v>
      </c>
      <c r="C61" s="244" t="s">
        <v>424</v>
      </c>
      <c r="D61" s="243">
        <v>347</v>
      </c>
      <c r="E61" s="246">
        <v>4890742</v>
      </c>
      <c r="F61" s="246">
        <v>4524963</v>
      </c>
      <c r="G61" s="213" t="s">
        <v>500</v>
      </c>
      <c r="H61" s="246">
        <v>365779</v>
      </c>
      <c r="I61" s="297">
        <v>0</v>
      </c>
      <c r="J61" s="297">
        <v>0</v>
      </c>
      <c r="K61" s="297">
        <v>0</v>
      </c>
      <c r="L61" s="246">
        <v>365779</v>
      </c>
    </row>
    <row r="62" spans="1:12" ht="15.6" customHeight="1" outlineLevel="2" x14ac:dyDescent="0.25">
      <c r="A62" s="243" t="s">
        <v>87</v>
      </c>
      <c r="B62" s="245" t="s">
        <v>425</v>
      </c>
      <c r="C62" s="244" t="s">
        <v>211</v>
      </c>
      <c r="D62" s="243">
        <v>238</v>
      </c>
      <c r="E62" s="246">
        <v>1286379</v>
      </c>
      <c r="F62" s="246">
        <v>1227586</v>
      </c>
      <c r="G62" s="213" t="s">
        <v>500</v>
      </c>
      <c r="H62" s="246">
        <v>58793</v>
      </c>
      <c r="I62" s="297">
        <v>0</v>
      </c>
      <c r="J62" s="297">
        <v>0</v>
      </c>
      <c r="K62" s="297">
        <v>0</v>
      </c>
      <c r="L62" s="246">
        <v>58793</v>
      </c>
    </row>
    <row r="63" spans="1:12" ht="30.75" outlineLevel="2" x14ac:dyDescent="0.25">
      <c r="A63" s="243" t="s">
        <v>87</v>
      </c>
      <c r="B63" s="245" t="s">
        <v>434</v>
      </c>
      <c r="C63" s="244" t="s">
        <v>435</v>
      </c>
      <c r="D63" s="243">
        <v>247</v>
      </c>
      <c r="E63" s="246">
        <v>1421</v>
      </c>
      <c r="F63" s="297">
        <v>0</v>
      </c>
      <c r="G63" s="213" t="s">
        <v>500</v>
      </c>
      <c r="H63" s="246">
        <v>1421</v>
      </c>
      <c r="I63" s="297">
        <v>0</v>
      </c>
      <c r="J63" s="297">
        <v>0</v>
      </c>
      <c r="K63" s="297">
        <v>0</v>
      </c>
      <c r="L63" s="246">
        <v>1421</v>
      </c>
    </row>
    <row r="64" spans="1:12" ht="15.6" customHeight="1" outlineLevel="2" x14ac:dyDescent="0.25">
      <c r="A64" s="243" t="s">
        <v>87</v>
      </c>
      <c r="B64" s="245" t="s">
        <v>431</v>
      </c>
      <c r="C64" s="244" t="s">
        <v>124</v>
      </c>
      <c r="D64" s="243">
        <v>301</v>
      </c>
      <c r="E64" s="246">
        <v>702378</v>
      </c>
      <c r="F64" s="246">
        <v>684557</v>
      </c>
      <c r="G64" s="213" t="s">
        <v>500</v>
      </c>
      <c r="H64" s="246">
        <v>17821</v>
      </c>
      <c r="I64" s="297">
        <v>0</v>
      </c>
      <c r="J64" s="297">
        <v>0</v>
      </c>
      <c r="K64" s="297">
        <v>0</v>
      </c>
      <c r="L64" s="246">
        <v>17821</v>
      </c>
    </row>
    <row r="65" spans="1:12" ht="15.6" customHeight="1" outlineLevel="2" x14ac:dyDescent="0.25">
      <c r="A65" s="271" t="s">
        <v>258</v>
      </c>
      <c r="B65" s="184" t="s">
        <v>500</v>
      </c>
      <c r="C65" s="74" t="s">
        <v>500</v>
      </c>
      <c r="D65" s="180" t="s">
        <v>500</v>
      </c>
      <c r="E65" s="78">
        <f>SUBTOTAL(109,college200910[Program
Costs])</f>
        <v>24211691</v>
      </c>
      <c r="F65" s="78">
        <f>SUBTOTAL(109,college200910[Less: Net Payments and Offsets 11])</f>
        <v>22006924</v>
      </c>
      <c r="G65" s="74" t="s">
        <v>500</v>
      </c>
      <c r="H65" s="78">
        <f>SUBTOTAL(109,college200910[Accounts Payable
Balance])</f>
        <v>2204767</v>
      </c>
      <c r="I65" s="78">
        <f>SUBTOTAL(109,college200910[Established
Accounts Receivable])</f>
        <v>3222713</v>
      </c>
      <c r="J65" s="78">
        <f>SUBTOTAL(109,college200910[Less: Recovered Amount])</f>
        <v>258603</v>
      </c>
      <c r="K65" s="78">
        <f>SUBTOTAL(109,college200910[Accounts Receivable
Balance])</f>
        <v>2964110</v>
      </c>
      <c r="L65" s="78">
        <f>SUBTOTAL(109,college200910[Net
Balance])</f>
        <v>-759343</v>
      </c>
    </row>
    <row r="66" spans="1:12" s="244" customFormat="1" ht="15" customHeight="1" outlineLevel="2" x14ac:dyDescent="0.2">
      <c r="A66" s="214" t="s">
        <v>508</v>
      </c>
      <c r="B66" s="245"/>
      <c r="D66" s="243"/>
      <c r="E66" s="246"/>
      <c r="F66" s="246"/>
      <c r="G66" s="246"/>
      <c r="H66" s="246"/>
      <c r="I66" s="246"/>
      <c r="J66" s="246"/>
      <c r="K66" s="246"/>
      <c r="L66" s="246"/>
    </row>
    <row r="67" spans="1:12" ht="50.1" customHeight="1" outlineLevel="2" x14ac:dyDescent="0.25">
      <c r="A67" s="203" t="s">
        <v>98</v>
      </c>
      <c r="B67" s="176" t="s">
        <v>99</v>
      </c>
      <c r="C67" s="176" t="s">
        <v>1</v>
      </c>
      <c r="D67" s="176" t="s">
        <v>195</v>
      </c>
      <c r="E67" s="210" t="s">
        <v>188</v>
      </c>
      <c r="F67" s="239" t="s">
        <v>537</v>
      </c>
      <c r="G67" s="212" t="s">
        <v>532</v>
      </c>
      <c r="H67" s="210" t="s">
        <v>528</v>
      </c>
      <c r="I67" s="210" t="s">
        <v>529</v>
      </c>
      <c r="J67" s="210" t="s">
        <v>197</v>
      </c>
      <c r="K67" s="210" t="s">
        <v>530</v>
      </c>
      <c r="L67" s="210" t="s">
        <v>196</v>
      </c>
    </row>
    <row r="68" spans="1:12" outlineLevel="2" x14ac:dyDescent="0.25">
      <c r="A68" s="243" t="s">
        <v>76</v>
      </c>
      <c r="B68" s="245" t="s">
        <v>436</v>
      </c>
      <c r="C68" s="244" t="s">
        <v>437</v>
      </c>
      <c r="D68" s="243">
        <v>302</v>
      </c>
      <c r="E68" s="246">
        <v>23555</v>
      </c>
      <c r="F68" s="246">
        <v>21884</v>
      </c>
      <c r="G68" s="213" t="s">
        <v>500</v>
      </c>
      <c r="H68" s="246">
        <v>1671</v>
      </c>
      <c r="I68" s="297">
        <v>0</v>
      </c>
      <c r="J68" s="297">
        <v>0</v>
      </c>
      <c r="K68" s="297">
        <v>0</v>
      </c>
      <c r="L68" s="246">
        <v>1671</v>
      </c>
    </row>
    <row r="69" spans="1:12" ht="45" customHeight="1" outlineLevel="2" x14ac:dyDescent="0.25">
      <c r="A69" s="243" t="s">
        <v>76</v>
      </c>
      <c r="B69" s="245" t="s">
        <v>115</v>
      </c>
      <c r="C69" s="244" t="s">
        <v>116</v>
      </c>
      <c r="D69" s="243">
        <v>232</v>
      </c>
      <c r="E69" s="246">
        <v>4843233</v>
      </c>
      <c r="F69" s="246">
        <v>4456303</v>
      </c>
      <c r="G69" s="213" t="s">
        <v>500</v>
      </c>
      <c r="H69" s="246">
        <v>386930</v>
      </c>
      <c r="I69" s="297">
        <v>0</v>
      </c>
      <c r="J69" s="297">
        <v>0</v>
      </c>
      <c r="K69" s="297">
        <v>0</v>
      </c>
      <c r="L69" s="246">
        <v>386930</v>
      </c>
    </row>
    <row r="70" spans="1:12" outlineLevel="2" x14ac:dyDescent="0.25">
      <c r="A70" s="243" t="s">
        <v>76</v>
      </c>
      <c r="B70" s="245" t="s">
        <v>426</v>
      </c>
      <c r="C70" s="244" t="s">
        <v>427</v>
      </c>
      <c r="D70" s="243">
        <v>332</v>
      </c>
      <c r="E70" s="246">
        <v>89808</v>
      </c>
      <c r="F70" s="246">
        <v>61908</v>
      </c>
      <c r="G70" s="213" t="s">
        <v>500</v>
      </c>
      <c r="H70" s="246">
        <v>27900</v>
      </c>
      <c r="I70" s="297">
        <v>0</v>
      </c>
      <c r="J70" s="297">
        <v>0</v>
      </c>
      <c r="K70" s="297">
        <v>0</v>
      </c>
      <c r="L70" s="246">
        <v>27900</v>
      </c>
    </row>
    <row r="71" spans="1:12" ht="45.75" outlineLevel="2" x14ac:dyDescent="0.25">
      <c r="A71" s="243" t="s">
        <v>76</v>
      </c>
      <c r="B71" s="245" t="s">
        <v>428</v>
      </c>
      <c r="C71" s="244" t="s">
        <v>335</v>
      </c>
      <c r="D71" s="243">
        <v>340</v>
      </c>
      <c r="E71" s="246">
        <v>670349</v>
      </c>
      <c r="F71" s="246">
        <v>425366</v>
      </c>
      <c r="G71" s="213" t="s">
        <v>500</v>
      </c>
      <c r="H71" s="246">
        <v>244983</v>
      </c>
      <c r="I71" s="297">
        <v>0</v>
      </c>
      <c r="J71" s="297">
        <v>0</v>
      </c>
      <c r="K71" s="297">
        <v>0</v>
      </c>
      <c r="L71" s="246">
        <v>244983</v>
      </c>
    </row>
    <row r="72" spans="1:12" ht="30.75" customHeight="1" outlineLevel="2" x14ac:dyDescent="0.25">
      <c r="A72" s="243" t="s">
        <v>76</v>
      </c>
      <c r="B72" s="245" t="s">
        <v>422</v>
      </c>
      <c r="C72" s="244" t="s">
        <v>333</v>
      </c>
      <c r="D72" s="243">
        <v>267</v>
      </c>
      <c r="E72" s="246">
        <v>9022099</v>
      </c>
      <c r="F72" s="246">
        <v>7892605</v>
      </c>
      <c r="G72" s="213" t="s">
        <v>500</v>
      </c>
      <c r="H72" s="246">
        <v>1129494</v>
      </c>
      <c r="I72" s="246">
        <v>1993995</v>
      </c>
      <c r="J72" s="297">
        <v>0</v>
      </c>
      <c r="K72" s="246">
        <v>1993995</v>
      </c>
      <c r="L72" s="246">
        <v>-864501</v>
      </c>
    </row>
    <row r="73" spans="1:12" ht="30.75" outlineLevel="2" x14ac:dyDescent="0.25">
      <c r="A73" s="243" t="s">
        <v>76</v>
      </c>
      <c r="B73" s="245" t="s">
        <v>429</v>
      </c>
      <c r="C73" s="244" t="s">
        <v>430</v>
      </c>
      <c r="D73" s="243">
        <v>234</v>
      </c>
      <c r="E73" s="246">
        <v>2737981</v>
      </c>
      <c r="F73" s="246">
        <v>2737981</v>
      </c>
      <c r="G73" s="213" t="s">
        <v>500</v>
      </c>
      <c r="H73" s="297">
        <v>0</v>
      </c>
      <c r="I73" s="246">
        <v>3372799</v>
      </c>
      <c r="J73" s="246">
        <v>384373</v>
      </c>
      <c r="K73" s="246">
        <v>2988426</v>
      </c>
      <c r="L73" s="246">
        <v>-2988426</v>
      </c>
    </row>
    <row r="74" spans="1:12" outlineLevel="1" x14ac:dyDescent="0.25">
      <c r="A74" s="243" t="s">
        <v>76</v>
      </c>
      <c r="B74" s="245" t="s">
        <v>432</v>
      </c>
      <c r="C74" s="244" t="s">
        <v>433</v>
      </c>
      <c r="D74" s="243">
        <v>256</v>
      </c>
      <c r="E74" s="246">
        <v>1281525</v>
      </c>
      <c r="F74" s="246">
        <v>1201370</v>
      </c>
      <c r="G74" s="213" t="s">
        <v>500</v>
      </c>
      <c r="H74" s="246">
        <v>80155</v>
      </c>
      <c r="I74" s="297">
        <v>0</v>
      </c>
      <c r="J74" s="297">
        <v>0</v>
      </c>
      <c r="K74" s="297">
        <v>0</v>
      </c>
      <c r="L74" s="246">
        <v>80155</v>
      </c>
    </row>
    <row r="75" spans="1:12" ht="30.75" outlineLevel="2" x14ac:dyDescent="0.25">
      <c r="A75" s="243" t="s">
        <v>76</v>
      </c>
      <c r="B75" s="245" t="s">
        <v>219</v>
      </c>
      <c r="C75" s="244" t="s">
        <v>220</v>
      </c>
      <c r="D75" s="243">
        <v>237</v>
      </c>
      <c r="E75" s="246">
        <v>775809</v>
      </c>
      <c r="F75" s="246">
        <v>695244</v>
      </c>
      <c r="G75" s="213" t="s">
        <v>500</v>
      </c>
      <c r="H75" s="246">
        <v>80565</v>
      </c>
      <c r="I75" s="297">
        <v>0</v>
      </c>
      <c r="J75" s="297">
        <v>0</v>
      </c>
      <c r="K75" s="297">
        <v>0</v>
      </c>
      <c r="L75" s="246">
        <v>80565</v>
      </c>
    </row>
    <row r="76" spans="1:12" outlineLevel="2" x14ac:dyDescent="0.25">
      <c r="A76" s="243" t="s">
        <v>76</v>
      </c>
      <c r="B76" s="245" t="s">
        <v>423</v>
      </c>
      <c r="C76" s="244" t="s">
        <v>424</v>
      </c>
      <c r="D76" s="243">
        <v>347</v>
      </c>
      <c r="E76" s="246">
        <v>4736363</v>
      </c>
      <c r="F76" s="246">
        <v>4301488</v>
      </c>
      <c r="G76" s="213" t="s">
        <v>500</v>
      </c>
      <c r="H76" s="246">
        <v>434875</v>
      </c>
      <c r="I76" s="297">
        <v>0</v>
      </c>
      <c r="J76" s="297">
        <v>0</v>
      </c>
      <c r="K76" s="297">
        <v>0</v>
      </c>
      <c r="L76" s="246">
        <v>434875</v>
      </c>
    </row>
    <row r="77" spans="1:12" ht="15.6" customHeight="1" outlineLevel="2" x14ac:dyDescent="0.25">
      <c r="A77" s="243" t="s">
        <v>76</v>
      </c>
      <c r="B77" s="245" t="s">
        <v>425</v>
      </c>
      <c r="C77" s="244" t="s">
        <v>211</v>
      </c>
      <c r="D77" s="243">
        <v>238</v>
      </c>
      <c r="E77" s="246">
        <v>1264692</v>
      </c>
      <c r="F77" s="246">
        <v>1186953</v>
      </c>
      <c r="G77" s="213" t="s">
        <v>500</v>
      </c>
      <c r="H77" s="246">
        <v>77739</v>
      </c>
      <c r="I77" s="297">
        <v>0</v>
      </c>
      <c r="J77" s="297">
        <v>0</v>
      </c>
      <c r="K77" s="297">
        <v>0</v>
      </c>
      <c r="L77" s="246">
        <v>77739</v>
      </c>
    </row>
    <row r="78" spans="1:12" ht="30.75" outlineLevel="2" x14ac:dyDescent="0.25">
      <c r="A78" s="243" t="s">
        <v>76</v>
      </c>
      <c r="B78" s="245" t="s">
        <v>438</v>
      </c>
      <c r="C78" s="244" t="s">
        <v>439</v>
      </c>
      <c r="D78" s="243">
        <v>294</v>
      </c>
      <c r="E78" s="246">
        <v>14940</v>
      </c>
      <c r="F78" s="246">
        <v>14140</v>
      </c>
      <c r="G78" s="213" t="s">
        <v>500</v>
      </c>
      <c r="H78" s="246">
        <v>800</v>
      </c>
      <c r="I78" s="297">
        <v>0</v>
      </c>
      <c r="J78" s="297">
        <v>0</v>
      </c>
      <c r="K78" s="297">
        <v>0</v>
      </c>
      <c r="L78" s="246">
        <v>800</v>
      </c>
    </row>
    <row r="79" spans="1:12" outlineLevel="2" x14ac:dyDescent="0.25">
      <c r="A79" s="243" t="s">
        <v>76</v>
      </c>
      <c r="B79" s="245" t="s">
        <v>431</v>
      </c>
      <c r="C79" s="244" t="s">
        <v>124</v>
      </c>
      <c r="D79" s="243">
        <v>301</v>
      </c>
      <c r="E79" s="246">
        <v>642515</v>
      </c>
      <c r="F79" s="246">
        <v>637504</v>
      </c>
      <c r="G79" s="213" t="s">
        <v>500</v>
      </c>
      <c r="H79" s="246">
        <v>5011</v>
      </c>
      <c r="I79" s="297">
        <v>0</v>
      </c>
      <c r="J79" s="297">
        <v>0</v>
      </c>
      <c r="K79" s="297">
        <v>0</v>
      </c>
      <c r="L79" s="246">
        <v>5011</v>
      </c>
    </row>
    <row r="80" spans="1:12" outlineLevel="2" x14ac:dyDescent="0.25">
      <c r="A80" s="271" t="s">
        <v>269</v>
      </c>
      <c r="B80" s="184" t="s">
        <v>500</v>
      </c>
      <c r="C80" s="74" t="s">
        <v>500</v>
      </c>
      <c r="D80" s="180" t="s">
        <v>500</v>
      </c>
      <c r="E80" s="78">
        <f>SUBTOTAL(109,college200809[Program
Costs])</f>
        <v>26102869</v>
      </c>
      <c r="F80" s="78">
        <f>SUBTOTAL(109,college200809[Less: Net Payments and Offsets 11])</f>
        <v>23632746</v>
      </c>
      <c r="G80" s="74" t="s">
        <v>500</v>
      </c>
      <c r="H80" s="78">
        <f>SUBTOTAL(109,college200809[Accounts Payable
Balance])</f>
        <v>2470123</v>
      </c>
      <c r="I80" s="78">
        <f>SUBTOTAL(109,college200809[Established
Accounts Receivable])</f>
        <v>5366794</v>
      </c>
      <c r="J80" s="78">
        <f>SUBTOTAL(109,college200809[Less: Recovered Amount])</f>
        <v>384373</v>
      </c>
      <c r="K80" s="78">
        <f>SUBTOTAL(109,college200809[Accounts Receivable
Balance])</f>
        <v>4982421</v>
      </c>
      <c r="L80" s="78">
        <f>SUBTOTAL(109,college200809[Net
Balance])</f>
        <v>-2512298</v>
      </c>
    </row>
    <row r="81" spans="1:12" s="244" customFormat="1" ht="15" outlineLevel="2" x14ac:dyDescent="0.2">
      <c r="A81" s="214" t="s">
        <v>508</v>
      </c>
      <c r="B81" s="245"/>
      <c r="D81" s="243"/>
      <c r="E81" s="246"/>
      <c r="F81" s="246"/>
      <c r="G81" s="246"/>
      <c r="H81" s="246"/>
      <c r="I81" s="246"/>
      <c r="J81" s="246"/>
      <c r="K81" s="246"/>
      <c r="L81" s="246"/>
    </row>
    <row r="82" spans="1:12" ht="50.1" customHeight="1" outlineLevel="2" x14ac:dyDescent="0.25">
      <c r="A82" s="203" t="s">
        <v>98</v>
      </c>
      <c r="B82" s="176" t="s">
        <v>99</v>
      </c>
      <c r="C82" s="176" t="s">
        <v>1</v>
      </c>
      <c r="D82" s="176" t="s">
        <v>195</v>
      </c>
      <c r="E82" s="210" t="s">
        <v>188</v>
      </c>
      <c r="F82" s="239" t="s">
        <v>537</v>
      </c>
      <c r="G82" s="212" t="s">
        <v>532</v>
      </c>
      <c r="H82" s="210" t="s">
        <v>528</v>
      </c>
      <c r="I82" s="210" t="s">
        <v>529</v>
      </c>
      <c r="J82" s="210" t="s">
        <v>197</v>
      </c>
      <c r="K82" s="210" t="s">
        <v>530</v>
      </c>
      <c r="L82" s="210" t="s">
        <v>196</v>
      </c>
    </row>
    <row r="83" spans="1:12" ht="15" customHeight="1" outlineLevel="2" x14ac:dyDescent="0.25">
      <c r="A83" s="243" t="s">
        <v>79</v>
      </c>
      <c r="B83" s="245" t="s">
        <v>346</v>
      </c>
      <c r="C83" s="244" t="s">
        <v>347</v>
      </c>
      <c r="D83" s="243">
        <v>270</v>
      </c>
      <c r="E83" s="246">
        <v>107612</v>
      </c>
      <c r="F83" s="246">
        <v>104977</v>
      </c>
      <c r="G83" s="213" t="s">
        <v>500</v>
      </c>
      <c r="H83" s="246">
        <v>2635</v>
      </c>
      <c r="I83" s="297">
        <v>0</v>
      </c>
      <c r="J83" s="297">
        <v>0</v>
      </c>
      <c r="K83" s="297">
        <v>0</v>
      </c>
      <c r="L83" s="246">
        <v>2635</v>
      </c>
    </row>
    <row r="84" spans="1:12" outlineLevel="2" x14ac:dyDescent="0.25">
      <c r="A84" s="243" t="s">
        <v>79</v>
      </c>
      <c r="B84" s="245" t="s">
        <v>436</v>
      </c>
      <c r="C84" s="244" t="s">
        <v>437</v>
      </c>
      <c r="D84" s="243">
        <v>302</v>
      </c>
      <c r="E84" s="246">
        <v>23844</v>
      </c>
      <c r="F84" s="246">
        <v>22129</v>
      </c>
      <c r="G84" s="213" t="s">
        <v>500</v>
      </c>
      <c r="H84" s="246">
        <v>1715</v>
      </c>
      <c r="I84" s="297">
        <v>0</v>
      </c>
      <c r="J84" s="297">
        <v>0</v>
      </c>
      <c r="K84" s="297">
        <v>0</v>
      </c>
      <c r="L84" s="246">
        <v>1715</v>
      </c>
    </row>
    <row r="85" spans="1:12" outlineLevel="2" x14ac:dyDescent="0.25">
      <c r="A85" s="243" t="s">
        <v>79</v>
      </c>
      <c r="B85" s="245" t="s">
        <v>173</v>
      </c>
      <c r="C85" s="244" t="s">
        <v>174</v>
      </c>
      <c r="D85" s="243">
        <v>355</v>
      </c>
      <c r="E85" s="246">
        <v>2144</v>
      </c>
      <c r="F85" s="297">
        <v>0</v>
      </c>
      <c r="G85" s="213" t="s">
        <v>500</v>
      </c>
      <c r="H85" s="246">
        <v>2144</v>
      </c>
      <c r="I85" s="297">
        <v>0</v>
      </c>
      <c r="J85" s="297">
        <v>0</v>
      </c>
      <c r="K85" s="297">
        <v>0</v>
      </c>
      <c r="L85" s="246">
        <v>2144</v>
      </c>
    </row>
    <row r="86" spans="1:12" ht="45.75" outlineLevel="2" x14ac:dyDescent="0.25">
      <c r="A86" s="243" t="s">
        <v>79</v>
      </c>
      <c r="B86" s="245" t="s">
        <v>328</v>
      </c>
      <c r="C86" s="244" t="s">
        <v>329</v>
      </c>
      <c r="D86" s="243">
        <v>287</v>
      </c>
      <c r="E86" s="246">
        <v>65504</v>
      </c>
      <c r="F86" s="246">
        <v>63745</v>
      </c>
      <c r="G86" s="213" t="s">
        <v>500</v>
      </c>
      <c r="H86" s="246">
        <v>1759</v>
      </c>
      <c r="I86" s="297">
        <v>0</v>
      </c>
      <c r="J86" s="297">
        <v>0</v>
      </c>
      <c r="K86" s="297">
        <v>0</v>
      </c>
      <c r="L86" s="246">
        <v>1759</v>
      </c>
    </row>
    <row r="87" spans="1:12" ht="45" customHeight="1" outlineLevel="2" x14ac:dyDescent="0.25">
      <c r="A87" s="243" t="s">
        <v>79</v>
      </c>
      <c r="B87" s="245" t="s">
        <v>115</v>
      </c>
      <c r="C87" s="244" t="s">
        <v>116</v>
      </c>
      <c r="D87" s="243">
        <v>232</v>
      </c>
      <c r="E87" s="246">
        <v>5564747</v>
      </c>
      <c r="F87" s="246">
        <v>5268364</v>
      </c>
      <c r="G87" s="213" t="s">
        <v>500</v>
      </c>
      <c r="H87" s="246">
        <v>296383</v>
      </c>
      <c r="I87" s="246">
        <v>87483</v>
      </c>
      <c r="J87" s="246">
        <v>87483</v>
      </c>
      <c r="K87" s="297">
        <v>0</v>
      </c>
      <c r="L87" s="246">
        <v>296383</v>
      </c>
    </row>
    <row r="88" spans="1:12" outlineLevel="2" x14ac:dyDescent="0.25">
      <c r="A88" s="243" t="s">
        <v>79</v>
      </c>
      <c r="B88" s="245" t="s">
        <v>426</v>
      </c>
      <c r="C88" s="244" t="s">
        <v>427</v>
      </c>
      <c r="D88" s="243">
        <v>332</v>
      </c>
      <c r="E88" s="246">
        <v>95735</v>
      </c>
      <c r="F88" s="246">
        <v>51635</v>
      </c>
      <c r="G88" s="213" t="s">
        <v>500</v>
      </c>
      <c r="H88" s="246">
        <v>44100</v>
      </c>
      <c r="I88" s="297">
        <v>0</v>
      </c>
      <c r="J88" s="297">
        <v>0</v>
      </c>
      <c r="K88" s="297">
        <v>0</v>
      </c>
      <c r="L88" s="246">
        <v>44100</v>
      </c>
    </row>
    <row r="89" spans="1:12" ht="45" customHeight="1" outlineLevel="2" x14ac:dyDescent="0.25">
      <c r="A89" s="243" t="s">
        <v>79</v>
      </c>
      <c r="B89" s="245" t="s">
        <v>428</v>
      </c>
      <c r="C89" s="244" t="s">
        <v>335</v>
      </c>
      <c r="D89" s="243">
        <v>340</v>
      </c>
      <c r="E89" s="246">
        <v>767662</v>
      </c>
      <c r="F89" s="246">
        <v>490496</v>
      </c>
      <c r="G89" s="213" t="s">
        <v>500</v>
      </c>
      <c r="H89" s="246">
        <v>277166</v>
      </c>
      <c r="I89" s="297">
        <v>0</v>
      </c>
      <c r="J89" s="297">
        <v>0</v>
      </c>
      <c r="K89" s="297">
        <v>0</v>
      </c>
      <c r="L89" s="246">
        <v>277166</v>
      </c>
    </row>
    <row r="90" spans="1:12" ht="30.75" outlineLevel="2" x14ac:dyDescent="0.25">
      <c r="A90" s="243" t="s">
        <v>79</v>
      </c>
      <c r="B90" s="245" t="s">
        <v>422</v>
      </c>
      <c r="C90" s="244" t="s">
        <v>333</v>
      </c>
      <c r="D90" s="243">
        <v>267</v>
      </c>
      <c r="E90" s="246">
        <v>6981108</v>
      </c>
      <c r="F90" s="246">
        <v>5974151</v>
      </c>
      <c r="G90" s="213" t="s">
        <v>500</v>
      </c>
      <c r="H90" s="246">
        <v>1006957</v>
      </c>
      <c r="I90" s="297">
        <v>0</v>
      </c>
      <c r="J90" s="297">
        <v>0</v>
      </c>
      <c r="K90" s="297">
        <v>0</v>
      </c>
      <c r="L90" s="246">
        <v>1006957</v>
      </c>
    </row>
    <row r="91" spans="1:12" ht="30.75" outlineLevel="1" x14ac:dyDescent="0.25">
      <c r="A91" s="243" t="s">
        <v>79</v>
      </c>
      <c r="B91" s="245" t="s">
        <v>429</v>
      </c>
      <c r="C91" s="244" t="s">
        <v>430</v>
      </c>
      <c r="D91" s="243">
        <v>234</v>
      </c>
      <c r="E91" s="246">
        <v>2553039</v>
      </c>
      <c r="F91" s="246">
        <v>2553039</v>
      </c>
      <c r="G91" s="213" t="s">
        <v>500</v>
      </c>
      <c r="H91" s="297">
        <v>0</v>
      </c>
      <c r="I91" s="246">
        <v>2583827</v>
      </c>
      <c r="J91" s="246">
        <v>926649</v>
      </c>
      <c r="K91" s="246">
        <v>1657178</v>
      </c>
      <c r="L91" s="246">
        <v>-1657178</v>
      </c>
    </row>
    <row r="92" spans="1:12" outlineLevel="2" x14ac:dyDescent="0.25">
      <c r="A92" s="243" t="s">
        <v>79</v>
      </c>
      <c r="B92" s="245" t="s">
        <v>432</v>
      </c>
      <c r="C92" s="244" t="s">
        <v>433</v>
      </c>
      <c r="D92" s="243">
        <v>256</v>
      </c>
      <c r="E92" s="246">
        <v>923669</v>
      </c>
      <c r="F92" s="246">
        <v>848634</v>
      </c>
      <c r="G92" s="213" t="s">
        <v>500</v>
      </c>
      <c r="H92" s="246">
        <v>75035</v>
      </c>
      <c r="I92" s="297">
        <v>0</v>
      </c>
      <c r="J92" s="297">
        <v>0</v>
      </c>
      <c r="K92" s="297">
        <v>0</v>
      </c>
      <c r="L92" s="246">
        <v>75035</v>
      </c>
    </row>
    <row r="93" spans="1:12" ht="30.75" outlineLevel="2" x14ac:dyDescent="0.25">
      <c r="A93" s="243" t="s">
        <v>79</v>
      </c>
      <c r="B93" s="245" t="s">
        <v>219</v>
      </c>
      <c r="C93" s="244" t="s">
        <v>220</v>
      </c>
      <c r="D93" s="243">
        <v>237</v>
      </c>
      <c r="E93" s="246">
        <v>707987</v>
      </c>
      <c r="F93" s="246">
        <v>634644</v>
      </c>
      <c r="G93" s="213" t="s">
        <v>500</v>
      </c>
      <c r="H93" s="246">
        <v>73343</v>
      </c>
      <c r="I93" s="297">
        <v>0</v>
      </c>
      <c r="J93" s="297">
        <v>0</v>
      </c>
      <c r="K93" s="297">
        <v>0</v>
      </c>
      <c r="L93" s="246">
        <v>73343</v>
      </c>
    </row>
    <row r="94" spans="1:12" outlineLevel="2" x14ac:dyDescent="0.25">
      <c r="A94" s="243" t="s">
        <v>79</v>
      </c>
      <c r="B94" s="245" t="s">
        <v>423</v>
      </c>
      <c r="C94" s="244" t="s">
        <v>424</v>
      </c>
      <c r="D94" s="243">
        <v>347</v>
      </c>
      <c r="E94" s="246">
        <v>4632603</v>
      </c>
      <c r="F94" s="246">
        <v>4204110</v>
      </c>
      <c r="G94" s="213" t="s">
        <v>500</v>
      </c>
      <c r="H94" s="246">
        <v>428493</v>
      </c>
      <c r="I94" s="297">
        <v>0</v>
      </c>
      <c r="J94" s="297">
        <v>0</v>
      </c>
      <c r="K94" s="297">
        <v>0</v>
      </c>
      <c r="L94" s="246">
        <v>428493</v>
      </c>
    </row>
    <row r="95" spans="1:12" ht="15" customHeight="1" outlineLevel="2" x14ac:dyDescent="0.25">
      <c r="A95" s="243" t="s">
        <v>79</v>
      </c>
      <c r="B95" s="245" t="s">
        <v>425</v>
      </c>
      <c r="C95" s="244" t="s">
        <v>211</v>
      </c>
      <c r="D95" s="243">
        <v>238</v>
      </c>
      <c r="E95" s="246">
        <v>1134100</v>
      </c>
      <c r="F95" s="246">
        <v>1049929</v>
      </c>
      <c r="G95" s="213" t="s">
        <v>500</v>
      </c>
      <c r="H95" s="246">
        <v>84171</v>
      </c>
      <c r="I95" s="297">
        <v>0</v>
      </c>
      <c r="J95" s="297">
        <v>0</v>
      </c>
      <c r="K95" s="297">
        <v>0</v>
      </c>
      <c r="L95" s="246">
        <v>84171</v>
      </c>
    </row>
    <row r="96" spans="1:12" ht="30.75" outlineLevel="2" x14ac:dyDescent="0.25">
      <c r="A96" s="243" t="s">
        <v>79</v>
      </c>
      <c r="B96" s="245" t="s">
        <v>438</v>
      </c>
      <c r="C96" s="244" t="s">
        <v>439</v>
      </c>
      <c r="D96" s="243">
        <v>294</v>
      </c>
      <c r="E96" s="246">
        <v>28548</v>
      </c>
      <c r="F96" s="246">
        <v>11337</v>
      </c>
      <c r="G96" s="213" t="s">
        <v>500</v>
      </c>
      <c r="H96" s="246">
        <v>17211</v>
      </c>
      <c r="I96" s="297">
        <v>0</v>
      </c>
      <c r="J96" s="297">
        <v>0</v>
      </c>
      <c r="K96" s="297">
        <v>0</v>
      </c>
      <c r="L96" s="246">
        <v>17211</v>
      </c>
    </row>
    <row r="97" spans="1:12" outlineLevel="2" x14ac:dyDescent="0.25">
      <c r="A97" s="243" t="s">
        <v>79</v>
      </c>
      <c r="B97" s="245" t="s">
        <v>431</v>
      </c>
      <c r="C97" s="244" t="s">
        <v>124</v>
      </c>
      <c r="D97" s="243">
        <v>301</v>
      </c>
      <c r="E97" s="246">
        <v>825469</v>
      </c>
      <c r="F97" s="246">
        <v>820584</v>
      </c>
      <c r="G97" s="213" t="s">
        <v>500</v>
      </c>
      <c r="H97" s="246">
        <v>4885</v>
      </c>
      <c r="I97" s="297">
        <v>0</v>
      </c>
      <c r="J97" s="297">
        <v>0</v>
      </c>
      <c r="K97" s="297">
        <v>0</v>
      </c>
      <c r="L97" s="246">
        <v>4885</v>
      </c>
    </row>
    <row r="98" spans="1:12" outlineLevel="2" x14ac:dyDescent="0.25">
      <c r="A98" s="271" t="s">
        <v>274</v>
      </c>
      <c r="B98" s="184" t="s">
        <v>500</v>
      </c>
      <c r="C98" s="74" t="s">
        <v>500</v>
      </c>
      <c r="D98" s="180" t="s">
        <v>500</v>
      </c>
      <c r="E98" s="78">
        <f>SUBTOTAL(109,college200708[Program
Costs])</f>
        <v>24413771</v>
      </c>
      <c r="F98" s="78">
        <f>SUBTOTAL(109,college200708[Less: Net Payments and Offsets 11])</f>
        <v>22097774</v>
      </c>
      <c r="G98" s="74" t="s">
        <v>500</v>
      </c>
      <c r="H98" s="78">
        <f>SUBTOTAL(109,college200708[Accounts Payable
Balance])</f>
        <v>2315997</v>
      </c>
      <c r="I98" s="78">
        <f>SUBTOTAL(109,college200708[Established
Accounts Receivable])</f>
        <v>2671310</v>
      </c>
      <c r="J98" s="78">
        <f>SUBTOTAL(109,college200708[Less: Recovered Amount])</f>
        <v>1014132</v>
      </c>
      <c r="K98" s="78">
        <f>SUBTOTAL(109,college200708[Accounts Receivable
Balance])</f>
        <v>1657178</v>
      </c>
      <c r="L98" s="78">
        <f>SUBTOTAL(109,college200708[Net
Balance])</f>
        <v>658819</v>
      </c>
    </row>
    <row r="99" spans="1:12" s="244" customFormat="1" ht="15" outlineLevel="2" x14ac:dyDescent="0.2">
      <c r="A99" s="214" t="s">
        <v>508</v>
      </c>
      <c r="B99" s="245"/>
      <c r="D99" s="243"/>
      <c r="E99" s="246"/>
      <c r="F99" s="246"/>
      <c r="G99" s="246"/>
      <c r="H99" s="246"/>
      <c r="I99" s="246"/>
      <c r="J99" s="246"/>
      <c r="K99" s="246"/>
      <c r="L99" s="246"/>
    </row>
    <row r="100" spans="1:12" ht="50.1" customHeight="1" outlineLevel="2" x14ac:dyDescent="0.25">
      <c r="A100" s="203" t="s">
        <v>98</v>
      </c>
      <c r="B100" s="176" t="s">
        <v>99</v>
      </c>
      <c r="C100" s="176" t="s">
        <v>1</v>
      </c>
      <c r="D100" s="176" t="s">
        <v>195</v>
      </c>
      <c r="E100" s="210" t="s">
        <v>188</v>
      </c>
      <c r="F100" s="239" t="s">
        <v>537</v>
      </c>
      <c r="G100" s="212" t="s">
        <v>532</v>
      </c>
      <c r="H100" s="210" t="s">
        <v>528</v>
      </c>
      <c r="I100" s="210" t="s">
        <v>529</v>
      </c>
      <c r="J100" s="210" t="s">
        <v>197</v>
      </c>
      <c r="K100" s="210" t="s">
        <v>530</v>
      </c>
      <c r="L100" s="210" t="s">
        <v>196</v>
      </c>
    </row>
    <row r="101" spans="1:12" outlineLevel="1" x14ac:dyDescent="0.25">
      <c r="A101" s="243" t="s">
        <v>80</v>
      </c>
      <c r="B101" s="245" t="s">
        <v>346</v>
      </c>
      <c r="C101" s="244" t="s">
        <v>347</v>
      </c>
      <c r="D101" s="243">
        <v>270</v>
      </c>
      <c r="E101" s="246">
        <v>83423</v>
      </c>
      <c r="F101" s="246">
        <v>81632</v>
      </c>
      <c r="G101" s="213" t="s">
        <v>500</v>
      </c>
      <c r="H101" s="246">
        <v>1791</v>
      </c>
      <c r="I101" s="297">
        <v>0</v>
      </c>
      <c r="J101" s="297">
        <v>0</v>
      </c>
      <c r="K101" s="297">
        <v>0</v>
      </c>
      <c r="L101" s="246">
        <v>1791</v>
      </c>
    </row>
    <row r="102" spans="1:12" outlineLevel="2" x14ac:dyDescent="0.25">
      <c r="A102" s="243" t="s">
        <v>80</v>
      </c>
      <c r="B102" s="245" t="s">
        <v>436</v>
      </c>
      <c r="C102" s="244" t="s">
        <v>437</v>
      </c>
      <c r="D102" s="243">
        <v>302</v>
      </c>
      <c r="E102" s="246">
        <v>21582</v>
      </c>
      <c r="F102" s="246">
        <v>19807</v>
      </c>
      <c r="G102" s="213" t="s">
        <v>500</v>
      </c>
      <c r="H102" s="246">
        <v>1775</v>
      </c>
      <c r="I102" s="297">
        <v>0</v>
      </c>
      <c r="J102" s="297">
        <v>0</v>
      </c>
      <c r="K102" s="297">
        <v>0</v>
      </c>
      <c r="L102" s="246">
        <v>1775</v>
      </c>
    </row>
    <row r="103" spans="1:12" ht="45.75" outlineLevel="2" x14ac:dyDescent="0.25">
      <c r="A103" s="243" t="s">
        <v>80</v>
      </c>
      <c r="B103" s="245" t="s">
        <v>328</v>
      </c>
      <c r="C103" s="244" t="s">
        <v>329</v>
      </c>
      <c r="D103" s="243">
        <v>287</v>
      </c>
      <c r="E103" s="246">
        <v>57897</v>
      </c>
      <c r="F103" s="246">
        <v>56416</v>
      </c>
      <c r="G103" s="213" t="s">
        <v>500</v>
      </c>
      <c r="H103" s="246">
        <v>1481</v>
      </c>
      <c r="I103" s="297">
        <v>0</v>
      </c>
      <c r="J103" s="297">
        <v>0</v>
      </c>
      <c r="K103" s="297">
        <v>0</v>
      </c>
      <c r="L103" s="246">
        <v>1481</v>
      </c>
    </row>
    <row r="104" spans="1:12" ht="30.75" outlineLevel="2" x14ac:dyDescent="0.25">
      <c r="A104" s="243" t="s">
        <v>80</v>
      </c>
      <c r="B104" s="245" t="s">
        <v>422</v>
      </c>
      <c r="C104" s="244" t="s">
        <v>333</v>
      </c>
      <c r="D104" s="243">
        <v>267</v>
      </c>
      <c r="E104" s="246">
        <v>4248500</v>
      </c>
      <c r="F104" s="246">
        <v>3796742</v>
      </c>
      <c r="G104" s="213" t="s">
        <v>500</v>
      </c>
      <c r="H104" s="246">
        <v>451758</v>
      </c>
      <c r="I104" s="297">
        <v>0</v>
      </c>
      <c r="J104" s="297">
        <v>0</v>
      </c>
      <c r="K104" s="297">
        <v>0</v>
      </c>
      <c r="L104" s="246">
        <v>451758</v>
      </c>
    </row>
    <row r="105" spans="1:12" ht="30.75" outlineLevel="1" x14ac:dyDescent="0.25">
      <c r="A105" s="243" t="s">
        <v>80</v>
      </c>
      <c r="B105" s="245" t="s">
        <v>429</v>
      </c>
      <c r="C105" s="244" t="s">
        <v>430</v>
      </c>
      <c r="D105" s="243">
        <v>234</v>
      </c>
      <c r="E105" s="246">
        <v>2117214</v>
      </c>
      <c r="F105" s="246">
        <v>2079660</v>
      </c>
      <c r="G105" s="213" t="s">
        <v>500</v>
      </c>
      <c r="H105" s="246">
        <v>37554</v>
      </c>
      <c r="I105" s="246">
        <v>3094765</v>
      </c>
      <c r="J105" s="246">
        <v>2027098</v>
      </c>
      <c r="K105" s="246">
        <v>1067667</v>
      </c>
      <c r="L105" s="246">
        <v>-1030113</v>
      </c>
    </row>
    <row r="106" spans="1:12" ht="30.75" outlineLevel="2" x14ac:dyDescent="0.25">
      <c r="A106" s="243" t="s">
        <v>80</v>
      </c>
      <c r="B106" s="245" t="s">
        <v>219</v>
      </c>
      <c r="C106" s="244" t="s">
        <v>220</v>
      </c>
      <c r="D106" s="243">
        <v>237</v>
      </c>
      <c r="E106" s="246">
        <v>853887</v>
      </c>
      <c r="F106" s="246">
        <v>840901</v>
      </c>
      <c r="G106" s="213" t="s">
        <v>500</v>
      </c>
      <c r="H106" s="246">
        <v>12986</v>
      </c>
      <c r="I106" s="297">
        <v>0</v>
      </c>
      <c r="J106" s="297">
        <v>0</v>
      </c>
      <c r="K106" s="297">
        <v>0</v>
      </c>
      <c r="L106" s="246">
        <v>12986</v>
      </c>
    </row>
    <row r="107" spans="1:12" outlineLevel="1" x14ac:dyDescent="0.25">
      <c r="A107" s="243" t="s">
        <v>80</v>
      </c>
      <c r="B107" s="245" t="s">
        <v>423</v>
      </c>
      <c r="C107" s="244" t="s">
        <v>424</v>
      </c>
      <c r="D107" s="243">
        <v>347</v>
      </c>
      <c r="E107" s="246">
        <v>4028725</v>
      </c>
      <c r="F107" s="246">
        <v>3654701</v>
      </c>
      <c r="G107" s="213" t="s">
        <v>500</v>
      </c>
      <c r="H107" s="246">
        <v>374024</v>
      </c>
      <c r="I107" s="246">
        <v>2611645</v>
      </c>
      <c r="J107" s="246">
        <v>2611645</v>
      </c>
      <c r="K107" s="297">
        <v>0</v>
      </c>
      <c r="L107" s="246">
        <v>374024</v>
      </c>
    </row>
    <row r="108" spans="1:12" ht="15.6" customHeight="1" outlineLevel="2" x14ac:dyDescent="0.25">
      <c r="A108" s="243" t="s">
        <v>80</v>
      </c>
      <c r="B108" s="245" t="s">
        <v>425</v>
      </c>
      <c r="C108" s="244" t="s">
        <v>211</v>
      </c>
      <c r="D108" s="243">
        <v>238</v>
      </c>
      <c r="E108" s="246">
        <v>977889</v>
      </c>
      <c r="F108" s="246">
        <v>963273</v>
      </c>
      <c r="G108" s="213" t="s">
        <v>500</v>
      </c>
      <c r="H108" s="246">
        <v>14616</v>
      </c>
      <c r="I108" s="297">
        <v>0</v>
      </c>
      <c r="J108" s="297">
        <v>0</v>
      </c>
      <c r="K108" s="297">
        <v>0</v>
      </c>
      <c r="L108" s="246">
        <v>14616</v>
      </c>
    </row>
    <row r="109" spans="1:12" outlineLevel="2" x14ac:dyDescent="0.25">
      <c r="A109" s="271" t="s">
        <v>275</v>
      </c>
      <c r="B109" s="184" t="s">
        <v>500</v>
      </c>
      <c r="C109" s="74" t="s">
        <v>500</v>
      </c>
      <c r="D109" s="180" t="s">
        <v>500</v>
      </c>
      <c r="E109" s="78">
        <f>SUBTOTAL(109,college200607[Program
Costs])</f>
        <v>12389117</v>
      </c>
      <c r="F109" s="78">
        <f>SUBTOTAL(109,college200607[Less: Net Payments and Offsets 11])</f>
        <v>11493132</v>
      </c>
      <c r="G109" s="74" t="s">
        <v>500</v>
      </c>
      <c r="H109" s="78">
        <f>SUBTOTAL(109,college200607[Accounts Payable
Balance])</f>
        <v>895985</v>
      </c>
      <c r="I109" s="78">
        <f>SUBTOTAL(109,college200607[Established
Accounts Receivable])</f>
        <v>5706410</v>
      </c>
      <c r="J109" s="78">
        <f>SUBTOTAL(109,college200607[Less: Recovered Amount])</f>
        <v>4638743</v>
      </c>
      <c r="K109" s="78">
        <f>SUBTOTAL(109,college200607[Accounts Receivable
Balance])</f>
        <v>1067667</v>
      </c>
      <c r="L109" s="78">
        <f>SUBTOTAL(109,college200607[Net
Balance])</f>
        <v>-171682</v>
      </c>
    </row>
    <row r="110" spans="1:12" s="244" customFormat="1" ht="15" outlineLevel="2" x14ac:dyDescent="0.2">
      <c r="A110" s="214" t="s">
        <v>508</v>
      </c>
      <c r="B110" s="245"/>
      <c r="D110" s="243"/>
      <c r="E110" s="246"/>
      <c r="F110" s="246"/>
      <c r="G110" s="246"/>
      <c r="H110" s="246"/>
      <c r="I110" s="246"/>
      <c r="J110" s="246"/>
      <c r="K110" s="246"/>
      <c r="L110" s="246"/>
    </row>
    <row r="111" spans="1:12" ht="50.1" customHeight="1" outlineLevel="2" x14ac:dyDescent="0.25">
      <c r="A111" s="203" t="s">
        <v>98</v>
      </c>
      <c r="B111" s="176" t="s">
        <v>99</v>
      </c>
      <c r="C111" s="176" t="s">
        <v>1</v>
      </c>
      <c r="D111" s="176" t="s">
        <v>195</v>
      </c>
      <c r="E111" s="210" t="s">
        <v>188</v>
      </c>
      <c r="F111" s="239" t="s">
        <v>537</v>
      </c>
      <c r="G111" s="212" t="s">
        <v>532</v>
      </c>
      <c r="H111" s="210" t="s">
        <v>528</v>
      </c>
      <c r="I111" s="210" t="s">
        <v>529</v>
      </c>
      <c r="J111" s="210" t="s">
        <v>197</v>
      </c>
      <c r="K111" s="210" t="s">
        <v>530</v>
      </c>
      <c r="L111" s="210" t="s">
        <v>196</v>
      </c>
    </row>
    <row r="112" spans="1:12" ht="30.75" outlineLevel="1" x14ac:dyDescent="0.25">
      <c r="A112" s="243" t="s">
        <v>81</v>
      </c>
      <c r="B112" s="245" t="s">
        <v>429</v>
      </c>
      <c r="C112" s="244" t="s">
        <v>430</v>
      </c>
      <c r="D112" s="243">
        <v>234</v>
      </c>
      <c r="E112" s="246">
        <v>3298552</v>
      </c>
      <c r="F112" s="246">
        <v>3211845</v>
      </c>
      <c r="G112" s="213" t="s">
        <v>500</v>
      </c>
      <c r="H112" s="246">
        <v>86707</v>
      </c>
      <c r="I112" s="297">
        <v>0</v>
      </c>
      <c r="J112" s="297">
        <v>0</v>
      </c>
      <c r="K112" s="297">
        <v>0</v>
      </c>
      <c r="L112" s="246">
        <v>86707</v>
      </c>
    </row>
    <row r="113" spans="1:12" ht="30.75" outlineLevel="2" x14ac:dyDescent="0.25">
      <c r="A113" s="243" t="s">
        <v>81</v>
      </c>
      <c r="B113" s="245" t="s">
        <v>219</v>
      </c>
      <c r="C113" s="244" t="s">
        <v>220</v>
      </c>
      <c r="D113" s="243">
        <v>237</v>
      </c>
      <c r="E113" s="246">
        <v>892507</v>
      </c>
      <c r="F113" s="246">
        <v>892507</v>
      </c>
      <c r="G113" s="213" t="s">
        <v>500</v>
      </c>
      <c r="H113" s="297">
        <v>0</v>
      </c>
      <c r="I113" s="246">
        <v>159704</v>
      </c>
      <c r="J113" s="246">
        <v>145885</v>
      </c>
      <c r="K113" s="246">
        <v>13819</v>
      </c>
      <c r="L113" s="246">
        <v>-13819</v>
      </c>
    </row>
    <row r="114" spans="1:12" ht="15.6" customHeight="1" outlineLevel="2" x14ac:dyDescent="0.25">
      <c r="A114" s="243" t="s">
        <v>81</v>
      </c>
      <c r="B114" s="245" t="s">
        <v>425</v>
      </c>
      <c r="C114" s="244" t="s">
        <v>211</v>
      </c>
      <c r="D114" s="243">
        <v>238</v>
      </c>
      <c r="E114" s="246">
        <v>916470</v>
      </c>
      <c r="F114" s="246">
        <v>916470</v>
      </c>
      <c r="G114" s="213" t="s">
        <v>500</v>
      </c>
      <c r="H114" s="297">
        <v>0</v>
      </c>
      <c r="I114" s="246">
        <v>146531</v>
      </c>
      <c r="J114" s="246">
        <v>105462</v>
      </c>
      <c r="K114" s="246">
        <v>41069</v>
      </c>
      <c r="L114" s="246">
        <v>-41069</v>
      </c>
    </row>
    <row r="115" spans="1:12" outlineLevel="2" x14ac:dyDescent="0.25">
      <c r="A115" s="271" t="s">
        <v>276</v>
      </c>
      <c r="B115" s="184" t="s">
        <v>500</v>
      </c>
      <c r="C115" s="74" t="s">
        <v>500</v>
      </c>
      <c r="D115" s="180" t="s">
        <v>500</v>
      </c>
      <c r="E115" s="78">
        <f>SUBTOTAL(109,college200506[Program
Costs])</f>
        <v>5107529</v>
      </c>
      <c r="F115" s="78">
        <f>SUBTOTAL(109,college200506[Less: Net Payments and Offsets 11])</f>
        <v>5020822</v>
      </c>
      <c r="G115" s="74" t="s">
        <v>500</v>
      </c>
      <c r="H115" s="78">
        <f>SUBTOTAL(109,college200506[Accounts Payable
Balance])</f>
        <v>86707</v>
      </c>
      <c r="I115" s="78">
        <f>SUBTOTAL(109,college200506[Established
Accounts Receivable])</f>
        <v>306235</v>
      </c>
      <c r="J115" s="78">
        <f>SUBTOTAL(109,college200506[Less: Recovered Amount])</f>
        <v>251347</v>
      </c>
      <c r="K115" s="78">
        <f>SUBTOTAL(109,college200506[Accounts Receivable
Balance])</f>
        <v>54888</v>
      </c>
      <c r="L115" s="78">
        <f>SUBTOTAL(109,college200506[Net
Balance])</f>
        <v>31819</v>
      </c>
    </row>
    <row r="116" spans="1:12" s="244" customFormat="1" ht="15.6" customHeight="1" outlineLevel="2" x14ac:dyDescent="0.2">
      <c r="A116" s="214" t="s">
        <v>508</v>
      </c>
      <c r="B116" s="245"/>
      <c r="D116" s="243"/>
      <c r="E116" s="246"/>
      <c r="F116" s="246"/>
      <c r="G116" s="246"/>
      <c r="H116" s="246"/>
      <c r="I116" s="246"/>
      <c r="J116" s="246"/>
      <c r="K116" s="246"/>
      <c r="L116" s="246"/>
    </row>
    <row r="117" spans="1:12" ht="50.1" customHeight="1" outlineLevel="1" x14ac:dyDescent="0.25">
      <c r="A117" s="203" t="s">
        <v>98</v>
      </c>
      <c r="B117" s="176" t="s">
        <v>99</v>
      </c>
      <c r="C117" s="176" t="s">
        <v>1</v>
      </c>
      <c r="D117" s="176" t="s">
        <v>195</v>
      </c>
      <c r="E117" s="210" t="s">
        <v>188</v>
      </c>
      <c r="F117" s="239" t="s">
        <v>537</v>
      </c>
      <c r="G117" s="212" t="s">
        <v>532</v>
      </c>
      <c r="H117" s="210" t="s">
        <v>528</v>
      </c>
      <c r="I117" s="210" t="s">
        <v>529</v>
      </c>
      <c r="J117" s="210" t="s">
        <v>197</v>
      </c>
      <c r="K117" s="210" t="s">
        <v>530</v>
      </c>
      <c r="L117" s="210" t="s">
        <v>196</v>
      </c>
    </row>
    <row r="118" spans="1:12" outlineLevel="2" x14ac:dyDescent="0.25">
      <c r="A118" s="243" t="s">
        <v>83</v>
      </c>
      <c r="B118" s="245" t="s">
        <v>432</v>
      </c>
      <c r="C118" s="244" t="s">
        <v>433</v>
      </c>
      <c r="D118" s="243">
        <v>256</v>
      </c>
      <c r="E118" s="246">
        <v>948601</v>
      </c>
      <c r="F118" s="246">
        <v>934582</v>
      </c>
      <c r="G118" s="213" t="s">
        <v>500</v>
      </c>
      <c r="H118" s="246">
        <v>14019</v>
      </c>
      <c r="I118" s="246">
        <v>408288</v>
      </c>
      <c r="J118" s="246">
        <v>408288</v>
      </c>
      <c r="K118" s="297">
        <v>0</v>
      </c>
      <c r="L118" s="246">
        <v>14019</v>
      </c>
    </row>
    <row r="119" spans="1:12" outlineLevel="2" x14ac:dyDescent="0.25">
      <c r="A119" s="271" t="s">
        <v>278</v>
      </c>
      <c r="B119" s="184" t="s">
        <v>500</v>
      </c>
      <c r="C119" s="74" t="s">
        <v>500</v>
      </c>
      <c r="D119" s="180" t="s">
        <v>500</v>
      </c>
      <c r="E119" s="78">
        <f>SUBTOTAL(109,college200304[Program
Costs])</f>
        <v>948601</v>
      </c>
      <c r="F119" s="78">
        <f>SUBTOTAL(109,college200304[Less: Net Payments and Offsets 11])</f>
        <v>934582</v>
      </c>
      <c r="G119" s="74" t="s">
        <v>500</v>
      </c>
      <c r="H119" s="78">
        <f>SUBTOTAL(109,college200304[Accounts Payable
Balance])</f>
        <v>14019</v>
      </c>
      <c r="I119" s="78">
        <f>SUBTOTAL(109,college200304[Established
Accounts Receivable])</f>
        <v>408288</v>
      </c>
      <c r="J119" s="78">
        <f>SUBTOTAL(109,college200304[Less: Recovered Amount])</f>
        <v>408288</v>
      </c>
      <c r="K119" s="179">
        <f>SUBTOTAL(109,college200304[Accounts Receivable
Balance])</f>
        <v>0</v>
      </c>
      <c r="L119" s="78">
        <f>SUBTOTAL(109,college200304[Net
Balance])</f>
        <v>14019</v>
      </c>
    </row>
    <row r="120" spans="1:12" s="244" customFormat="1" ht="15" outlineLevel="1" x14ac:dyDescent="0.2">
      <c r="A120" s="214" t="s">
        <v>508</v>
      </c>
      <c r="B120" s="245"/>
      <c r="D120" s="243"/>
      <c r="E120" s="246"/>
      <c r="F120" s="246"/>
      <c r="G120" s="246"/>
      <c r="H120" s="246"/>
      <c r="I120" s="246"/>
      <c r="J120" s="246"/>
      <c r="K120" s="246"/>
      <c r="L120" s="246"/>
    </row>
    <row r="121" spans="1:12" ht="50.1" customHeight="1" outlineLevel="2" x14ac:dyDescent="0.25">
      <c r="A121" s="203" t="s">
        <v>98</v>
      </c>
      <c r="B121" s="176" t="s">
        <v>99</v>
      </c>
      <c r="C121" s="176" t="s">
        <v>1</v>
      </c>
      <c r="D121" s="176" t="s">
        <v>195</v>
      </c>
      <c r="E121" s="210" t="s">
        <v>188</v>
      </c>
      <c r="F121" s="239" t="s">
        <v>537</v>
      </c>
      <c r="G121" s="212" t="s">
        <v>532</v>
      </c>
      <c r="H121" s="210" t="s">
        <v>528</v>
      </c>
      <c r="I121" s="210" t="s">
        <v>529</v>
      </c>
      <c r="J121" s="210" t="s">
        <v>197</v>
      </c>
      <c r="K121" s="210" t="s">
        <v>530</v>
      </c>
      <c r="L121" s="210" t="s">
        <v>196</v>
      </c>
    </row>
    <row r="122" spans="1:12" ht="45" customHeight="1" outlineLevel="1" x14ac:dyDescent="0.25">
      <c r="A122" s="243" t="s">
        <v>71</v>
      </c>
      <c r="B122" s="245" t="s">
        <v>115</v>
      </c>
      <c r="C122" s="244" t="s">
        <v>116</v>
      </c>
      <c r="D122" s="243">
        <v>232</v>
      </c>
      <c r="E122" s="246">
        <v>7841169</v>
      </c>
      <c r="F122" s="246">
        <v>7841169</v>
      </c>
      <c r="G122" s="213" t="s">
        <v>500</v>
      </c>
      <c r="H122" s="297">
        <v>0</v>
      </c>
      <c r="I122" s="246">
        <v>595489</v>
      </c>
      <c r="J122" s="246">
        <v>371172</v>
      </c>
      <c r="K122" s="246">
        <v>224317</v>
      </c>
      <c r="L122" s="246">
        <v>-224317</v>
      </c>
    </row>
    <row r="123" spans="1:12" ht="30.75" customHeight="1" outlineLevel="2" x14ac:dyDescent="0.25">
      <c r="A123" s="243" t="s">
        <v>71</v>
      </c>
      <c r="B123" s="245" t="s">
        <v>429</v>
      </c>
      <c r="C123" s="244" t="s">
        <v>430</v>
      </c>
      <c r="D123" s="243">
        <v>234</v>
      </c>
      <c r="E123" s="246">
        <v>5439156</v>
      </c>
      <c r="F123" s="246">
        <v>5439156</v>
      </c>
      <c r="G123" s="213" t="s">
        <v>500</v>
      </c>
      <c r="H123" s="297">
        <v>0</v>
      </c>
      <c r="I123" s="246">
        <v>3547273</v>
      </c>
      <c r="J123" s="246">
        <v>2826984</v>
      </c>
      <c r="K123" s="246">
        <v>720289</v>
      </c>
      <c r="L123" s="246">
        <v>-720289</v>
      </c>
    </row>
    <row r="124" spans="1:12" outlineLevel="1" x14ac:dyDescent="0.25">
      <c r="A124" s="243" t="s">
        <v>71</v>
      </c>
      <c r="B124" s="245" t="s">
        <v>432</v>
      </c>
      <c r="C124" s="244" t="s">
        <v>433</v>
      </c>
      <c r="D124" s="243">
        <v>256</v>
      </c>
      <c r="E124" s="246">
        <v>1631298</v>
      </c>
      <c r="F124" s="246">
        <v>1618702</v>
      </c>
      <c r="G124" s="213" t="s">
        <v>500</v>
      </c>
      <c r="H124" s="246">
        <v>12596</v>
      </c>
      <c r="I124" s="246">
        <v>173451</v>
      </c>
      <c r="J124" s="246">
        <v>79181</v>
      </c>
      <c r="K124" s="246">
        <v>94270</v>
      </c>
      <c r="L124" s="246">
        <v>-81674</v>
      </c>
    </row>
    <row r="125" spans="1:12" outlineLevel="1" x14ac:dyDescent="0.25">
      <c r="A125" s="271" t="s">
        <v>279</v>
      </c>
      <c r="B125" s="184" t="s">
        <v>500</v>
      </c>
      <c r="C125" s="74" t="s">
        <v>500</v>
      </c>
      <c r="D125" s="180" t="s">
        <v>500</v>
      </c>
      <c r="E125" s="78">
        <f>SUBTOTAL(109,college200203[Program
Costs])</f>
        <v>14911623</v>
      </c>
      <c r="F125" s="78">
        <f>SUBTOTAL(109,college200203[Less: Net Payments and Offsets 11])</f>
        <v>14899027</v>
      </c>
      <c r="G125" s="74" t="s">
        <v>500</v>
      </c>
      <c r="H125" s="78">
        <f>SUBTOTAL(109,college200203[Accounts Payable
Balance])</f>
        <v>12596</v>
      </c>
      <c r="I125" s="78">
        <f>SUBTOTAL(109,college200203[Established
Accounts Receivable])</f>
        <v>4316213</v>
      </c>
      <c r="J125" s="78">
        <f>SUBTOTAL(109,college200203[Less: Recovered Amount])</f>
        <v>3277337</v>
      </c>
      <c r="K125" s="78">
        <f>SUBTOTAL(109,college200203[Accounts Receivable
Balance])</f>
        <v>1038876</v>
      </c>
      <c r="L125" s="78">
        <f>SUBTOTAL(109,college200203[Net
Balance])</f>
        <v>-1026280</v>
      </c>
    </row>
    <row r="126" spans="1:12" s="244" customFormat="1" ht="15" outlineLevel="1" x14ac:dyDescent="0.2">
      <c r="A126" s="214" t="s">
        <v>508</v>
      </c>
      <c r="B126" s="245"/>
      <c r="D126" s="243"/>
      <c r="E126" s="246"/>
      <c r="F126" s="246"/>
      <c r="G126" s="246"/>
      <c r="H126" s="246"/>
      <c r="I126" s="246"/>
      <c r="J126" s="246"/>
      <c r="K126" s="246"/>
      <c r="L126" s="246"/>
    </row>
    <row r="127" spans="1:12" ht="50.1" customHeight="1" x14ac:dyDescent="0.25">
      <c r="A127" s="203" t="s">
        <v>98</v>
      </c>
      <c r="B127" s="176" t="s">
        <v>99</v>
      </c>
      <c r="C127" s="176" t="s">
        <v>1</v>
      </c>
      <c r="D127" s="176" t="s">
        <v>195</v>
      </c>
      <c r="E127" s="210" t="s">
        <v>188</v>
      </c>
      <c r="F127" s="239" t="s">
        <v>537</v>
      </c>
      <c r="G127" s="212" t="s">
        <v>532</v>
      </c>
      <c r="H127" s="210" t="s">
        <v>528</v>
      </c>
      <c r="I127" s="210" t="s">
        <v>529</v>
      </c>
      <c r="J127" s="210" t="s">
        <v>197</v>
      </c>
      <c r="K127" s="210" t="s">
        <v>530</v>
      </c>
      <c r="L127" s="210" t="s">
        <v>196</v>
      </c>
    </row>
    <row r="128" spans="1:12" ht="45" customHeight="1" x14ac:dyDescent="0.25">
      <c r="A128" s="243" t="s">
        <v>74</v>
      </c>
      <c r="B128" s="245" t="s">
        <v>115</v>
      </c>
      <c r="C128" s="244" t="s">
        <v>116</v>
      </c>
      <c r="D128" s="243">
        <v>232</v>
      </c>
      <c r="E128" s="246">
        <v>9111555</v>
      </c>
      <c r="F128" s="246">
        <v>9111555</v>
      </c>
      <c r="G128" s="213" t="s">
        <v>500</v>
      </c>
      <c r="H128" s="297">
        <v>0</v>
      </c>
      <c r="I128" s="246">
        <v>974170</v>
      </c>
      <c r="J128" s="246">
        <v>940305</v>
      </c>
      <c r="K128" s="246">
        <v>33865</v>
      </c>
      <c r="L128" s="246">
        <v>-33865</v>
      </c>
    </row>
    <row r="129" spans="1:12" ht="30.75" x14ac:dyDescent="0.25">
      <c r="A129" s="243" t="s">
        <v>74</v>
      </c>
      <c r="B129" s="245" t="s">
        <v>429</v>
      </c>
      <c r="C129" s="244" t="s">
        <v>430</v>
      </c>
      <c r="D129" s="243">
        <v>234</v>
      </c>
      <c r="E129" s="246">
        <v>4879964</v>
      </c>
      <c r="F129" s="246">
        <v>4879964</v>
      </c>
      <c r="G129" s="213" t="s">
        <v>500</v>
      </c>
      <c r="H129" s="297">
        <v>0</v>
      </c>
      <c r="I129" s="246">
        <v>1191500</v>
      </c>
      <c r="J129" s="246">
        <v>934750</v>
      </c>
      <c r="K129" s="246">
        <v>256750</v>
      </c>
      <c r="L129" s="246">
        <v>-256750</v>
      </c>
    </row>
    <row r="130" spans="1:12" x14ac:dyDescent="0.25">
      <c r="A130" s="243" t="s">
        <v>74</v>
      </c>
      <c r="B130" s="245" t="s">
        <v>432</v>
      </c>
      <c r="C130" s="244" t="s">
        <v>433</v>
      </c>
      <c r="D130" s="243">
        <v>256</v>
      </c>
      <c r="E130" s="246">
        <v>1574646</v>
      </c>
      <c r="F130" s="246">
        <v>1570280</v>
      </c>
      <c r="G130" s="213" t="s">
        <v>500</v>
      </c>
      <c r="H130" s="246">
        <v>4366</v>
      </c>
      <c r="I130" s="246">
        <v>71971</v>
      </c>
      <c r="J130" s="246">
        <v>36921</v>
      </c>
      <c r="K130" s="246">
        <v>35050</v>
      </c>
      <c r="L130" s="246">
        <v>-30684</v>
      </c>
    </row>
    <row r="131" spans="1:12" s="273" customFormat="1" x14ac:dyDescent="0.25">
      <c r="A131" s="271" t="s">
        <v>282</v>
      </c>
      <c r="B131" s="184" t="s">
        <v>500</v>
      </c>
      <c r="C131" s="185" t="s">
        <v>500</v>
      </c>
      <c r="D131" s="185" t="s">
        <v>500</v>
      </c>
      <c r="E131" s="264">
        <f>SUBTOTAL(109,college200102[Program
Costs])</f>
        <v>15566165</v>
      </c>
      <c r="F131" s="264">
        <f>SUBTOTAL(109,college200102[Less: Net Payments and Offsets 11])</f>
        <v>15561799</v>
      </c>
      <c r="G131" s="185" t="s">
        <v>500</v>
      </c>
      <c r="H131" s="264">
        <f>SUBTOTAL(109,college200102[Accounts Payable
Balance])</f>
        <v>4366</v>
      </c>
      <c r="I131" s="264">
        <f>SUBTOTAL(109,college200102[Established
Accounts Receivable])</f>
        <v>2237641</v>
      </c>
      <c r="J131" s="264">
        <f>SUBTOTAL(109,college200102[Less: Recovered Amount])</f>
        <v>1911976</v>
      </c>
      <c r="K131" s="264">
        <f>SUBTOTAL(109,college200102[Accounts Receivable
Balance])</f>
        <v>325665</v>
      </c>
      <c r="L131" s="264">
        <f>SUBTOTAL(109,college200102[Net
Balance])</f>
        <v>-321299</v>
      </c>
    </row>
    <row r="132" spans="1:12" s="269" customFormat="1" ht="15" x14ac:dyDescent="0.2">
      <c r="A132" s="214" t="s">
        <v>508</v>
      </c>
      <c r="B132" s="268"/>
      <c r="D132" s="243"/>
      <c r="E132" s="246"/>
      <c r="F132" s="246"/>
      <c r="G132" s="246"/>
      <c r="H132" s="246"/>
      <c r="I132" s="246"/>
      <c r="J132" s="246"/>
      <c r="K132" s="246"/>
      <c r="L132" s="246"/>
    </row>
    <row r="133" spans="1:12" ht="50.1" customHeight="1" x14ac:dyDescent="0.25">
      <c r="A133" s="203" t="s">
        <v>98</v>
      </c>
      <c r="B133" s="176" t="s">
        <v>99</v>
      </c>
      <c r="C133" s="176" t="s">
        <v>1</v>
      </c>
      <c r="D133" s="176" t="s">
        <v>195</v>
      </c>
      <c r="E133" s="210" t="s">
        <v>188</v>
      </c>
      <c r="F133" s="239" t="s">
        <v>537</v>
      </c>
      <c r="G133" s="212" t="s">
        <v>532</v>
      </c>
      <c r="H133" s="210" t="s">
        <v>528</v>
      </c>
      <c r="I133" s="210" t="s">
        <v>529</v>
      </c>
      <c r="J133" s="210" t="s">
        <v>197</v>
      </c>
      <c r="K133" s="210" t="s">
        <v>530</v>
      </c>
      <c r="L133" s="210" t="s">
        <v>196</v>
      </c>
    </row>
    <row r="134" spans="1:12" ht="30.75" x14ac:dyDescent="0.25">
      <c r="A134" s="243" t="s">
        <v>75</v>
      </c>
      <c r="B134" s="245" t="s">
        <v>219</v>
      </c>
      <c r="C134" s="244" t="s">
        <v>220</v>
      </c>
      <c r="D134" s="243">
        <v>237</v>
      </c>
      <c r="E134" s="246">
        <v>614433</v>
      </c>
      <c r="F134" s="246">
        <v>614433</v>
      </c>
      <c r="G134" s="213" t="s">
        <v>500</v>
      </c>
      <c r="H134" s="298">
        <v>0</v>
      </c>
      <c r="I134" s="246">
        <v>11162</v>
      </c>
      <c r="J134" s="246">
        <v>9987</v>
      </c>
      <c r="K134" s="246">
        <v>1175</v>
      </c>
      <c r="L134" s="246">
        <v>-1175</v>
      </c>
    </row>
    <row r="135" spans="1:12" x14ac:dyDescent="0.25">
      <c r="A135" s="271" t="s">
        <v>283</v>
      </c>
      <c r="B135" s="184" t="s">
        <v>500</v>
      </c>
      <c r="C135" s="74" t="s">
        <v>500</v>
      </c>
      <c r="D135" s="180" t="s">
        <v>500</v>
      </c>
      <c r="E135" s="78">
        <f>SUBTOTAL(109,college200001[Program
Costs])</f>
        <v>614433</v>
      </c>
      <c r="F135" s="78">
        <f>SUBTOTAL(109,college200001[Less: Net Payments and Offsets 11])</f>
        <v>614433</v>
      </c>
      <c r="G135" s="74" t="s">
        <v>500</v>
      </c>
      <c r="H135" s="77">
        <f>SUBTOTAL(109,college200001[Accounts Payable
Balance])</f>
        <v>0</v>
      </c>
      <c r="I135" s="78">
        <f>SUBTOTAL(109,college200001[Established
Accounts Receivable])</f>
        <v>11162</v>
      </c>
      <c r="J135" s="78">
        <f>SUBTOTAL(109,college200001[Less: Recovered Amount])</f>
        <v>9987</v>
      </c>
      <c r="K135" s="78">
        <f>SUBTOTAL(109,college200001[Accounts Receivable
Balance])</f>
        <v>1175</v>
      </c>
      <c r="L135" s="78">
        <f>SUBTOTAL(109,college200001[Net
Balance])</f>
        <v>-1175</v>
      </c>
    </row>
    <row r="136" spans="1:12" s="269" customFormat="1" ht="15" x14ac:dyDescent="0.2">
      <c r="A136" s="214" t="s">
        <v>508</v>
      </c>
      <c r="B136" s="268"/>
      <c r="D136" s="243"/>
      <c r="E136" s="246"/>
      <c r="F136" s="246"/>
      <c r="G136" s="246"/>
      <c r="H136" s="246"/>
      <c r="I136" s="246"/>
      <c r="J136" s="246"/>
      <c r="K136" s="246"/>
      <c r="L136" s="246"/>
    </row>
    <row r="137" spans="1:12" ht="50.1" customHeight="1" x14ac:dyDescent="0.25">
      <c r="A137" s="203" t="s">
        <v>98</v>
      </c>
      <c r="B137" s="176" t="s">
        <v>99</v>
      </c>
      <c r="C137" s="176" t="s">
        <v>1</v>
      </c>
      <c r="D137" s="176" t="s">
        <v>195</v>
      </c>
      <c r="E137" s="210" t="s">
        <v>188</v>
      </c>
      <c r="F137" s="239" t="s">
        <v>537</v>
      </c>
      <c r="G137" s="212" t="s">
        <v>532</v>
      </c>
      <c r="H137" s="210" t="s">
        <v>528</v>
      </c>
      <c r="I137" s="210" t="s">
        <v>529</v>
      </c>
      <c r="J137" s="210" t="s">
        <v>197</v>
      </c>
      <c r="K137" s="210" t="s">
        <v>530</v>
      </c>
      <c r="L137" s="210" t="s">
        <v>196</v>
      </c>
    </row>
    <row r="138" spans="1:12" ht="30.75" x14ac:dyDescent="0.25">
      <c r="A138" s="243" t="s">
        <v>284</v>
      </c>
      <c r="B138" s="245" t="s">
        <v>219</v>
      </c>
      <c r="C138" s="244" t="s">
        <v>220</v>
      </c>
      <c r="D138" s="243">
        <v>237</v>
      </c>
      <c r="E138" s="246">
        <v>28469</v>
      </c>
      <c r="F138" s="246">
        <v>28469</v>
      </c>
      <c r="G138" s="213" t="s">
        <v>500</v>
      </c>
      <c r="H138" s="298">
        <v>0</v>
      </c>
      <c r="I138" s="246">
        <v>17658</v>
      </c>
      <c r="J138" s="246">
        <v>8829</v>
      </c>
      <c r="K138" s="246">
        <v>8829</v>
      </c>
      <c r="L138" s="246">
        <v>-8829</v>
      </c>
    </row>
    <row r="139" spans="1:12" x14ac:dyDescent="0.25">
      <c r="A139" s="271" t="s">
        <v>287</v>
      </c>
      <c r="B139" s="184" t="s">
        <v>500</v>
      </c>
      <c r="C139" s="74" t="s">
        <v>500</v>
      </c>
      <c r="D139" s="180" t="s">
        <v>500</v>
      </c>
      <c r="E139" s="221">
        <f>SUBTOTAL(109,college199900[Program
Costs])</f>
        <v>28469</v>
      </c>
      <c r="F139" s="221">
        <f>SUBTOTAL(109,college199900[Less: Net Payments and Offsets 11])</f>
        <v>28469</v>
      </c>
      <c r="G139" s="74" t="s">
        <v>500</v>
      </c>
      <c r="H139" s="299">
        <f>SUBTOTAL(109,college199900[Accounts Payable
Balance])</f>
        <v>0</v>
      </c>
      <c r="I139" s="221">
        <f>SUBTOTAL(109,college199900[Established
Accounts Receivable])</f>
        <v>17658</v>
      </c>
      <c r="J139" s="221">
        <f>SUBTOTAL(109,college199900[Less: Recovered Amount])</f>
        <v>8829</v>
      </c>
      <c r="K139" s="221">
        <f>SUBTOTAL(109,college199900[Accounts Receivable
Balance])</f>
        <v>8829</v>
      </c>
      <c r="L139" s="78">
        <f>SUBTOTAL(109,college199900[Net
Balance])</f>
        <v>-8829</v>
      </c>
    </row>
    <row r="140" spans="1:12" s="269" customFormat="1" ht="15.6" customHeight="1" x14ac:dyDescent="0.2">
      <c r="A140" s="214" t="s">
        <v>508</v>
      </c>
      <c r="B140" s="268"/>
      <c r="D140" s="243"/>
      <c r="E140" s="246"/>
      <c r="F140" s="246"/>
      <c r="G140" s="246"/>
      <c r="H140" s="246"/>
      <c r="I140" s="246"/>
      <c r="J140" s="246"/>
      <c r="K140" s="246"/>
      <c r="L140" s="246"/>
    </row>
    <row r="141" spans="1:12" ht="50.1" customHeight="1" x14ac:dyDescent="0.25">
      <c r="A141" s="203" t="s">
        <v>98</v>
      </c>
      <c r="B141" s="176" t="s">
        <v>99</v>
      </c>
      <c r="C141" s="176" t="s">
        <v>1</v>
      </c>
      <c r="D141" s="176" t="s">
        <v>195</v>
      </c>
      <c r="E141" s="210" t="s">
        <v>188</v>
      </c>
      <c r="F141" s="239" t="s">
        <v>537</v>
      </c>
      <c r="G141" s="212" t="s">
        <v>532</v>
      </c>
      <c r="H141" s="210" t="s">
        <v>528</v>
      </c>
      <c r="I141" s="210" t="s">
        <v>529</v>
      </c>
      <c r="J141" s="210" t="s">
        <v>197</v>
      </c>
      <c r="K141" s="210" t="s">
        <v>530</v>
      </c>
      <c r="L141" s="210" t="s">
        <v>196</v>
      </c>
    </row>
    <row r="142" spans="1:12" ht="30.75" x14ac:dyDescent="0.25">
      <c r="A142" s="243" t="s">
        <v>288</v>
      </c>
      <c r="B142" s="245" t="s">
        <v>422</v>
      </c>
      <c r="C142" s="244" t="s">
        <v>333</v>
      </c>
      <c r="D142" s="243">
        <v>267</v>
      </c>
      <c r="E142" s="246">
        <v>3447372</v>
      </c>
      <c r="F142" s="246">
        <v>3447372</v>
      </c>
      <c r="G142" s="213" t="s">
        <v>500</v>
      </c>
      <c r="H142" s="298">
        <v>0</v>
      </c>
      <c r="I142" s="246">
        <v>2446054</v>
      </c>
      <c r="J142" s="246">
        <v>1758445</v>
      </c>
      <c r="K142" s="246">
        <v>687609</v>
      </c>
      <c r="L142" s="246">
        <v>-687609</v>
      </c>
    </row>
    <row r="143" spans="1:12" x14ac:dyDescent="0.25">
      <c r="A143" s="271" t="s">
        <v>292</v>
      </c>
      <c r="B143" s="184" t="s">
        <v>500</v>
      </c>
      <c r="C143" s="184" t="s">
        <v>500</v>
      </c>
      <c r="D143" s="184" t="s">
        <v>500</v>
      </c>
      <c r="E143" s="78">
        <f>SUBTOTAL(109,college199899[Program
Costs])</f>
        <v>3447372</v>
      </c>
      <c r="F143" s="78">
        <f>SUBTOTAL(109,college199899[Less: Net Payments and Offsets 11])</f>
        <v>3447372</v>
      </c>
      <c r="G143" s="74" t="s">
        <v>500</v>
      </c>
      <c r="H143" s="77">
        <f>SUBTOTAL(109,college199899[Accounts Payable
Balance])</f>
        <v>0</v>
      </c>
      <c r="I143" s="78">
        <f>SUBTOTAL(109,college199899[Established
Accounts Receivable])</f>
        <v>2446054</v>
      </c>
      <c r="J143" s="78">
        <f>SUBTOTAL(109,college199899[Less: Recovered Amount])</f>
        <v>1758445</v>
      </c>
      <c r="K143" s="78">
        <f>SUBTOTAL(109,college199899[Accounts Receivable
Balance])</f>
        <v>687609</v>
      </c>
      <c r="L143" s="78">
        <f>SUBTOTAL(109,college199899[Net
Balance])</f>
        <v>-687609</v>
      </c>
    </row>
    <row r="144" spans="1:12" s="269" customFormat="1" ht="15" x14ac:dyDescent="0.2">
      <c r="A144" s="214" t="s">
        <v>508</v>
      </c>
      <c r="B144" s="268"/>
      <c r="D144" s="243"/>
      <c r="E144" s="246"/>
      <c r="F144" s="246"/>
      <c r="G144" s="246"/>
      <c r="H144" s="246"/>
      <c r="I144" s="246"/>
      <c r="J144" s="246"/>
      <c r="K144" s="246"/>
      <c r="L144" s="246"/>
    </row>
    <row r="145" spans="1:12" ht="50.1" customHeight="1" x14ac:dyDescent="0.25">
      <c r="A145" s="203" t="s">
        <v>98</v>
      </c>
      <c r="B145" s="176" t="s">
        <v>99</v>
      </c>
      <c r="C145" s="176" t="s">
        <v>1</v>
      </c>
      <c r="D145" s="176" t="s">
        <v>195</v>
      </c>
      <c r="E145" s="210" t="s">
        <v>188</v>
      </c>
      <c r="F145" s="239" t="s">
        <v>537</v>
      </c>
      <c r="G145" s="212" t="s">
        <v>532</v>
      </c>
      <c r="H145" s="210" t="s">
        <v>528</v>
      </c>
      <c r="I145" s="210" t="s">
        <v>529</v>
      </c>
      <c r="J145" s="210" t="s">
        <v>197</v>
      </c>
      <c r="K145" s="210" t="s">
        <v>530</v>
      </c>
      <c r="L145" s="210" t="s">
        <v>196</v>
      </c>
    </row>
    <row r="146" spans="1:12" ht="15.6" customHeight="1" x14ac:dyDescent="0.25">
      <c r="A146" s="249" t="s">
        <v>206</v>
      </c>
      <c r="B146" s="277" t="s">
        <v>500</v>
      </c>
      <c r="C146" s="277" t="s">
        <v>500</v>
      </c>
      <c r="D146" s="277" t="s">
        <v>500</v>
      </c>
      <c r="E146" s="253">
        <v>375864</v>
      </c>
      <c r="F146" s="276">
        <v>129607</v>
      </c>
      <c r="G146" s="275" t="s">
        <v>500</v>
      </c>
      <c r="H146" s="253">
        <v>246257</v>
      </c>
      <c r="I146" s="253">
        <v>1000</v>
      </c>
      <c r="J146" s="300">
        <v>0</v>
      </c>
      <c r="K146" s="253">
        <v>1000</v>
      </c>
      <c r="L146" s="253">
        <v>245257</v>
      </c>
    </row>
    <row r="147" spans="1:12" ht="15.6" customHeight="1" x14ac:dyDescent="0.25">
      <c r="A147" s="249" t="s">
        <v>183</v>
      </c>
      <c r="B147" s="277" t="s">
        <v>500</v>
      </c>
      <c r="C147" s="277" t="s">
        <v>500</v>
      </c>
      <c r="D147" s="277" t="s">
        <v>500</v>
      </c>
      <c r="E147" s="253">
        <v>947422</v>
      </c>
      <c r="F147" s="276">
        <v>719110</v>
      </c>
      <c r="G147" s="275" t="s">
        <v>500</v>
      </c>
      <c r="H147" s="253">
        <v>228312</v>
      </c>
      <c r="I147" s="253">
        <v>1000</v>
      </c>
      <c r="J147" s="300">
        <v>0</v>
      </c>
      <c r="K147" s="253">
        <v>1000</v>
      </c>
      <c r="L147" s="253">
        <v>227312</v>
      </c>
    </row>
    <row r="148" spans="1:12" ht="15.6" customHeight="1" x14ac:dyDescent="0.25">
      <c r="A148" s="249" t="s">
        <v>184</v>
      </c>
      <c r="B148" s="277" t="s">
        <v>500</v>
      </c>
      <c r="C148" s="277" t="s">
        <v>500</v>
      </c>
      <c r="D148" s="277" t="s">
        <v>500</v>
      </c>
      <c r="E148" s="253">
        <v>956471</v>
      </c>
      <c r="F148" s="276">
        <v>540973</v>
      </c>
      <c r="G148" s="275" t="s">
        <v>500</v>
      </c>
      <c r="H148" s="253">
        <v>415498</v>
      </c>
      <c r="I148" s="253">
        <v>1000</v>
      </c>
      <c r="J148" s="300">
        <v>0</v>
      </c>
      <c r="K148" s="253">
        <v>1000</v>
      </c>
      <c r="L148" s="253">
        <v>414498</v>
      </c>
    </row>
    <row r="149" spans="1:12" ht="15.6" customHeight="1" x14ac:dyDescent="0.25">
      <c r="A149" s="249" t="s">
        <v>185</v>
      </c>
      <c r="B149" s="277" t="s">
        <v>500</v>
      </c>
      <c r="C149" s="277" t="s">
        <v>500</v>
      </c>
      <c r="D149" s="277" t="s">
        <v>500</v>
      </c>
      <c r="E149" s="253">
        <v>21137814</v>
      </c>
      <c r="F149" s="276">
        <v>17457413</v>
      </c>
      <c r="G149" s="275" t="s">
        <v>500</v>
      </c>
      <c r="H149" s="253">
        <v>3680401</v>
      </c>
      <c r="I149" s="300">
        <v>0</v>
      </c>
      <c r="J149" s="300">
        <v>0</v>
      </c>
      <c r="K149" s="300">
        <v>0</v>
      </c>
      <c r="L149" s="253">
        <v>3680401</v>
      </c>
    </row>
    <row r="150" spans="1:12" ht="15.6" customHeight="1" x14ac:dyDescent="0.25">
      <c r="A150" s="249" t="s">
        <v>84</v>
      </c>
      <c r="B150" s="277" t="s">
        <v>500</v>
      </c>
      <c r="C150" s="277" t="s">
        <v>500</v>
      </c>
      <c r="D150" s="277" t="s">
        <v>500</v>
      </c>
      <c r="E150" s="253">
        <v>24130524</v>
      </c>
      <c r="F150" s="276">
        <v>21994317</v>
      </c>
      <c r="G150" s="275" t="s">
        <v>500</v>
      </c>
      <c r="H150" s="253">
        <v>2136207</v>
      </c>
      <c r="I150" s="300">
        <v>0</v>
      </c>
      <c r="J150" s="300">
        <v>0</v>
      </c>
      <c r="K150" s="300">
        <v>0</v>
      </c>
      <c r="L150" s="253">
        <v>2136207</v>
      </c>
    </row>
    <row r="151" spans="1:12" ht="15.6" customHeight="1" x14ac:dyDescent="0.25">
      <c r="A151" s="249" t="s">
        <v>87</v>
      </c>
      <c r="B151" s="277" t="s">
        <v>500</v>
      </c>
      <c r="C151" s="277" t="s">
        <v>500</v>
      </c>
      <c r="D151" s="277" t="s">
        <v>500</v>
      </c>
      <c r="E151" s="253">
        <v>24211691</v>
      </c>
      <c r="F151" s="276">
        <v>22006924</v>
      </c>
      <c r="G151" s="275" t="s">
        <v>500</v>
      </c>
      <c r="H151" s="253">
        <v>2204767</v>
      </c>
      <c r="I151" s="253">
        <v>3222713</v>
      </c>
      <c r="J151" s="253">
        <v>258603</v>
      </c>
      <c r="K151" s="253">
        <v>2964110</v>
      </c>
      <c r="L151" s="253">
        <v>-759343</v>
      </c>
    </row>
    <row r="152" spans="1:12" ht="15.6" customHeight="1" x14ac:dyDescent="0.25">
      <c r="A152" s="249" t="s">
        <v>76</v>
      </c>
      <c r="B152" s="277" t="s">
        <v>500</v>
      </c>
      <c r="C152" s="277" t="s">
        <v>500</v>
      </c>
      <c r="D152" s="277" t="s">
        <v>500</v>
      </c>
      <c r="E152" s="253">
        <v>26102869</v>
      </c>
      <c r="F152" s="276">
        <v>23632746</v>
      </c>
      <c r="G152" s="275" t="s">
        <v>500</v>
      </c>
      <c r="H152" s="253">
        <v>2470123</v>
      </c>
      <c r="I152" s="253">
        <v>5366794</v>
      </c>
      <c r="J152" s="253">
        <v>384373</v>
      </c>
      <c r="K152" s="253">
        <v>4982421</v>
      </c>
      <c r="L152" s="253">
        <v>-2512298</v>
      </c>
    </row>
    <row r="153" spans="1:12" ht="15.6" customHeight="1" x14ac:dyDescent="0.25">
      <c r="A153" s="249" t="s">
        <v>79</v>
      </c>
      <c r="B153" s="277" t="s">
        <v>500</v>
      </c>
      <c r="C153" s="277" t="s">
        <v>500</v>
      </c>
      <c r="D153" s="277" t="s">
        <v>500</v>
      </c>
      <c r="E153" s="253">
        <v>24413771</v>
      </c>
      <c r="F153" s="276">
        <v>22097774</v>
      </c>
      <c r="G153" s="275" t="s">
        <v>500</v>
      </c>
      <c r="H153" s="253">
        <v>2315997</v>
      </c>
      <c r="I153" s="253">
        <v>2671310</v>
      </c>
      <c r="J153" s="253">
        <v>1014132</v>
      </c>
      <c r="K153" s="253">
        <v>1657178</v>
      </c>
      <c r="L153" s="253">
        <v>658819</v>
      </c>
    </row>
    <row r="154" spans="1:12" ht="15.6" customHeight="1" x14ac:dyDescent="0.25">
      <c r="A154" s="249" t="s">
        <v>80</v>
      </c>
      <c r="B154" s="277" t="s">
        <v>500</v>
      </c>
      <c r="C154" s="277" t="s">
        <v>500</v>
      </c>
      <c r="D154" s="277" t="s">
        <v>500</v>
      </c>
      <c r="E154" s="253">
        <v>12389117</v>
      </c>
      <c r="F154" s="276">
        <v>11493132</v>
      </c>
      <c r="G154" s="275" t="s">
        <v>500</v>
      </c>
      <c r="H154" s="253">
        <v>895985</v>
      </c>
      <c r="I154" s="253">
        <v>5706410</v>
      </c>
      <c r="J154" s="253">
        <v>4638743</v>
      </c>
      <c r="K154" s="253">
        <v>1067667</v>
      </c>
      <c r="L154" s="253">
        <v>-171682</v>
      </c>
    </row>
    <row r="155" spans="1:12" ht="15.6" customHeight="1" x14ac:dyDescent="0.25">
      <c r="A155" s="249" t="s">
        <v>81</v>
      </c>
      <c r="B155" s="277" t="s">
        <v>500</v>
      </c>
      <c r="C155" s="277" t="s">
        <v>500</v>
      </c>
      <c r="D155" s="277" t="s">
        <v>500</v>
      </c>
      <c r="E155" s="253">
        <v>5107529</v>
      </c>
      <c r="F155" s="276">
        <v>5020822</v>
      </c>
      <c r="G155" s="275" t="s">
        <v>500</v>
      </c>
      <c r="H155" s="253">
        <v>86707</v>
      </c>
      <c r="I155" s="253">
        <v>306235</v>
      </c>
      <c r="J155" s="253">
        <v>251347</v>
      </c>
      <c r="K155" s="253">
        <v>54888</v>
      </c>
      <c r="L155" s="253">
        <v>31819</v>
      </c>
    </row>
    <row r="156" spans="1:12" ht="15.6" customHeight="1" x14ac:dyDescent="0.25">
      <c r="A156" s="249" t="s">
        <v>83</v>
      </c>
      <c r="B156" s="277" t="s">
        <v>500</v>
      </c>
      <c r="C156" s="277" t="s">
        <v>500</v>
      </c>
      <c r="D156" s="277" t="s">
        <v>500</v>
      </c>
      <c r="E156" s="253">
        <v>948601</v>
      </c>
      <c r="F156" s="276">
        <v>934582</v>
      </c>
      <c r="G156" s="275" t="s">
        <v>500</v>
      </c>
      <c r="H156" s="253">
        <v>14019</v>
      </c>
      <c r="I156" s="253">
        <v>408288</v>
      </c>
      <c r="J156" s="253">
        <v>408288</v>
      </c>
      <c r="K156" s="301">
        <v>0</v>
      </c>
      <c r="L156" s="253">
        <v>14019</v>
      </c>
    </row>
    <row r="157" spans="1:12" ht="15.6" customHeight="1" x14ac:dyDescent="0.25">
      <c r="A157" s="249" t="s">
        <v>71</v>
      </c>
      <c r="B157" s="277" t="s">
        <v>500</v>
      </c>
      <c r="C157" s="277" t="s">
        <v>500</v>
      </c>
      <c r="D157" s="277" t="s">
        <v>500</v>
      </c>
      <c r="E157" s="253">
        <v>14911623</v>
      </c>
      <c r="F157" s="276">
        <v>14899027</v>
      </c>
      <c r="G157" s="275" t="s">
        <v>500</v>
      </c>
      <c r="H157" s="253">
        <v>12596</v>
      </c>
      <c r="I157" s="253">
        <v>4316213</v>
      </c>
      <c r="J157" s="253">
        <v>3277337</v>
      </c>
      <c r="K157" s="253">
        <v>1038876</v>
      </c>
      <c r="L157" s="253">
        <v>-1026280</v>
      </c>
    </row>
    <row r="158" spans="1:12" ht="15.6" customHeight="1" x14ac:dyDescent="0.25">
      <c r="A158" s="249" t="s">
        <v>74</v>
      </c>
      <c r="B158" s="277" t="s">
        <v>500</v>
      </c>
      <c r="C158" s="277" t="s">
        <v>500</v>
      </c>
      <c r="D158" s="277" t="s">
        <v>500</v>
      </c>
      <c r="E158" s="253">
        <v>15566165</v>
      </c>
      <c r="F158" s="276">
        <v>15561799</v>
      </c>
      <c r="G158" s="275" t="s">
        <v>500</v>
      </c>
      <c r="H158" s="253">
        <v>4366</v>
      </c>
      <c r="I158" s="253">
        <v>2237641</v>
      </c>
      <c r="J158" s="253">
        <v>1911976</v>
      </c>
      <c r="K158" s="253">
        <v>325665</v>
      </c>
      <c r="L158" s="253">
        <v>-321299</v>
      </c>
    </row>
    <row r="159" spans="1:12" ht="15.6" customHeight="1" x14ac:dyDescent="0.25">
      <c r="A159" s="249" t="s">
        <v>75</v>
      </c>
      <c r="B159" s="277" t="s">
        <v>500</v>
      </c>
      <c r="C159" s="277" t="s">
        <v>500</v>
      </c>
      <c r="D159" s="277" t="s">
        <v>500</v>
      </c>
      <c r="E159" s="253">
        <v>614433</v>
      </c>
      <c r="F159" s="276">
        <v>614433</v>
      </c>
      <c r="G159" s="275" t="s">
        <v>500</v>
      </c>
      <c r="H159" s="301">
        <v>0</v>
      </c>
      <c r="I159" s="253">
        <v>11162</v>
      </c>
      <c r="J159" s="253">
        <v>9987</v>
      </c>
      <c r="K159" s="253">
        <v>1175</v>
      </c>
      <c r="L159" s="253">
        <v>-1175</v>
      </c>
    </row>
    <row r="160" spans="1:12" ht="15.6" customHeight="1" x14ac:dyDescent="0.25">
      <c r="A160" s="249" t="s">
        <v>284</v>
      </c>
      <c r="B160" s="277" t="s">
        <v>500</v>
      </c>
      <c r="C160" s="277" t="s">
        <v>500</v>
      </c>
      <c r="D160" s="277" t="s">
        <v>500</v>
      </c>
      <c r="E160" s="253">
        <v>28469</v>
      </c>
      <c r="F160" s="276">
        <v>28469</v>
      </c>
      <c r="G160" s="275" t="s">
        <v>500</v>
      </c>
      <c r="H160" s="301">
        <v>0</v>
      </c>
      <c r="I160" s="253">
        <v>17658</v>
      </c>
      <c r="J160" s="253">
        <v>8829</v>
      </c>
      <c r="K160" s="253">
        <v>8829</v>
      </c>
      <c r="L160" s="253">
        <v>-8829</v>
      </c>
    </row>
    <row r="161" spans="1:12" ht="15.6" customHeight="1" x14ac:dyDescent="0.25">
      <c r="A161" s="249" t="s">
        <v>288</v>
      </c>
      <c r="B161" s="277" t="s">
        <v>500</v>
      </c>
      <c r="C161" s="277" t="s">
        <v>500</v>
      </c>
      <c r="D161" s="277" t="s">
        <v>500</v>
      </c>
      <c r="E161" s="253">
        <v>3447372</v>
      </c>
      <c r="F161" s="276">
        <v>3447372</v>
      </c>
      <c r="G161" s="275" t="s">
        <v>500</v>
      </c>
      <c r="H161" s="301">
        <v>0</v>
      </c>
      <c r="I161" s="253">
        <v>2446054</v>
      </c>
      <c r="J161" s="253">
        <v>1758445</v>
      </c>
      <c r="K161" s="253">
        <v>687609</v>
      </c>
      <c r="L161" s="253">
        <v>-687609</v>
      </c>
    </row>
    <row r="162" spans="1:12" ht="15.6" customHeight="1" x14ac:dyDescent="0.25">
      <c r="A162" s="278" t="s">
        <v>440</v>
      </c>
      <c r="B162" s="279" t="s">
        <v>500</v>
      </c>
      <c r="C162" s="279" t="s">
        <v>500</v>
      </c>
      <c r="D162" s="279" t="s">
        <v>500</v>
      </c>
      <c r="E162" s="280">
        <f>SUBTOTAL(109,collegegrandtotal[Program
Costs])</f>
        <v>175289735</v>
      </c>
      <c r="F162" s="281">
        <f>SUBTOTAL(109,collegegrandtotal[Less: Net Payments and Offsets 11])</f>
        <v>160578500</v>
      </c>
      <c r="G162" s="282" t="s">
        <v>500</v>
      </c>
      <c r="H162" s="280">
        <f>SUBTOTAL(109,collegegrandtotal[Accounts Payable
Balance])</f>
        <v>14711235</v>
      </c>
      <c r="I162" s="280">
        <f>SUBTOTAL(109,collegegrandtotal[Established
Accounts Receivable])</f>
        <v>26713478</v>
      </c>
      <c r="J162" s="280">
        <f>SUBTOTAL(109,collegegrandtotal[Less: Recovered Amount])</f>
        <v>13922060</v>
      </c>
      <c r="K162" s="280">
        <f>SUBTOTAL(109,collegegrandtotal[Accounts Receivable
Balance])</f>
        <v>12791418</v>
      </c>
      <c r="L162" s="280">
        <f>SUBTOTAL(109,collegegrandtotal[Net
Balance])</f>
        <v>1919817</v>
      </c>
    </row>
    <row r="163" spans="1:12" ht="15.6" customHeight="1" x14ac:dyDescent="0.25">
      <c r="A163" s="214" t="s">
        <v>508</v>
      </c>
      <c r="B163" s="274"/>
      <c r="C163" s="274"/>
      <c r="D163" s="274"/>
      <c r="E163" s="253"/>
      <c r="F163" s="276"/>
      <c r="G163" s="275"/>
      <c r="H163" s="253"/>
      <c r="I163" s="253"/>
      <c r="J163" s="253"/>
      <c r="K163" s="253"/>
      <c r="L163" s="253"/>
    </row>
    <row r="164" spans="1:12" s="269" customFormat="1" ht="50.1" customHeight="1" x14ac:dyDescent="0.25">
      <c r="A164" s="203" t="s">
        <v>98</v>
      </c>
      <c r="B164" s="176" t="s">
        <v>99</v>
      </c>
      <c r="C164" s="176" t="s">
        <v>1</v>
      </c>
      <c r="D164" s="176" t="s">
        <v>195</v>
      </c>
      <c r="E164" s="210" t="s">
        <v>188</v>
      </c>
      <c r="F164" s="239" t="s">
        <v>442</v>
      </c>
      <c r="G164" s="212" t="s">
        <v>500</v>
      </c>
      <c r="H164" s="210" t="s">
        <v>528</v>
      </c>
      <c r="I164" s="210" t="s">
        <v>529</v>
      </c>
      <c r="J164" s="210" t="s">
        <v>197</v>
      </c>
      <c r="K164" s="210" t="s">
        <v>530</v>
      </c>
      <c r="L164" s="210" t="s">
        <v>196</v>
      </c>
    </row>
    <row r="165" spans="1:12" s="269" customFormat="1" ht="15.6" customHeight="1" x14ac:dyDescent="0.25">
      <c r="A165" s="283" t="s">
        <v>6</v>
      </c>
      <c r="B165" s="277" t="s">
        <v>500</v>
      </c>
      <c r="C165" s="277" t="s">
        <v>500</v>
      </c>
      <c r="D165" s="277" t="s">
        <v>500</v>
      </c>
      <c r="E165" s="284">
        <v>595676025</v>
      </c>
      <c r="F165" s="284">
        <v>252671853</v>
      </c>
      <c r="G165" s="285" t="s">
        <v>500</v>
      </c>
      <c r="H165" s="284">
        <v>343004172</v>
      </c>
      <c r="I165" s="284">
        <v>49872281</v>
      </c>
      <c r="J165" s="284">
        <v>47870176</v>
      </c>
      <c r="K165" s="284">
        <v>2002105</v>
      </c>
      <c r="L165" s="284">
        <v>341002067</v>
      </c>
    </row>
    <row r="166" spans="1:12" s="269" customFormat="1" ht="15.6" customHeight="1" x14ac:dyDescent="0.25">
      <c r="A166" s="283" t="s">
        <v>24</v>
      </c>
      <c r="B166" s="277" t="s">
        <v>500</v>
      </c>
      <c r="C166" s="277" t="s">
        <v>500</v>
      </c>
      <c r="D166" s="277" t="s">
        <v>500</v>
      </c>
      <c r="E166" s="286">
        <v>6329695133</v>
      </c>
      <c r="F166" s="287">
        <v>5392595992</v>
      </c>
      <c r="G166" s="288" t="s">
        <v>500</v>
      </c>
      <c r="H166" s="287">
        <v>937099141</v>
      </c>
      <c r="I166" s="289">
        <v>194845243</v>
      </c>
      <c r="J166" s="286">
        <v>143140043</v>
      </c>
      <c r="K166" s="289">
        <v>51705200</v>
      </c>
      <c r="L166" s="286">
        <v>885393941</v>
      </c>
    </row>
    <row r="167" spans="1:12" s="269" customFormat="1" ht="15.6" customHeight="1" x14ac:dyDescent="0.25">
      <c r="A167" s="283" t="s">
        <v>28</v>
      </c>
      <c r="B167" s="277" t="s">
        <v>500</v>
      </c>
      <c r="C167" s="277" t="s">
        <v>500</v>
      </c>
      <c r="D167" s="277" t="s">
        <v>500</v>
      </c>
      <c r="E167" s="290">
        <v>175289735</v>
      </c>
      <c r="F167" s="291">
        <v>160578500</v>
      </c>
      <c r="G167" s="292" t="s">
        <v>500</v>
      </c>
      <c r="H167" s="290">
        <v>14711235</v>
      </c>
      <c r="I167" s="290">
        <v>26713478</v>
      </c>
      <c r="J167" s="290">
        <v>13922060</v>
      </c>
      <c r="K167" s="290">
        <v>12791418</v>
      </c>
      <c r="L167" s="290">
        <v>1919817</v>
      </c>
    </row>
    <row r="168" spans="1:12" ht="15.6" customHeight="1" x14ac:dyDescent="0.25">
      <c r="A168" s="293" t="s">
        <v>441</v>
      </c>
      <c r="B168" s="294" t="s">
        <v>500</v>
      </c>
      <c r="C168" s="294" t="s">
        <v>500</v>
      </c>
      <c r="D168" s="294" t="s">
        <v>500</v>
      </c>
      <c r="E168" s="295">
        <f>SUBTOTAL(109,totalfunded[Program
Costs])</f>
        <v>7100660893</v>
      </c>
      <c r="F168" s="296">
        <f>SUBTOTAL(109,totalfunded[Less: Net Payments and Offsets])</f>
        <v>5805846345</v>
      </c>
      <c r="G168" s="294" t="s">
        <v>500</v>
      </c>
      <c r="H168" s="296">
        <f>SUBTOTAL(109,totalfunded[Accounts Payable
Balance])</f>
        <v>1294814548</v>
      </c>
      <c r="I168" s="295">
        <f>SUBTOTAL(109,totalfunded[Established
Accounts Receivable])</f>
        <v>271431002</v>
      </c>
      <c r="J168" s="295">
        <f>SUBTOTAL(109,totalfunded[Less: Recovered Amount])</f>
        <v>204932279</v>
      </c>
      <c r="K168" s="295">
        <f>SUBTOTAL(109,totalfunded[Accounts Receivable
Balance])</f>
        <v>66498723</v>
      </c>
      <c r="L168" s="295">
        <f>SUBTOTAL(109,totalfunded[Net
Balance])</f>
        <v>1228315825</v>
      </c>
    </row>
    <row r="169" spans="1:12" x14ac:dyDescent="0.25">
      <c r="A169" s="314" t="s">
        <v>579</v>
      </c>
      <c r="B169" s="269"/>
      <c r="C169" s="269"/>
      <c r="D169" s="269"/>
      <c r="E169" s="269"/>
      <c r="F169" s="246"/>
      <c r="G169" s="269"/>
      <c r="H169" s="269"/>
      <c r="I169" s="269"/>
      <c r="J169" s="269"/>
      <c r="K169" s="269"/>
      <c r="L169" s="269"/>
    </row>
    <row r="170" spans="1:12" s="272" customFormat="1" ht="18" x14ac:dyDescent="0.2">
      <c r="A170" s="272" t="s">
        <v>538</v>
      </c>
    </row>
    <row r="171" spans="1:12" s="272" customFormat="1" ht="15" x14ac:dyDescent="0.2"/>
    <row r="172" spans="1:12" s="272" customFormat="1" ht="15" x14ac:dyDescent="0.2"/>
  </sheetData>
  <hyperlinks>
    <hyperlink ref="F2" location="'Schedule B1-Colleges'!A170" tooltip="This hyperlink will take you to the referenced footnote-footnote 11" display="Less: Net Payments and Offsets 11"/>
  </hyperlinks>
  <printOptions horizontalCentered="1" gridLines="1"/>
  <pageMargins left="0.3" right="0.3" top="1.1000000000000001" bottom="0.75" header="0.3" footer="0.3"/>
  <pageSetup scale="56" fitToHeight="0" orientation="landscape" r:id="rId1"/>
  <headerFooter>
    <oddHeader>&amp;C&amp;"-,Bold"&amp;12State Controller's Office
Schedule B1: Detail of Funded State-Mandated Programs by Fiscal Year
As of August 31, 2020</oddHeader>
    <oddFooter>&amp;LSchedule B1: Detail of Funded State-Mandated Programs by Fiscal Year 
Community College Districts&amp;RPage &amp;P of &amp;N</oddFooter>
  </headerFooter>
  <legacyDrawing r:id="rId2"/>
  <tableParts count="1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Cover Page</vt:lpstr>
      <vt:lpstr>Table of Contents</vt:lpstr>
      <vt:lpstr>Schedule A-Summary</vt:lpstr>
      <vt:lpstr>Schedule A1-Local Agencies</vt:lpstr>
      <vt:lpstr>Schedule A1-Schools </vt:lpstr>
      <vt:lpstr>Schedule B-Summary</vt:lpstr>
      <vt:lpstr>Schedule B1-Local Agencies</vt:lpstr>
      <vt:lpstr>Schedule B1-Schools</vt:lpstr>
      <vt:lpstr>Schedule B1-Colleges</vt:lpstr>
      <vt:lpstr>Schedule B2-Local Agencies</vt:lpstr>
      <vt:lpstr>Schedule B2-Schools</vt:lpstr>
      <vt:lpstr>Schedule B2-Colleges</vt:lpstr>
      <vt:lpstr>Schedule C-IRC</vt:lpstr>
      <vt:lpstr>'Schedule A1-Local Agencies'!Print_Area</vt:lpstr>
      <vt:lpstr>'Schedule A1-Schools '!Print_Area</vt:lpstr>
      <vt:lpstr>'Schedule A-Summary'!Print_Area</vt:lpstr>
      <vt:lpstr>'Schedule B1-Colleges'!Print_Area</vt:lpstr>
      <vt:lpstr>'Schedule B1-Local Agencies'!Print_Area</vt:lpstr>
      <vt:lpstr>'Schedule B1-Schools'!Print_Area</vt:lpstr>
      <vt:lpstr>'Schedule B2-Colleges'!Print_Area</vt:lpstr>
      <vt:lpstr>'Schedule B2-Local Agencies'!Print_Area</vt:lpstr>
      <vt:lpstr>'Schedule B2-Schools'!Print_Area</vt:lpstr>
      <vt:lpstr>'Schedule B-Summary'!Print_Area</vt:lpstr>
      <vt:lpstr>'Schedule C-IRC'!Print_Area</vt:lpstr>
      <vt:lpstr>'Schedule C-IRC'!Print_Titles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Hoang, Tiffany</dc:creator>
  <cp:lastModifiedBy>Joseph, Angelo</cp:lastModifiedBy>
  <cp:lastPrinted>2020-10-29T17:43:07Z</cp:lastPrinted>
  <dcterms:created xsi:type="dcterms:W3CDTF">2020-09-02T19:58:20Z</dcterms:created>
  <dcterms:modified xsi:type="dcterms:W3CDTF">2020-10-29T22:33:16Z</dcterms:modified>
</cp:coreProperties>
</file>