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cal Reimb\Reporting\Mandated Reports\Annual Reports\Field Audit Findings Report (Jun)\2020\Final\ADA Compliance\Website\"/>
    </mc:Choice>
  </mc:AlternateContent>
  <bookViews>
    <workbookView xWindow="0" yWindow="0" windowWidth="13100" windowHeight="8030"/>
  </bookViews>
  <sheets>
    <sheet name="Cover Page" sheetId="18" r:id="rId1"/>
    <sheet name="Table of Contents" sheetId="19" r:id="rId2"/>
    <sheet name="Summary " sheetId="8" r:id="rId3"/>
    <sheet name="Locals" sheetId="20" r:id="rId4"/>
    <sheet name="Schools" sheetId="21" r:id="rId5"/>
    <sheet name="Colleges" sheetId="22" r:id="rId6"/>
  </sheets>
  <externalReferences>
    <externalReference r:id="rId7"/>
  </externalReferences>
  <definedNames>
    <definedName name="_xlnm._FilterDatabase" localSheetId="5" hidden="1">Colleges!$B$61:$N$81</definedName>
    <definedName name="_xlnm._FilterDatabase" localSheetId="3" hidden="1">Locals!$B$2:$N$1928</definedName>
    <definedName name="_xlnm._FilterDatabase" localSheetId="4" hidden="1">Schools!$B$2:$N$1858</definedName>
    <definedName name="a" localSheetId="5">'[1]Analysis (2)'!#REF!</definedName>
    <definedName name="a" localSheetId="3">'[1]Analysis (2)'!#REF!</definedName>
    <definedName name="a" localSheetId="4">'[1]Analysis (2)'!#REF!</definedName>
    <definedName name="a" localSheetId="1">'[1]Analysis (2)'!#REF!</definedName>
    <definedName name="a">'[1]Analysis (2)'!#REF!</definedName>
    <definedName name="NO" localSheetId="5">'[1]Analysis (2)'!#REF!</definedName>
    <definedName name="NO" localSheetId="3">'[1]Analysis (2)'!#REF!</definedName>
    <definedName name="NO" localSheetId="4">'[1]Analysis (2)'!#REF!</definedName>
    <definedName name="NO">'[1]Analysis (2)'!#REF!</definedName>
    <definedName name="_xlnm.Print_Area" localSheetId="5">Colleges!$A$1:$N$427</definedName>
    <definedName name="_xlnm.Print_Area" localSheetId="3">Locals!$A$1:$N$2062</definedName>
    <definedName name="_xlnm.Print_Area" localSheetId="4">Schools!$A$1:$N$1985</definedName>
    <definedName name="_xlnm.Print_Area" localSheetId="2">'Summary '!$A$1:$F$36</definedName>
    <definedName name="_xlnm.Print_Titles" localSheetId="5">Colleges!$1:$1</definedName>
    <definedName name="_xlnm.Print_Titles" localSheetId="3">Locals!$1:$1</definedName>
    <definedName name="_xlnm.Print_Titles" localSheetId="4">Schools!$1:$1</definedName>
    <definedName name="TitleRegion1.a2.f6.3">CurrentPeriodAdjustments[[#Headers],[Program Costs, Audit Adjustments and Balances]]</definedName>
    <definedName name="TitleRegion1.a2.n12.5">Program170[[#Headers],[(A)
Program Name]]</definedName>
    <definedName name="TitleRegion1.a2.n26.4">Program2[[#Headers],[(A)
Program Name]]</definedName>
    <definedName name="TitleRegion1.a2.n6.6">Program231[[#Headers],[(A)
Program Name]]</definedName>
    <definedName name="TitleRegion10.a106.n116.6">Program340[[#Headers],[(A)
Program Name]]</definedName>
    <definedName name="TitleRegion10.a128.n130.5">Program229[[#Headers],[(A)
Program Name]]</definedName>
    <definedName name="TitleRegion10.a152.n156.4">Program284[[#Headers],[(A)
Program Name]]</definedName>
    <definedName name="TitleRegion100.a1488.n1498.4">Program255[[#Headers],[(A)
Program Name]]</definedName>
    <definedName name="TitleRegion100.a1535.n1563.5">Program57[[#Headers],[(A)
Program Name]]</definedName>
    <definedName name="TitleRegion101.a1500.n1505.4">Program222[[#Headers],[(A)
Program Name]]</definedName>
    <definedName name="TitleRegion101.a1565.n1589.5">Program171[[#Headers],[(A)
Program Name]]</definedName>
    <definedName name="TitleRegion102.a1507.n1522.4">Program128[[#Headers],[(A)
Program Name]]</definedName>
    <definedName name="TitleRegion102.a1591.n1600.5">Program137[[#Headers],[(A)
Program Name]]</definedName>
    <definedName name="TitleRegion103.a1524.n1530.4">Program52[[#Headers],[(A)
Program Name]]</definedName>
    <definedName name="TitleRegion103.a1602.n1610.5">Program184[[#Headers],[(A)
Program Name]]</definedName>
    <definedName name="TitleRegion104.a1532.n1539.4">Program282[[#Headers],[(A)
Program Name]]</definedName>
    <definedName name="TitleRegion104.a1612.n1620.5">Program190[[#Headers],[(A)
Program Name]]</definedName>
    <definedName name="TitleRegion105.a1541.n1570.4">Program127[[#Headers],[(A)
Program Name]]</definedName>
    <definedName name="TitleRegion105.a1622.n1634.5">Program109[[#Headers],[(A)
Program Name]]</definedName>
    <definedName name="TitleRegion106.a1572.n1580.4">Program245[[#Headers],[(A)
Program Name]]</definedName>
    <definedName name="TitleRegion106.a1636.n1648.5">Program211[[#Headers],[(A)
Program Name]]</definedName>
    <definedName name="TitleRegion107.a1582.n1597.4">Program55[[#Headers],[(A)
Program Name]]</definedName>
    <definedName name="TitleRegion107.a1650.n1665.5">Program258[[#Headers],[(A)
Program Name]]</definedName>
    <definedName name="TitleRegion108.a1599.n1621.4">Program73[[#Headers],[(A)
Program Name]]</definedName>
    <definedName name="TitleRegion108.a1667.n1678.5">Program156[[#Headers],[(A)
Program Name]]</definedName>
    <definedName name="TitleRegion109.a1623.n1641.4">Program18[[#Headers],[(A)
Program Name]]</definedName>
    <definedName name="TitleRegion109.a1680.n1688.5">Program228[[#Headers],[(A)
Program Name]]</definedName>
    <definedName name="TitleRegion11.a118.n120.6">Program343[[#Headers],[(A)
Program Name]]</definedName>
    <definedName name="TitleRegion11.a132.n152.5">Program348[[#Headers],[(A)
Program Name]]</definedName>
    <definedName name="TitleRegion11.a158.n162.4">Program6[[#Headers],[(A)
Program Name]]</definedName>
    <definedName name="TitleRegion110.a1643.n1655.4">Program191[[#Headers],[(A)
Program Name]]</definedName>
    <definedName name="TitleRegion110.a1690.n1699.5">Program115[[#Headers],[(A)
Program Name]]</definedName>
    <definedName name="TitleRegion111.a1657.n1665.4">Program220[[#Headers],[(A)
Program Name]]</definedName>
    <definedName name="TitleRegion111.a1701.n1712.5">Program146[[#Headers],[(A)
Program Name]]</definedName>
    <definedName name="TitleRegion112.a1667.n1675.4">Program217[[#Headers],[(A)
Program Name]]</definedName>
    <definedName name="TitleRegion112.a1714.n1740.5">Program58[[#Headers],[(A)
Program Name]]</definedName>
    <definedName name="TitleRegion113.a1677.n1702.4">Program175[[#Headers],[(A)
Program Name]]</definedName>
    <definedName name="TitleRegion113.a1742.n1752.5">Program208[[#Headers],[(A)
Program Name]]</definedName>
    <definedName name="TitleRegion113.a1754.n1757.5">Program224[[#Headers],[(A)
Program Name]]</definedName>
    <definedName name="TitleRegion114.a1704.n1708.4">Program364[[#Headers],[(A)
Program Name]]</definedName>
    <definedName name="TitleRegion114.a1759.n1773.5">Program308[[#Headers],[(A)
Program Name]]</definedName>
    <definedName name="TitleRegion115.a1710.n1716.4">Program86[[#Headers],[(A)
Program Name]]</definedName>
    <definedName name="TitleRegion115.a1775.n1781.5">Program352[[#Headers],[(A)
Program Name]]</definedName>
    <definedName name="TitleRegion116.a1718.n1732.4">Program180[[#Headers],[(A)
Program Name]]</definedName>
    <definedName name="TitleRegion116.a1783.n1790.5">Program252[[#Headers],[(A)
Program Name]]</definedName>
    <definedName name="TitleRegion117.a1734.n1749.4">Program110[[#Headers],[(A)
Program Name]]</definedName>
    <definedName name="TitleRegion117.a1792.n1815.5">Program260[[#Headers],[(A)
Program Name]]</definedName>
    <definedName name="TitleRegion118.a1751.n1765.4">Program125[[#Headers],[(A)
Program Name]]</definedName>
    <definedName name="TitleRegion118.a1817.n1823.5">Program367[[#Headers],[(A)
Program Name]]</definedName>
    <definedName name="TitleRegion119.a1767.n1780.4">Program360[[#Headers],[(A)
Program Name]]</definedName>
    <definedName name="TitleRegion119.a1825.n1841.5">Program346[[#Headers],[(A)
Program Name]]</definedName>
    <definedName name="TitleRegion12.a122.n133.6">Program344[[#Headers],[(A)
Program Name]]</definedName>
    <definedName name="TitleRegion12.a154.n157.5">Program349[[#Headers],[(A)
Program Name]]</definedName>
    <definedName name="TitleRegion12.a164.n177.4">Program7[[#Headers],[(A)
Program Name]]</definedName>
    <definedName name="TitleRegion120.a1782.n1801.4">Program120[[#Headers],[(A)
Program Name]]</definedName>
    <definedName name="TitleRegion120.a1843.n1859.5">Program351[[#Headers],[(A)
Program Name]]</definedName>
    <definedName name="TitleRegion121.a1803.n1812.4">Program64[[#Headers],[(A)
Program Name]]</definedName>
    <definedName name="TitleRegion121.a1861.n1984.5">GrandTotalSchoolDistricts[[#Headers],[(A)
Program Name]]</definedName>
    <definedName name="TitleRegion122.a1814.n1817.4">Program65[[#Headers],[(A)
Program Name]]</definedName>
    <definedName name="TitleRegion123.a1819.n1841.4">Program163[[#Headers],[(A)
Program Name]]</definedName>
    <definedName name="TitleRegion124.a1843.n1861.4">Program345[[#Headers],[(A)
Program Name]]</definedName>
    <definedName name="TitleRegion125.a1863.n1870.4">Program174[[#Headers],[(A)
Program Name]]</definedName>
    <definedName name="TitleRegion126.a1872.n1876.4">Program372[[#Headers],[(A)
Program Name]]</definedName>
    <definedName name="TitleRegion127.a1878.n1886.4">Program181[[#Headers],[(A)
Program Name]]</definedName>
    <definedName name="TitleRegion128.a1888.n1892.4">Program71[[#Headers],[(A)
Program Name]]</definedName>
    <definedName name="TitleRegion129.a1894.n1906.4">Program331[[#Headers],[(A)
Program Name]]</definedName>
    <definedName name="TitleRegion13.a135.n153.6">Program267[[#Headers],[(A)
Program Name]]</definedName>
    <definedName name="TitleRegion13.a159.n164.5">Program370[[#Headers],[(A)
Program Name]]</definedName>
    <definedName name="TitleRegion13.a179.n182.4">Program288[[#Headers],[(A)
Program Name]]</definedName>
    <definedName name="TitleRegion130.a1908.n1929.4">Program56[[#Headers],[(A)
Program Name]]</definedName>
    <definedName name="TitleRegion131.a1931.n2062.4">GrandTotalLocalAgencies[[#Headers],[(A)
Program Name]]</definedName>
    <definedName name="TitleRegion14.a155.n160.6">Program243[[#Headers],[(A)
Program Name]]</definedName>
    <definedName name="TitleRegion14.a166.n173.5">Program369[[#Headers],[(A)
Program Name]]</definedName>
    <definedName name="TitleRegion14.a184.n198.4">Program353[[#Headers],[(A)
Program Name]]</definedName>
    <definedName name="TitleRegion15.a162.n167.6">Program233[[#Headers],[(A)
Program Name]]</definedName>
    <definedName name="TitleRegion15.a175.n189.5">Program354[[#Headers],[(A)
Program Name]]</definedName>
    <definedName name="TitleRegion15.a200.n207.4">Program196[[#Headers],[(A)
Program Name]]</definedName>
    <definedName name="TitleRegion16.a169.n177.6">Program29[[#Headers],[(A)
Program Name]]</definedName>
    <definedName name="TitleRegion16.a191.n207.5">Program286[[#Headers],[(A)
Program Name]]</definedName>
    <definedName name="TitleRegion16.a209.n230.4">Program67[[#Headers],[(A)
Program Name]]</definedName>
    <definedName name="TitleRegion17.a179.n199.6">Program234[[#Headers],[(A)
Program Name]]</definedName>
    <definedName name="TitleRegion17.a209.n235.5">Program172[[#Headers],[(A)
Program Name]]</definedName>
    <definedName name="TitleRegion17.a232.n249.4">Program88[[#Headers],[(A)
Program Name]]</definedName>
    <definedName name="TitleRegion18.a201.n214.6">Program256[[#Headers],[(A)
Program Name]]</definedName>
    <definedName name="TitleRegion18.a237.n248.5">Program9[[#Headers],[(A)
Program Name]]</definedName>
    <definedName name="TitleRegion18.a251.n260.4">Program207[[#Headers],[(A)
Program Name]]</definedName>
    <definedName name="TitleRegion19.a216.n221.6">Program235[[#Headers],[(A)
Program Name]]</definedName>
    <definedName name="TitleRegion19.a250.n262.5">Program140[[#Headers],[(A)
Program Name]]</definedName>
    <definedName name="TitleRegion19.a262.n295.4">Program90[[#Headers],[(A)
Program Name]]</definedName>
    <definedName name="TitleRegion2.a14.n33.5">Program305[[#Headers],[(A)
Program Name]]</definedName>
    <definedName name="TitleRegion2.a28.n41.4">Progam248[[#Headers],[(A)
Program Name]]</definedName>
    <definedName name="TitleRegion2.a8.f11.3">CumulativeAdjustments[[#Headers],[Program Costs, Audit Adjustments and Balances]]</definedName>
    <definedName name="TitleRegion2.a8.n21.6">Program270[[#Headers],[(A)
Program Name]]</definedName>
    <definedName name="TitleRegion20.a223.n233.6">Program212[[#Headers],[(A)
Program Name]]</definedName>
    <definedName name="TitleRegion20.a264.n275.5">Program278[[#Headers],[(A)
Program Name]]</definedName>
    <definedName name="TitleRegion20.a297.n306.4">Program85[[#Headers],[(A)
Program Name]]</definedName>
    <definedName name="TitleRegion21.a235.n240.6">Program236[[#Headers],[(A)
Program Name]]</definedName>
    <definedName name="TitleRegion21.a277.n286.5">Program249[[#Headers],[(A)
Program Name]]</definedName>
    <definedName name="TitleRegion21.a308.n314.4">Program8[[#Headers],[(A)
Program Name]]</definedName>
    <definedName name="TitleRegion22.a242.n256.6">Program237[[#Headers],[(A)
Program Name]]</definedName>
    <definedName name="TitleRegion22.a288.n297.5">Program277[[#Headers],[(A)
Program Name]]</definedName>
    <definedName name="TitleRegion22.a316.n328.4">Program310[[#Headers],[(A)
Program Name]]</definedName>
    <definedName name="TitleRegion23.a258.n261.6">Program320[[#Headers],[(A)
Program Name]]</definedName>
    <definedName name="TitleRegion23.a299.n307.5">Program337[[#Headers],[(A)
Program Name]]</definedName>
    <definedName name="TitleRegion23.a330.n351.4">Program262[[#Headers],[(A)
Program Name]]</definedName>
    <definedName name="TitleRegion24.a263.n265.6">Program317[[#Headers],[(A)
Program Name]]</definedName>
    <definedName name="TitleRegion24.a309.n316.5">Program309[[#Headers],[(A)
Program Name]]</definedName>
    <definedName name="TitleRegion24.a353.n364.4">Program306[[#Headers],[(A)
Program Name]]</definedName>
    <definedName name="TitleRegion25.a267.n282.6">Program347[[#Headers],[(A)
Program Name]]</definedName>
    <definedName name="TitleRegion25.a318.n327.5">Program114[[#Headers],[(A)
Program Name]]</definedName>
    <definedName name="TitleRegion25.a366.n382.4">Program158[[#Headers],[(A)
Program Name]]</definedName>
    <definedName name="TitleRegion26.a284.n287.6">Program254[[#Headers],[(A)
Program Name]]</definedName>
    <definedName name="TitleRegion26.a329.n365.5">Program11[[#Headers],[(A)
Program Name]]</definedName>
    <definedName name="TitleRegion26.a384.n415.4">Locals!$N$381</definedName>
    <definedName name="TitleRegion27.a289.n311.6">Program238[[#Headers],[(A)
Program Name]]</definedName>
    <definedName name="TitleRegion27.a367.n379.5">Program223[[#Headers],[(A)
Program Name]]</definedName>
    <definedName name="TitleRegion27.a417.n421.4">Program62[[#Headers],[(A)
Program Name]]</definedName>
    <definedName name="TitleRegion28.a313.n327.6">Program239[[#Headers],[(A)
Program Name]]</definedName>
    <definedName name="TitleRegion28.a381.n392.5">Program313[[#Headers],[(A)
Program Name]]</definedName>
    <definedName name="TitleRegion28.a423.n444.4">Program87[[#Headers],[(A)
Program Name]]</definedName>
    <definedName name="TitleRegion29.a329.n336.6">Program240[[#Headers],[(A)
Program Name]]</definedName>
    <definedName name="TitleRegion29.a394.n400.5">Program311[[#Headers],[(A)
Program Name]]</definedName>
    <definedName name="TitleRegion29.a446.n448.4">Program143[[#All],[(A)
Program Name]]</definedName>
    <definedName name="TitleRegion3.a13.f16.3">ProgramCosts[[#Headers],[Program Costs, Audit Adjustments and Balances]]</definedName>
    <definedName name="TitleRegion3.a23.n35.6">Program302[[#Headers],[(A)
Program Name]]</definedName>
    <definedName name="TitleRegion3.a35.n48.5">Program269[[#Headers],[(A)
Program Name]]</definedName>
    <definedName name="TitleRegion3.a43.n46.4">Progam359[[#Headers],[(A)
Program Name]]</definedName>
    <definedName name="TitleRegion30.a338.n348.6">Program303[[#Headers],[(A)
Program Name]]</definedName>
    <definedName name="TitleRegion30.a402.n405.5">Program312[[#Headers],[(A)
Program Name]]</definedName>
    <definedName name="TitleRegion30.a450.n459.4">Program266[[#Headers],[(A)
Program Name]]</definedName>
    <definedName name="TitleRegion31.a350.n355.6">Program294[[#Headers],[(A)
Program Name]]</definedName>
    <definedName name="TitleRegion31.a407.n415.5">Program330[[#Headers],[(A)
Program Name]]</definedName>
    <definedName name="TitleRegion31.a461.n486.4">Program167[[#Headers],[(A)
Program Name]]</definedName>
    <definedName name="TitleRegion32.a357.n359.6">Program241[[#Headers],[(A)
Program Name]]</definedName>
    <definedName name="TitleRegion32.a417.n433.5">Program272[[#Headers],[(A)
Program Name]]</definedName>
    <definedName name="TitleRegion32.a488.n510.4">Program274[[#Headers],[(A)
Program Name]]</definedName>
    <definedName name="TitleRegion33.a361.n365.6">Program247[[#Headers],[(A)
Program Name]]</definedName>
    <definedName name="TitleRegion33.a435.n448.5">Program276[[#Headers],[(A)
Program Name]]</definedName>
    <definedName name="TitleRegion33.a512.n525.4">Program322[[#Headers],[(A)
Program Name]]</definedName>
    <definedName name="TitleRegion34.a367.n370.6">Program307[[#Headers],[(A)
Program Name]]</definedName>
    <definedName name="TitleRegion34.a450.n462.5">Program292[[#Headers],[(A)
Program Name]]</definedName>
    <definedName name="TitleRegion34.a527.n534.4">Program16[[#Headers],[(A)
Program Name]]</definedName>
    <definedName name="TitleRegion35.a372.n384.6">Program301[[#Headers],[(A)
Program Name]]</definedName>
    <definedName name="TitleRegion35.a464.n473.5">Program291[[#Headers],[(A)
Program Name]]</definedName>
    <definedName name="TitleRegion35.a536.n539.4">Program159[[#Headers],[(A)
Program Name]]</definedName>
    <definedName name="TitleRegion36.a386.n422.6">GrandTotalCollegeDistrictsG[[#Headers],[(A)
Program Name]]</definedName>
    <definedName name="TitleRegion36.a475.n499.5">Program209[[#Headers],[(A)
Program Name]]</definedName>
    <definedName name="TitleRegion36.a541.n548.4">Program15[[#Headers],[(A)
Program Name]]</definedName>
    <definedName name="TitleRegion37.a424.n428.6">GrandTotal[[#Headers],[(A)
Program Name]]</definedName>
    <definedName name="TitleRegion37.a501.n510.5">Program206[[#Headers],[(A)
Program Name]]</definedName>
    <definedName name="TitleRegion37.a550.n557.4">Program142[[#Headers],[(A)
Program Name]]</definedName>
    <definedName name="TitleRegion38.a512.n522.5">Program79[[#Headers],[(A)
Program Name]]</definedName>
    <definedName name="TitleRegion38.a559.n584.4">Program177[[#Headers],[(A)
Program Name]]</definedName>
    <definedName name="TitleRegion39.a524.n547.5">Program183[[#Headers],[(A)
Program Name]]</definedName>
    <definedName name="TitleRegion39.a586.n593.4">Program205[[#Headers],[(A)
Program Name]]</definedName>
    <definedName name="TitleRegion4.a18.f21.3">AccountsPayable[[#Headers],[Program Costs, Audit Adjustments and Balances]]</definedName>
    <definedName name="TitleRegion4.a37.n44.6">Program355[[#Headers],[(A)
Program Name]]</definedName>
    <definedName name="TitleRegion4.a48.n71.4">Program246[[#Headers],[(A)
Program Name]]</definedName>
    <definedName name="TitleRegion4.a50.n63.5">Program123[[#Headers],[(A)
Program Name]]</definedName>
    <definedName name="TitleRegion40.a549.n570.5">Program251[[#Headers],[(A)
Program Name]]</definedName>
    <definedName name="TitleRegion40.a595.n598.4">Program17[[#Headers],[(A)
Program Name]]</definedName>
    <definedName name="TitleRegion41.a572.n586.5">Program333[[#Headers],[(A)
Program Name]]</definedName>
    <definedName name="TitleRegion41.a600.n607.4">Program204[[#Headers],[(A)
Program Name]]</definedName>
    <definedName name="TitleRegion42.a588.n596.5">Program253[[#Headers],[(A)
Program Name]]</definedName>
    <definedName name="TitleRegion42.a609.n620.4">Program257[[#Headers],[(A)
Program Name]]</definedName>
    <definedName name="TitleRegion43.a598.n602.5">Program225[[#Headers],[(A)
Program Name]]</definedName>
    <definedName name="TitleRegion43.a622.n624.4">Program290[[#Headers],[(A)
Program Name]]</definedName>
    <definedName name="TitleRegion44.a604.n623.5">Program75[[#Headers],[(A)
Program Name]]</definedName>
    <definedName name="TitleRegion44.a626.n629.4">Program21[[#Headers],[(A)
Program Name]]</definedName>
    <definedName name="TitleRegion45.a625.n639.5">Program210[[#Headers],[(A)
Program Name]]</definedName>
    <definedName name="TitleRegion45.a631.n641.4">Program283[[#Headers],[(A)
Program Name]]</definedName>
    <definedName name="TitleRegion46.a641.n666.5">Program91[[#Headers],[(A)
Program Name]]</definedName>
    <definedName name="TitleRegion46.a643.n654.4">Program293[[#Headers],[(A)
Program Name]]</definedName>
    <definedName name="TitleRegion47.a656.n676.4">Program23[[#Headers],[(A)
Program Name]]</definedName>
    <definedName name="TitleRegion47.a668.n675.5">Program19[[#Headers],[(A)
Program Name]]</definedName>
    <definedName name="TitleRegion48.a677.n703.5">Program192[[#Headers],[(A)
Program Name]]</definedName>
    <definedName name="TitleRegion48.a678.n687.4">Program227[[#Headers],[(A)
Program Name]]</definedName>
    <definedName name="TitleRegion49.a689.n697.4">Program27[[#Headers],[(A)
Program Name]]</definedName>
    <definedName name="TitleRegion49.a705.n715.5">Program295[[#Headers],[(A)
Program Name]]</definedName>
    <definedName name="TitleRegion5.a23.f26.3">AccountsReceivable[[#Headers],[Program Costs, Audit Adjustments and Balances]]</definedName>
    <definedName name="TitleRegion5.a46.n58.6">Program287[[#Headers],[(A)
Program Name]]</definedName>
    <definedName name="TitleRegion5.a65.n87.5">Program250[[#Headers],[(A)
Program Name]]</definedName>
    <definedName name="TitleRegion5.a73.n77.4">Program3[[#Headers],[(A)
Program Name]]</definedName>
    <definedName name="TitleRegion50.a699.n720.4">Program111[[#Headers],[(A)
Program Name]]</definedName>
    <definedName name="TitleRegion50.a717.n719.5">Program296[[#Headers],[(A)
Program Name]]</definedName>
    <definedName name="TitleRegion51.a721.n737.5">Program297[[#Headers],[(A)
Program Name]]</definedName>
    <definedName name="TitleRegion51.a722.n728.4">Program263[[#Headers],[(A)
Program Name]]</definedName>
    <definedName name="TitleRegion52.a730.n736.4">Program273[[#Headers],[(A)
Program Name]]</definedName>
    <definedName name="TitleRegion52.a739.n764.5">Program26[[#Headers],[(A)
Program Name]]</definedName>
    <definedName name="TitleRegion53.a738.n761.4">Program197[[#Headers],[(A)
Program Name]]</definedName>
    <definedName name="TitleRegion53.a766.n774.5">Program226[[#Headers],[(A)
Program Name]]</definedName>
    <definedName name="TitleRegion54.a763.n775.4">Program321[[#Headers],[(A)
Program Name]]</definedName>
    <definedName name="TitleRegion54.a776.n801.5">Program166[[#Headers],[(A)
Program Name]]</definedName>
    <definedName name="TitleRegion55.a777.n790.4">Program289[[#Headers],[(A)
Program Name]]</definedName>
    <definedName name="TitleRegion55.a803.n821.5">Program268[[#Headers],[(A)
Program Name]]</definedName>
    <definedName name="TitleRegion56.a792.n799.4">Program126[[#Headers],[(A)
Program Name]]</definedName>
    <definedName name="TitleRegion56.a823.n842.5">Program230[[#Headers],[(A)
Program Name]]</definedName>
    <definedName name="TitleRegion57.a801.n818.4">Program358[[#Headers],[(A)
Program Name]]</definedName>
    <definedName name="TitleRegion57.a844.n851.5">Program368[[#Headers],[(A)
Program Name]]</definedName>
    <definedName name="TitleRegion58.a820.n829.4">Program161[[#Headers],[(A)
Program Name]]</definedName>
    <definedName name="TitleRegion58.a853.n862.5">Program357[[#Headers],[(A)
Program Name]]</definedName>
    <definedName name="TitleRegion59.a831.n835.4">Program132[[#Headers],[(A)
Program Name]]</definedName>
    <definedName name="TitleRegion59.a864.n897.5">Program32[[#Headers],[(A)
Program Name]]</definedName>
    <definedName name="TitleRegion6.a60.n82.6">Program232[[#Headers],[(A)
Program Name]]</definedName>
    <definedName name="TitleRegion6.a79.n83.4">Program1[[#Headers],[(A)
Program Name]]</definedName>
    <definedName name="TitleRegion6.a89.n99.5">Program179[[#Headers],[(A)
Program Name]]</definedName>
    <definedName name="TitleRegion60.a837.n856.4">Program35[[#Headers],[(A)
Program Name]]</definedName>
    <definedName name="TitleRegion60.a899.n924.5">Program148[[#Headers],[(A)
Program Name]]</definedName>
    <definedName name="TitleRegion61.a858.n867.4">Program193[[#Headers],[(A)
Program Name]]</definedName>
    <definedName name="TitleRegion61.a926.n939.5">Program149[[#Headers],[(A)
Program Name]]</definedName>
    <definedName name="TitleRegion62.a869.n874.4">Program371[[#Headers],[(A)
Program Name]]</definedName>
    <definedName name="TitleRegion62.a941.n968.5">Program153[[#Headers],[(A)
Program Name]]</definedName>
    <definedName name="TitleRegion63.a876.n887.4">Program334[[#Headers],[(A)
Program Name]]</definedName>
    <definedName name="TitleRegion63.a970.n980.5">Program169[[#Headers],[(A)
Program Name]]</definedName>
    <definedName name="TitleRegion64.a889.n898.4">Program300[[#Headers],[(A)
Program Name]]</definedName>
    <definedName name="TitleRegion64.a982.n1007.5">Program155[[#Headers],[(A)
Program Name]]</definedName>
    <definedName name="TitleRegion65.a1009.n1016.5">Program36[[#Headers],[(A)
Program Name]]</definedName>
    <definedName name="TitleRegion65.a900.n905.4">Program37[[#Headers],[(A)
Program Name]]</definedName>
    <definedName name="TitleRegion66.a1018.n1033.5">Program157[[#Headers],[(A)
Program Name]]</definedName>
    <definedName name="TitleRegion66.a907.n911.4">Program259[[#Headers],[(A)
Program Name]]</definedName>
    <definedName name="TitleRegion67.a1035.n1040.5">Program194[[#Headers],[(A)
Program Name]]</definedName>
    <definedName name="TitleRegion67.a913.n932.4">Program298[[#Headers],[(A)
Program Name]]</definedName>
    <definedName name="TitleRegion68.a1042.n1066.5">Program42[[#Headers],[(A)
Program Name]]</definedName>
    <definedName name="TitleRegion68.a934.n945.4">Program285[[#Headers],[(A)
Program Name]]</definedName>
    <definedName name="TitleRegion69.a1068.n1071.5">Program319[[#Headers],[(A)
Program Name]]</definedName>
    <definedName name="TitleRegion69.a947.n967.4">Program41[[#Headers],[(A)
Program Name]]</definedName>
    <definedName name="TitleRegion7.a101.n110.5">Program145[[#Headers],[(A)
Program Name]]</definedName>
    <definedName name="TitleRegion7.a84.n96.6">Program332[[#Headers],[(A)
Program Name]]</definedName>
    <definedName name="TitleRegion7.a95.n106.4">Program178[[#Headers],[(A)
Program Name]]</definedName>
    <definedName name="TitleRegion70.a1073.n1079.5">Program275[[#Headers],[(A)
Program Name]]</definedName>
    <definedName name="TitleRegion70.a969.n974.4">Program315[[#Headers],[(A)
Program Name]]</definedName>
    <definedName name="TitleRegion71.a1081.n1088.5">Program265[[#Headers],[(A)
Program Name]]</definedName>
    <definedName name="TitleRegion71.a976.n1005.4">Program43[[#Headers],[(A)
Program Name]]</definedName>
    <definedName name="TitleRegion72.a1007.n1020.4">Program361[[#Headers],[(A)
Program Name]]</definedName>
    <definedName name="TitleRegion72.a1090.n1120.5">Program48[[#Headers],[(A)
Program Name]]</definedName>
    <definedName name="TitleRegion73.a1022.n1036.4">Program203[[#Headers],[(A)
Program Name]]</definedName>
    <definedName name="TitleRegion73.a1122.n1138.5">Program150[[#Headers],[(A)
Program Name]]</definedName>
    <definedName name="TitleRegion74.a1038.n1049.4">Program281[[#Headers],[(A)
Program Name]]</definedName>
    <definedName name="TitleRegion74.a1140.n1152.5">Program92[[#Headers],[(A)
Program Name]]</definedName>
    <definedName name="TitleRegion75.a1051.n1071.4">Program39[[#Headers],[(A)
Program Name]]</definedName>
    <definedName name="TitleRegion75.a1154.n1160.5">Program201[[#Headers],[(A)
Program Name]]</definedName>
    <definedName name="TitleRegion76.a1073.n1093.4">Program66[[#Headers],[(A)
Program Name]]</definedName>
    <definedName name="TitleRegion76.a1162.n1184.5">Program218[[#Headers],[(A)
Program Name]]</definedName>
    <definedName name="TitleRegion77.a1095.n1107.4">Program138[[#Headers],[(A)
Program Name]]</definedName>
    <definedName name="TitleRegion77.a1186.n1201.5">Program154[[#Headers],[(A)
Program Name]]</definedName>
    <definedName name="TitleRegion78.a1109.n1113.4">Program112[[#Headers],[(A)
Program Name]]</definedName>
    <definedName name="TitleRegion78.a1203.n1221.5">program350[[#Headers],[(A)
Program Name]]</definedName>
    <definedName name="TitleRegion79.a1115.n1123.4">Program323[[#Headers],[(A)
Program Name]]</definedName>
    <definedName name="TitleRegion79.a1223.n1234.5">Program186[[#Headers],[(A)
Program Name]]</definedName>
    <definedName name="TitleRegion8.a108.n136.4">Program152[[#Headers],[(A)
Program Name]]</definedName>
    <definedName name="TitleRegion8.a112.n117.5">Program189[[#Headers],[(A)
Program Name]]</definedName>
    <definedName name="TitleRegion8.a98.n100.6">Program338[[#Headers],[(A)
Program Name]]</definedName>
    <definedName name="TitleRegion80.a1125.n1138.4">Program314[[#Headers],[(A)
Program Name]]</definedName>
    <definedName name="TitleRegion80.a1236.n1242.5">Program214[[#Headers],[(A)
Program Name]]</definedName>
    <definedName name="TitleRegion81.a1140.n1163.4">Program147[[#Headers],[(A)
Program Name]]</definedName>
    <definedName name="TitleRegion81.a1244.n1259.5">Program195[[#Headers],[(A)
Program Name]]</definedName>
    <definedName name="TitleRegion82.a1165.n1179.4">Program200[[#Headers],[(A)
Program Name]]</definedName>
    <definedName name="TitleRegion82.a1261.n1286.5">Program173[[#Headers],[(A)
Program Name]]</definedName>
    <definedName name="TitleRegion83.a1181.n1197.4">Program49[[#Headers],[(A)
Program Name]]</definedName>
    <definedName name="TitleRegion83.a1288.n1298.5">Program304[[#Headers],[(A)
Program Name]]</definedName>
    <definedName name="TitleRegion84.a1199.n1205.4">Program202[[#Headers],[(A)
Program Name]]</definedName>
    <definedName name="TitleRegion84.a1300.n1314.5">Program335[[#Headers],[(A)
Program Name]]</definedName>
    <definedName name="TitleRegion85.a1207.n1227.4">Program219[[#Headers],[(A)
Program Name]]</definedName>
    <definedName name="TitleRegion85.a1316.n1331.5">Program151[[#Headers],[(A)
Program Name]]</definedName>
    <definedName name="TitleRegion86.a1229.n1248.4">Program122[[#Headers],[(A)
Program Name]]</definedName>
    <definedName name="TitleRegion86.a1333.n1340.5">Program160[[#Headers],[(A)
Program Name]]</definedName>
    <definedName name="TitleRegion87.a1250.n1269.4">Program118[[#Headers],[(A)
Program Name]]</definedName>
    <definedName name="TitleRegion87.a1342.n1358.5">Program165[[#Headers],[(A)
Program Name]]</definedName>
    <definedName name="TitleRegion88.a1271.n1292.4">Program264[[#Headers],[(A)
Program Name]]</definedName>
    <definedName name="TitleRegion88.a1360.n1376.5">Program271[[#Headers],[(A)
Program Name]]</definedName>
    <definedName name="TitleRegion89.a1294.n1320.4">Program187[[#Headers],[(A)
Program Name]]</definedName>
    <definedName name="TitleRegion89.a1378.n1380.5">Program325[[#Headers],[(A)
Program Name]]</definedName>
    <definedName name="TitleRegion9.a102.n104.6">Program339[[#Headers],[(A)
Program Name]]</definedName>
    <definedName name="TitleRegion9.a119.n126.5">Program221[[#Headers],[(A)
Program Name]]</definedName>
    <definedName name="TitleRegion9.a138.n150.4">Program213[[#Headers],[(A)
Program Name]]</definedName>
    <definedName name="TitleRegion90.a1322.n1340.4">Program356[[#Headers],[(A)
Program Name]]</definedName>
    <definedName name="TitleRegion90.a1382.n1384.5">Program326[[#Headers],[(A)
Program Name]]</definedName>
    <definedName name="TitleRegion91.a1342.n1363.4">Program124[[#Headers],[(A)
Program Name]]</definedName>
    <definedName name="TitleRegion91.a1386.n1389.5">Program327[[#Headers],[(A)
Program Name]]</definedName>
    <definedName name="TitleRegion92.a1365.n1388.4">Program83[[#Headers],[(A)
Program Name]]</definedName>
    <definedName name="TitleRegion92.a1391.n1394.5">Program328[[#Headers],[(A)
Program Name]]</definedName>
    <definedName name="TitleRegion93.a1390.n1402.4">Program324[[#Headers],[(A)
Program Name]]</definedName>
    <definedName name="TitleRegion93.a1396.n1408.5">Program329[[#Headers],[(A)
Program Name]]</definedName>
    <definedName name="TitleRegion94.a1404.n1415.4">Program24[[#Headers],[(A)
Program Name]]</definedName>
    <definedName name="TitleRegion94.a1410.n1424.5">Program139[[#Headers],[(A)
Program Name]]</definedName>
    <definedName name="TitleRegion95.a1417.n1447.4">Program121[[#Headers],[(A)
Program Name]]</definedName>
    <definedName name="TitleRegion95.a1426.n1441.5">Program261[[#Headers],[(A)
Program Name]]</definedName>
    <definedName name="TitleRegion96.a1443.n1466.5">Program244[[#Headers],[(A)
Program Name]]</definedName>
    <definedName name="TitleRegion96.a1449.n1463.4">Program215[[#Headers],[(A)
Program Name]]</definedName>
    <definedName name="TitleRegion96.a1468.n1485.5">Program182[[#Headers],[(A)
Program Name]]</definedName>
    <definedName name="TitleRegion97.a1465.n1470.4">Program28[[#Headers],[(A)
Program Name]]</definedName>
    <definedName name="TitleRegion97.a1487.n1502.5">Program280[[#Headers],[(A)
Program Name]]</definedName>
    <definedName name="TitleRegion98.a1472.n1482.4">Program279[[#Headers],[(A)
Program Name]]</definedName>
    <definedName name="TitleRegion98.a1504.n1524.5">Program176[[#Headers],[(A)
Program Name]]</definedName>
    <definedName name="TitleRegion99.a1484.n1486.4">Program363[[#Headers],[(A)
Program Name]]</definedName>
    <definedName name="TitleRegion99.a1526.n1533.5">Program362[[#Headers],[(A)
Program Name]]</definedName>
    <definedName name="TtileRegion6.a28.f31.3">NetBalance[[#Headers],[Program Costs, Audit Adjustments and Balances]]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22" l="1"/>
  <c r="J3" i="22" s="1"/>
  <c r="M3" i="22"/>
  <c r="H4" i="22"/>
  <c r="J4" i="22" s="1"/>
  <c r="M4" i="22"/>
  <c r="H5" i="22"/>
  <c r="J5" i="22" s="1"/>
  <c r="M5" i="22"/>
  <c r="C6" i="22"/>
  <c r="D6" i="22"/>
  <c r="E6" i="22"/>
  <c r="F6" i="22"/>
  <c r="G6" i="22"/>
  <c r="I6" i="22"/>
  <c r="K6" i="22"/>
  <c r="L6" i="22"/>
  <c r="H9" i="22"/>
  <c r="J9" i="22" s="1"/>
  <c r="M9" i="22"/>
  <c r="H10" i="22"/>
  <c r="J10" i="22" s="1"/>
  <c r="M10" i="22"/>
  <c r="H11" i="22"/>
  <c r="J11" i="22" s="1"/>
  <c r="N11" i="22" s="1"/>
  <c r="M11" i="22"/>
  <c r="H12" i="22"/>
  <c r="J12" i="22" s="1"/>
  <c r="M12" i="22"/>
  <c r="H13" i="22"/>
  <c r="J13" i="22" s="1"/>
  <c r="N13" i="22" s="1"/>
  <c r="M13" i="22"/>
  <c r="H14" i="22"/>
  <c r="J14" i="22" s="1"/>
  <c r="M14" i="22"/>
  <c r="H15" i="22"/>
  <c r="J15" i="22" s="1"/>
  <c r="M15" i="22"/>
  <c r="H16" i="22"/>
  <c r="J16" i="22" s="1"/>
  <c r="M16" i="22"/>
  <c r="H17" i="22"/>
  <c r="J17" i="22" s="1"/>
  <c r="N17" i="22" s="1"/>
  <c r="M17" i="22"/>
  <c r="H18" i="22"/>
  <c r="J18" i="22" s="1"/>
  <c r="M18" i="22"/>
  <c r="H19" i="22"/>
  <c r="J19" i="22" s="1"/>
  <c r="M19" i="22"/>
  <c r="H20" i="22"/>
  <c r="J20" i="22"/>
  <c r="M20" i="22"/>
  <c r="C21" i="22"/>
  <c r="D21" i="22"/>
  <c r="E21" i="22"/>
  <c r="F21" i="22"/>
  <c r="G21" i="22"/>
  <c r="I21" i="22"/>
  <c r="K21" i="22"/>
  <c r="L21" i="22"/>
  <c r="H24" i="22"/>
  <c r="J24" i="22"/>
  <c r="M24" i="22"/>
  <c r="H25" i="22"/>
  <c r="J25" i="22"/>
  <c r="M25" i="22"/>
  <c r="H26" i="22"/>
  <c r="J26" i="22" s="1"/>
  <c r="M26" i="22"/>
  <c r="H27" i="22"/>
  <c r="J27" i="22" s="1"/>
  <c r="M27" i="22"/>
  <c r="H28" i="22"/>
  <c r="J28" i="22"/>
  <c r="M28" i="22"/>
  <c r="H29" i="22"/>
  <c r="J29" i="22" s="1"/>
  <c r="M29" i="22"/>
  <c r="H30" i="22"/>
  <c r="J30" i="22"/>
  <c r="M30" i="22"/>
  <c r="H31" i="22"/>
  <c r="J31" i="22" s="1"/>
  <c r="M31" i="22"/>
  <c r="H32" i="22"/>
  <c r="J32" i="22" s="1"/>
  <c r="M32" i="22"/>
  <c r="H33" i="22"/>
  <c r="J33" i="22" s="1"/>
  <c r="M33" i="22"/>
  <c r="H34" i="22"/>
  <c r="J34" i="22" s="1"/>
  <c r="M34" i="22"/>
  <c r="C35" i="22"/>
  <c r="D35" i="22"/>
  <c r="E35" i="22"/>
  <c r="F35" i="22"/>
  <c r="G35" i="22"/>
  <c r="I35" i="22"/>
  <c r="K35" i="22"/>
  <c r="L35" i="22"/>
  <c r="H38" i="22"/>
  <c r="J38" i="22"/>
  <c r="M38" i="22"/>
  <c r="H39" i="22"/>
  <c r="J39" i="22" s="1"/>
  <c r="M39" i="22"/>
  <c r="H40" i="22"/>
  <c r="J40" i="22"/>
  <c r="M40" i="22"/>
  <c r="H41" i="22"/>
  <c r="J41" i="22" s="1"/>
  <c r="M41" i="22"/>
  <c r="H42" i="22"/>
  <c r="J42" i="22"/>
  <c r="M42" i="22"/>
  <c r="H43" i="22"/>
  <c r="J43" i="22" s="1"/>
  <c r="M43" i="22"/>
  <c r="C44" i="22"/>
  <c r="D44" i="22"/>
  <c r="E44" i="22"/>
  <c r="F44" i="22"/>
  <c r="G44" i="22"/>
  <c r="I44" i="22"/>
  <c r="K44" i="22"/>
  <c r="L44" i="22"/>
  <c r="H47" i="22"/>
  <c r="J47" i="22" s="1"/>
  <c r="M47" i="22"/>
  <c r="H48" i="22"/>
  <c r="J48" i="22" s="1"/>
  <c r="M48" i="22"/>
  <c r="H49" i="22"/>
  <c r="J49" i="22" s="1"/>
  <c r="N49" i="22" s="1"/>
  <c r="M49" i="22"/>
  <c r="H50" i="22"/>
  <c r="J50" i="22" s="1"/>
  <c r="M50" i="22"/>
  <c r="H51" i="22"/>
  <c r="J51" i="22" s="1"/>
  <c r="M51" i="22"/>
  <c r="H52" i="22"/>
  <c r="J52" i="22" s="1"/>
  <c r="M52" i="22"/>
  <c r="H53" i="22"/>
  <c r="J53" i="22" s="1"/>
  <c r="N53" i="22" s="1"/>
  <c r="M53" i="22"/>
  <c r="H54" i="22"/>
  <c r="J54" i="22" s="1"/>
  <c r="M54" i="22"/>
  <c r="H55" i="22"/>
  <c r="J55" i="22" s="1"/>
  <c r="M55" i="22"/>
  <c r="H56" i="22"/>
  <c r="J56" i="22"/>
  <c r="M56" i="22"/>
  <c r="H57" i="22"/>
  <c r="J57" i="22" s="1"/>
  <c r="M57" i="22"/>
  <c r="C58" i="22"/>
  <c r="D58" i="22"/>
  <c r="E58" i="22"/>
  <c r="F58" i="22"/>
  <c r="G58" i="22"/>
  <c r="I58" i="22"/>
  <c r="K58" i="22"/>
  <c r="L58" i="22"/>
  <c r="H61" i="22"/>
  <c r="J61" i="22" s="1"/>
  <c r="M61" i="22"/>
  <c r="H62" i="22"/>
  <c r="J62" i="22" s="1"/>
  <c r="M62" i="22"/>
  <c r="H63" i="22"/>
  <c r="J63" i="22" s="1"/>
  <c r="N63" i="22" s="1"/>
  <c r="M63" i="22"/>
  <c r="H64" i="22"/>
  <c r="M64" i="22"/>
  <c r="H65" i="22"/>
  <c r="J65" i="22" s="1"/>
  <c r="M65" i="22"/>
  <c r="H66" i="22"/>
  <c r="J66" i="22" s="1"/>
  <c r="M66" i="22"/>
  <c r="H67" i="22"/>
  <c r="J67" i="22" s="1"/>
  <c r="N67" i="22" s="1"/>
  <c r="M67" i="22"/>
  <c r="H68" i="22"/>
  <c r="J68" i="22" s="1"/>
  <c r="M68" i="22"/>
  <c r="H69" i="22"/>
  <c r="J69" i="22" s="1"/>
  <c r="M69" i="22"/>
  <c r="H70" i="22"/>
  <c r="J70" i="22" s="1"/>
  <c r="M70" i="22"/>
  <c r="H71" i="22"/>
  <c r="J71" i="22" s="1"/>
  <c r="N71" i="22" s="1"/>
  <c r="M71" i="22"/>
  <c r="H72" i="22"/>
  <c r="J72" i="22" s="1"/>
  <c r="M72" i="22"/>
  <c r="H73" i="22"/>
  <c r="J73" i="22" s="1"/>
  <c r="M73" i="22"/>
  <c r="H74" i="22"/>
  <c r="J74" i="22" s="1"/>
  <c r="M74" i="22"/>
  <c r="H75" i="22"/>
  <c r="J75" i="22" s="1"/>
  <c r="N75" i="22" s="1"/>
  <c r="M75" i="22"/>
  <c r="H76" i="22"/>
  <c r="J76" i="22" s="1"/>
  <c r="M76" i="22"/>
  <c r="H77" i="22"/>
  <c r="J77" i="22" s="1"/>
  <c r="M77" i="22"/>
  <c r="H78" i="22"/>
  <c r="J78" i="22" s="1"/>
  <c r="M78" i="22"/>
  <c r="H79" i="22"/>
  <c r="J79" i="22" s="1"/>
  <c r="N79" i="22" s="1"/>
  <c r="M79" i="22"/>
  <c r="H80" i="22"/>
  <c r="J80" i="22" s="1"/>
  <c r="M80" i="22"/>
  <c r="H81" i="22"/>
  <c r="J81" i="22" s="1"/>
  <c r="M81" i="22"/>
  <c r="C82" i="22"/>
  <c r="D82" i="22"/>
  <c r="E82" i="22"/>
  <c r="F82" i="22"/>
  <c r="G82" i="22"/>
  <c r="I82" i="22"/>
  <c r="K82" i="22"/>
  <c r="L82" i="22"/>
  <c r="H85" i="22"/>
  <c r="J85" i="22" s="1"/>
  <c r="M85" i="22"/>
  <c r="H86" i="22"/>
  <c r="M86" i="22"/>
  <c r="H87" i="22"/>
  <c r="J87" i="22" s="1"/>
  <c r="M87" i="22"/>
  <c r="H88" i="22"/>
  <c r="J88" i="22" s="1"/>
  <c r="M88" i="22"/>
  <c r="H89" i="22"/>
  <c r="J89" i="22" s="1"/>
  <c r="M89" i="22"/>
  <c r="H90" i="22"/>
  <c r="J90" i="22" s="1"/>
  <c r="M90" i="22"/>
  <c r="H91" i="22"/>
  <c r="J91" i="22" s="1"/>
  <c r="M91" i="22"/>
  <c r="H92" i="22"/>
  <c r="J92" i="22" s="1"/>
  <c r="M92" i="22"/>
  <c r="H93" i="22"/>
  <c r="J93" i="22" s="1"/>
  <c r="M93" i="22"/>
  <c r="H94" i="22"/>
  <c r="J94" i="22" s="1"/>
  <c r="M94" i="22"/>
  <c r="H95" i="22"/>
  <c r="J95" i="22" s="1"/>
  <c r="M95" i="22"/>
  <c r="C96" i="22"/>
  <c r="D96" i="22"/>
  <c r="E96" i="22"/>
  <c r="F96" i="22"/>
  <c r="G96" i="22"/>
  <c r="I96" i="22"/>
  <c r="K96" i="22"/>
  <c r="L96" i="22"/>
  <c r="H99" i="22"/>
  <c r="J99" i="22" s="1"/>
  <c r="M99" i="22"/>
  <c r="C100" i="22"/>
  <c r="D100" i="22"/>
  <c r="E100" i="22"/>
  <c r="F100" i="22"/>
  <c r="G100" i="22"/>
  <c r="I100" i="22"/>
  <c r="K100" i="22"/>
  <c r="L100" i="22"/>
  <c r="M100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H107" i="22"/>
  <c r="J107" i="22" s="1"/>
  <c r="M107" i="22"/>
  <c r="H108" i="22"/>
  <c r="J108" i="22" s="1"/>
  <c r="M108" i="22"/>
  <c r="H109" i="22"/>
  <c r="J109" i="22" s="1"/>
  <c r="M109" i="22"/>
  <c r="H110" i="22"/>
  <c r="J110" i="22" s="1"/>
  <c r="N110" i="22" s="1"/>
  <c r="M110" i="22"/>
  <c r="H111" i="22"/>
  <c r="J111" i="22" s="1"/>
  <c r="M111" i="22"/>
  <c r="H112" i="22"/>
  <c r="J112" i="22" s="1"/>
  <c r="M112" i="22"/>
  <c r="H113" i="22"/>
  <c r="J113" i="22" s="1"/>
  <c r="M113" i="22"/>
  <c r="H114" i="22"/>
  <c r="J114" i="22" s="1"/>
  <c r="N114" i="22" s="1"/>
  <c r="M114" i="22"/>
  <c r="H115" i="22"/>
  <c r="J115" i="22" s="1"/>
  <c r="M115" i="22"/>
  <c r="C116" i="22"/>
  <c r="D116" i="22"/>
  <c r="E116" i="22"/>
  <c r="F116" i="22"/>
  <c r="G116" i="22"/>
  <c r="I116" i="22"/>
  <c r="K116" i="22"/>
  <c r="L116" i="22"/>
  <c r="H119" i="22"/>
  <c r="J119" i="22" s="1"/>
  <c r="M119" i="22"/>
  <c r="M120" i="22" s="1"/>
  <c r="C120" i="22"/>
  <c r="D120" i="22"/>
  <c r="E120" i="22"/>
  <c r="F120" i="22"/>
  <c r="G120" i="22"/>
  <c r="I120" i="22"/>
  <c r="K120" i="22"/>
  <c r="L120" i="22"/>
  <c r="H123" i="22"/>
  <c r="M123" i="22"/>
  <c r="H124" i="22"/>
  <c r="J124" i="22" s="1"/>
  <c r="N124" i="22" s="1"/>
  <c r="M124" i="22"/>
  <c r="H125" i="22"/>
  <c r="J125" i="22" s="1"/>
  <c r="M125" i="22"/>
  <c r="H126" i="22"/>
  <c r="J126" i="22" s="1"/>
  <c r="M126" i="22"/>
  <c r="H127" i="22"/>
  <c r="J127" i="22" s="1"/>
  <c r="M127" i="22"/>
  <c r="H128" i="22"/>
  <c r="J128" i="22" s="1"/>
  <c r="N128" i="22" s="1"/>
  <c r="M128" i="22"/>
  <c r="H129" i="22"/>
  <c r="J129" i="22" s="1"/>
  <c r="M129" i="22"/>
  <c r="H130" i="22"/>
  <c r="J130" i="22" s="1"/>
  <c r="M130" i="22"/>
  <c r="H131" i="22"/>
  <c r="J131" i="22" s="1"/>
  <c r="M131" i="22"/>
  <c r="H132" i="22"/>
  <c r="J132" i="22" s="1"/>
  <c r="N132" i="22" s="1"/>
  <c r="M132" i="22"/>
  <c r="C133" i="22"/>
  <c r="D133" i="22"/>
  <c r="E133" i="22"/>
  <c r="F133" i="22"/>
  <c r="G133" i="22"/>
  <c r="I133" i="22"/>
  <c r="K133" i="22"/>
  <c r="L133" i="22"/>
  <c r="H136" i="22"/>
  <c r="J136" i="22" s="1"/>
  <c r="M136" i="22"/>
  <c r="H137" i="22"/>
  <c r="M137" i="22"/>
  <c r="H138" i="22"/>
  <c r="J138" i="22" s="1"/>
  <c r="M138" i="22"/>
  <c r="H139" i="22"/>
  <c r="J139" i="22" s="1"/>
  <c r="N139" i="22" s="1"/>
  <c r="M139" i="22"/>
  <c r="H140" i="22"/>
  <c r="J140" i="22" s="1"/>
  <c r="M140" i="22"/>
  <c r="H141" i="22"/>
  <c r="J141" i="22" s="1"/>
  <c r="M141" i="22"/>
  <c r="H142" i="22"/>
  <c r="J142" i="22" s="1"/>
  <c r="M142" i="22"/>
  <c r="H143" i="22"/>
  <c r="J143" i="22" s="1"/>
  <c r="N143" i="22" s="1"/>
  <c r="M143" i="22"/>
  <c r="H144" i="22"/>
  <c r="J144" i="22" s="1"/>
  <c r="M144" i="22"/>
  <c r="H145" i="22"/>
  <c r="J145" i="22" s="1"/>
  <c r="M145" i="22"/>
  <c r="H146" i="22"/>
  <c r="J146" i="22" s="1"/>
  <c r="M146" i="22"/>
  <c r="H147" i="22"/>
  <c r="J147" i="22" s="1"/>
  <c r="N147" i="22" s="1"/>
  <c r="M147" i="22"/>
  <c r="H148" i="22"/>
  <c r="J148" i="22" s="1"/>
  <c r="M148" i="22"/>
  <c r="H149" i="22"/>
  <c r="J149" i="22" s="1"/>
  <c r="M149" i="22"/>
  <c r="H150" i="22"/>
  <c r="J150" i="22" s="1"/>
  <c r="M150" i="22"/>
  <c r="H151" i="22"/>
  <c r="J151" i="22" s="1"/>
  <c r="N151" i="22" s="1"/>
  <c r="M151" i="22"/>
  <c r="H152" i="22"/>
  <c r="J152" i="22" s="1"/>
  <c r="M152" i="22"/>
  <c r="C153" i="22"/>
  <c r="D153" i="22"/>
  <c r="E153" i="22"/>
  <c r="F153" i="22"/>
  <c r="G153" i="22"/>
  <c r="I153" i="22"/>
  <c r="K153" i="22"/>
  <c r="L153" i="22"/>
  <c r="H156" i="22"/>
  <c r="J156" i="22" s="1"/>
  <c r="M156" i="22"/>
  <c r="H157" i="22"/>
  <c r="J157" i="22" s="1"/>
  <c r="M157" i="22"/>
  <c r="H158" i="22"/>
  <c r="J158" i="22" s="1"/>
  <c r="M158" i="22"/>
  <c r="H159" i="22"/>
  <c r="J159" i="22" s="1"/>
  <c r="M159" i="22"/>
  <c r="C160" i="22"/>
  <c r="D160" i="22"/>
  <c r="E160" i="22"/>
  <c r="F160" i="22"/>
  <c r="G160" i="22"/>
  <c r="I160" i="22"/>
  <c r="K160" i="22"/>
  <c r="L160" i="22"/>
  <c r="H163" i="22"/>
  <c r="M163" i="22"/>
  <c r="H164" i="22"/>
  <c r="J164" i="22" s="1"/>
  <c r="M164" i="22"/>
  <c r="H165" i="22"/>
  <c r="J165" i="22" s="1"/>
  <c r="M165" i="22"/>
  <c r="H166" i="22"/>
  <c r="J166" i="22" s="1"/>
  <c r="N166" i="22" s="1"/>
  <c r="M166" i="22"/>
  <c r="C167" i="22"/>
  <c r="D167" i="22"/>
  <c r="E167" i="22"/>
  <c r="F167" i="22"/>
  <c r="G167" i="22"/>
  <c r="I167" i="22"/>
  <c r="K167" i="22"/>
  <c r="L167" i="22"/>
  <c r="H170" i="22"/>
  <c r="J170" i="22" s="1"/>
  <c r="M170" i="22"/>
  <c r="M177" i="22" s="1"/>
  <c r="H171" i="22"/>
  <c r="M171" i="22"/>
  <c r="H172" i="22"/>
  <c r="J172" i="22" s="1"/>
  <c r="M172" i="22"/>
  <c r="H173" i="22"/>
  <c r="J173" i="22" s="1"/>
  <c r="N173" i="22" s="1"/>
  <c r="M173" i="22"/>
  <c r="H174" i="22"/>
  <c r="J174" i="22" s="1"/>
  <c r="M174" i="22"/>
  <c r="H175" i="22"/>
  <c r="J175" i="22" s="1"/>
  <c r="M175" i="22"/>
  <c r="H176" i="22"/>
  <c r="J176" i="22" s="1"/>
  <c r="M176" i="22"/>
  <c r="C177" i="22"/>
  <c r="D177" i="22"/>
  <c r="E177" i="22"/>
  <c r="F177" i="22"/>
  <c r="G177" i="22"/>
  <c r="I177" i="22"/>
  <c r="K177" i="22"/>
  <c r="L177" i="22"/>
  <c r="H180" i="22"/>
  <c r="J180" i="22" s="1"/>
  <c r="M180" i="22"/>
  <c r="H181" i="22"/>
  <c r="J181" i="22" s="1"/>
  <c r="M181" i="22"/>
  <c r="H182" i="22"/>
  <c r="J182" i="22" s="1"/>
  <c r="N182" i="22" s="1"/>
  <c r="M182" i="22"/>
  <c r="H183" i="22"/>
  <c r="J183" i="22" s="1"/>
  <c r="M183" i="22"/>
  <c r="H184" i="22"/>
  <c r="J184" i="22" s="1"/>
  <c r="M184" i="22"/>
  <c r="H185" i="22"/>
  <c r="J185" i="22" s="1"/>
  <c r="M185" i="22"/>
  <c r="H186" i="22"/>
  <c r="J186" i="22" s="1"/>
  <c r="N186" i="22" s="1"/>
  <c r="M186" i="22"/>
  <c r="H187" i="22"/>
  <c r="J187" i="22" s="1"/>
  <c r="M187" i="22"/>
  <c r="H188" i="22"/>
  <c r="J188" i="22" s="1"/>
  <c r="M188" i="22"/>
  <c r="H189" i="22"/>
  <c r="J189" i="22" s="1"/>
  <c r="M189" i="22"/>
  <c r="H190" i="22"/>
  <c r="J190" i="22" s="1"/>
  <c r="N190" i="22" s="1"/>
  <c r="M190" i="22"/>
  <c r="H191" i="22"/>
  <c r="J191" i="22" s="1"/>
  <c r="M191" i="22"/>
  <c r="H192" i="22"/>
  <c r="J192" i="22" s="1"/>
  <c r="M192" i="22"/>
  <c r="H193" i="22"/>
  <c r="J193" i="22" s="1"/>
  <c r="N193" i="22" s="1"/>
  <c r="M193" i="22"/>
  <c r="H194" i="22"/>
  <c r="J194" i="22" s="1"/>
  <c r="M194" i="22"/>
  <c r="H195" i="22"/>
  <c r="J195" i="22" s="1"/>
  <c r="M195" i="22"/>
  <c r="H196" i="22"/>
  <c r="J196" i="22" s="1"/>
  <c r="M196" i="22"/>
  <c r="H197" i="22"/>
  <c r="J197" i="22" s="1"/>
  <c r="M197" i="22"/>
  <c r="H198" i="22"/>
  <c r="J198" i="22" s="1"/>
  <c r="M198" i="22"/>
  <c r="C199" i="22"/>
  <c r="D199" i="22"/>
  <c r="E199" i="22"/>
  <c r="F199" i="22"/>
  <c r="G199" i="22"/>
  <c r="I199" i="22"/>
  <c r="K199" i="22"/>
  <c r="L199" i="22"/>
  <c r="H202" i="22"/>
  <c r="J202" i="22" s="1"/>
  <c r="N202" i="22" s="1"/>
  <c r="M202" i="22"/>
  <c r="H203" i="22"/>
  <c r="J203" i="22"/>
  <c r="M203" i="22"/>
  <c r="H204" i="22"/>
  <c r="J204" i="22" s="1"/>
  <c r="M204" i="22"/>
  <c r="H205" i="22"/>
  <c r="J205" i="22" s="1"/>
  <c r="M205" i="22"/>
  <c r="H206" i="22"/>
  <c r="J206" i="22" s="1"/>
  <c r="N206" i="22" s="1"/>
  <c r="M206" i="22"/>
  <c r="H207" i="22"/>
  <c r="J207" i="22" s="1"/>
  <c r="N207" i="22" s="1"/>
  <c r="M207" i="22"/>
  <c r="H208" i="22"/>
  <c r="J208" i="22" s="1"/>
  <c r="N208" i="22" s="1"/>
  <c r="M208" i="22"/>
  <c r="H209" i="22"/>
  <c r="J209" i="22" s="1"/>
  <c r="N209" i="22" s="1"/>
  <c r="M209" i="22"/>
  <c r="H210" i="22"/>
  <c r="J210" i="22" s="1"/>
  <c r="M210" i="22"/>
  <c r="H211" i="22"/>
  <c r="J211" i="22" s="1"/>
  <c r="N211" i="22" s="1"/>
  <c r="M211" i="22"/>
  <c r="H212" i="22"/>
  <c r="J212" i="22" s="1"/>
  <c r="N212" i="22" s="1"/>
  <c r="M212" i="22"/>
  <c r="H213" i="22"/>
  <c r="J213" i="22" s="1"/>
  <c r="N213" i="22" s="1"/>
  <c r="M213" i="22"/>
  <c r="C214" i="22"/>
  <c r="D214" i="22"/>
  <c r="E214" i="22"/>
  <c r="F214" i="22"/>
  <c r="G214" i="22"/>
  <c r="I214" i="22"/>
  <c r="K214" i="22"/>
  <c r="L214" i="22"/>
  <c r="H217" i="22"/>
  <c r="J217" i="22" s="1"/>
  <c r="M217" i="22"/>
  <c r="H218" i="22"/>
  <c r="J218" i="22" s="1"/>
  <c r="M218" i="22"/>
  <c r="H219" i="22"/>
  <c r="J219" i="22" s="1"/>
  <c r="N219" i="22" s="1"/>
  <c r="M219" i="22"/>
  <c r="H220" i="22"/>
  <c r="J220" i="22" s="1"/>
  <c r="N220" i="22" s="1"/>
  <c r="M220" i="22"/>
  <c r="C221" i="22"/>
  <c r="D221" i="22"/>
  <c r="E221" i="22"/>
  <c r="F221" i="22"/>
  <c r="G221" i="22"/>
  <c r="I221" i="22"/>
  <c r="K221" i="22"/>
  <c r="L221" i="22"/>
  <c r="H224" i="22"/>
  <c r="J224" i="22"/>
  <c r="M224" i="22"/>
  <c r="H225" i="22"/>
  <c r="M225" i="22"/>
  <c r="H226" i="22"/>
  <c r="J226" i="22" s="1"/>
  <c r="N226" i="22" s="1"/>
  <c r="M226" i="22"/>
  <c r="H227" i="22"/>
  <c r="J227" i="22" s="1"/>
  <c r="N227" i="22" s="1"/>
  <c r="M227" i="22"/>
  <c r="H228" i="22"/>
  <c r="J228" i="22" s="1"/>
  <c r="N228" i="22" s="1"/>
  <c r="M228" i="22"/>
  <c r="H229" i="22"/>
  <c r="J229" i="22"/>
  <c r="M229" i="22"/>
  <c r="H230" i="22"/>
  <c r="J230" i="22" s="1"/>
  <c r="M230" i="22"/>
  <c r="H231" i="22"/>
  <c r="J231" i="22" s="1"/>
  <c r="M231" i="22"/>
  <c r="H232" i="22"/>
  <c r="J232" i="22" s="1"/>
  <c r="N232" i="22" s="1"/>
  <c r="M232" i="22"/>
  <c r="C233" i="22"/>
  <c r="D233" i="22"/>
  <c r="E233" i="22"/>
  <c r="F233" i="22"/>
  <c r="G233" i="22"/>
  <c r="I233" i="22"/>
  <c r="K233" i="22"/>
  <c r="L233" i="22"/>
  <c r="H236" i="22"/>
  <c r="J236" i="22" s="1"/>
  <c r="M236" i="22"/>
  <c r="H237" i="22"/>
  <c r="J237" i="22" s="1"/>
  <c r="M237" i="22"/>
  <c r="M240" i="22" s="1"/>
  <c r="H238" i="22"/>
  <c r="J238" i="22"/>
  <c r="N238" i="22" s="1"/>
  <c r="M238" i="22"/>
  <c r="H239" i="22"/>
  <c r="J239" i="22" s="1"/>
  <c r="M239" i="22"/>
  <c r="C240" i="22"/>
  <c r="D240" i="22"/>
  <c r="E240" i="22"/>
  <c r="F240" i="22"/>
  <c r="G240" i="22"/>
  <c r="I240" i="22"/>
  <c r="K240" i="22"/>
  <c r="L240" i="22"/>
  <c r="H243" i="22"/>
  <c r="J243" i="22"/>
  <c r="M243" i="22"/>
  <c r="H244" i="22"/>
  <c r="J244" i="22" s="1"/>
  <c r="N244" i="22" s="1"/>
  <c r="M244" i="22"/>
  <c r="H245" i="22"/>
  <c r="J245" i="22" s="1"/>
  <c r="N245" i="22" s="1"/>
  <c r="M245" i="22"/>
  <c r="H246" i="22"/>
  <c r="J246" i="22" s="1"/>
  <c r="M246" i="22"/>
  <c r="H247" i="22"/>
  <c r="J247" i="22"/>
  <c r="N247" i="22" s="1"/>
  <c r="M247" i="22"/>
  <c r="H248" i="22"/>
  <c r="J248" i="22" s="1"/>
  <c r="M248" i="22"/>
  <c r="H249" i="22"/>
  <c r="J249" i="22" s="1"/>
  <c r="M249" i="22"/>
  <c r="H250" i="22"/>
  <c r="J250" i="22" s="1"/>
  <c r="N250" i="22" s="1"/>
  <c r="M250" i="22"/>
  <c r="H251" i="22"/>
  <c r="J251" i="22" s="1"/>
  <c r="N251" i="22" s="1"/>
  <c r="M251" i="22"/>
  <c r="H252" i="22"/>
  <c r="J252" i="22" s="1"/>
  <c r="N252" i="22" s="1"/>
  <c r="M252" i="22"/>
  <c r="H253" i="22"/>
  <c r="J253" i="22"/>
  <c r="N253" i="22" s="1"/>
  <c r="M253" i="22"/>
  <c r="H254" i="22"/>
  <c r="J254" i="22" s="1"/>
  <c r="N254" i="22" s="1"/>
  <c r="M254" i="22"/>
  <c r="H255" i="22"/>
  <c r="J255" i="22" s="1"/>
  <c r="M255" i="22"/>
  <c r="C256" i="22"/>
  <c r="D256" i="22"/>
  <c r="E256" i="22"/>
  <c r="F256" i="22"/>
  <c r="G256" i="22"/>
  <c r="I256" i="22"/>
  <c r="K256" i="22"/>
  <c r="L256" i="22"/>
  <c r="H259" i="22"/>
  <c r="J259" i="22" s="1"/>
  <c r="M259" i="22"/>
  <c r="M261" i="22" s="1"/>
  <c r="H260" i="22"/>
  <c r="J260" i="22" s="1"/>
  <c r="N260" i="22" s="1"/>
  <c r="M260" i="22"/>
  <c r="C261" i="22"/>
  <c r="D261" i="22"/>
  <c r="E261" i="22"/>
  <c r="F261" i="22"/>
  <c r="G261" i="22"/>
  <c r="I261" i="22"/>
  <c r="K261" i="22"/>
  <c r="L261" i="22"/>
  <c r="H264" i="22"/>
  <c r="J264" i="22"/>
  <c r="N264" i="22" s="1"/>
  <c r="N265" i="22" s="1"/>
  <c r="M264" i="22"/>
  <c r="M265" i="22" s="1"/>
  <c r="C265" i="22"/>
  <c r="D265" i="22"/>
  <c r="E265" i="22"/>
  <c r="F265" i="22"/>
  <c r="G265" i="22"/>
  <c r="H265" i="22"/>
  <c r="I265" i="22"/>
  <c r="K265" i="22"/>
  <c r="L265" i="22"/>
  <c r="H268" i="22"/>
  <c r="J268" i="22" s="1"/>
  <c r="N268" i="22" s="1"/>
  <c r="M268" i="22"/>
  <c r="H269" i="22"/>
  <c r="J269" i="22" s="1"/>
  <c r="M269" i="22"/>
  <c r="H270" i="22"/>
  <c r="J270" i="22" s="1"/>
  <c r="M270" i="22"/>
  <c r="H271" i="22"/>
  <c r="J271" i="22" s="1"/>
  <c r="N271" i="22" s="1"/>
  <c r="M271" i="22"/>
  <c r="H272" i="22"/>
  <c r="J272" i="22"/>
  <c r="M272" i="22"/>
  <c r="H273" i="22"/>
  <c r="J273" i="22" s="1"/>
  <c r="M273" i="22"/>
  <c r="H274" i="22"/>
  <c r="J274" i="22" s="1"/>
  <c r="M274" i="22"/>
  <c r="H275" i="22"/>
  <c r="J275" i="22"/>
  <c r="M275" i="22"/>
  <c r="H276" i="22"/>
  <c r="J276" i="22" s="1"/>
  <c r="M276" i="22"/>
  <c r="H277" i="22"/>
  <c r="J277" i="22" s="1"/>
  <c r="N277" i="22" s="1"/>
  <c r="M277" i="22"/>
  <c r="H278" i="22"/>
  <c r="J278" i="22" s="1"/>
  <c r="N278" i="22" s="1"/>
  <c r="M278" i="22"/>
  <c r="H279" i="22"/>
  <c r="J279" i="22" s="1"/>
  <c r="N279" i="22" s="1"/>
  <c r="M279" i="22"/>
  <c r="H280" i="22"/>
  <c r="J280" i="22" s="1"/>
  <c r="N280" i="22" s="1"/>
  <c r="M280" i="22"/>
  <c r="H281" i="22"/>
  <c r="J281" i="22"/>
  <c r="N281" i="22" s="1"/>
  <c r="M281" i="22"/>
  <c r="C282" i="22"/>
  <c r="D282" i="22"/>
  <c r="E282" i="22"/>
  <c r="F282" i="22"/>
  <c r="G282" i="22"/>
  <c r="I282" i="22"/>
  <c r="K282" i="22"/>
  <c r="L282" i="22"/>
  <c r="H285" i="22"/>
  <c r="H287" i="22" s="1"/>
  <c r="M285" i="22"/>
  <c r="M287" i="22" s="1"/>
  <c r="H286" i="22"/>
  <c r="J286" i="22"/>
  <c r="M286" i="22"/>
  <c r="C287" i="22"/>
  <c r="D287" i="22"/>
  <c r="E287" i="22"/>
  <c r="F287" i="22"/>
  <c r="G287" i="22"/>
  <c r="I287" i="22"/>
  <c r="K287" i="22"/>
  <c r="L287" i="22"/>
  <c r="H290" i="22"/>
  <c r="J290" i="22" s="1"/>
  <c r="M290" i="22"/>
  <c r="H291" i="22"/>
  <c r="J291" i="22" s="1"/>
  <c r="M291" i="22"/>
  <c r="H292" i="22"/>
  <c r="J292" i="22" s="1"/>
  <c r="N292" i="22" s="1"/>
  <c r="M292" i="22"/>
  <c r="H293" i="22"/>
  <c r="J293" i="22" s="1"/>
  <c r="N293" i="22" s="1"/>
  <c r="M293" i="22"/>
  <c r="H294" i="22"/>
  <c r="J294" i="22" s="1"/>
  <c r="N294" i="22" s="1"/>
  <c r="M294" i="22"/>
  <c r="H295" i="22"/>
  <c r="J295" i="22"/>
  <c r="N295" i="22" s="1"/>
  <c r="M295" i="22"/>
  <c r="H296" i="22"/>
  <c r="J296" i="22" s="1"/>
  <c r="M296" i="22"/>
  <c r="H297" i="22"/>
  <c r="J297" i="22"/>
  <c r="N297" i="22" s="1"/>
  <c r="M297" i="22"/>
  <c r="H298" i="22"/>
  <c r="J298" i="22" s="1"/>
  <c r="M298" i="22"/>
  <c r="H299" i="22"/>
  <c r="J299" i="22" s="1"/>
  <c r="M299" i="22"/>
  <c r="H300" i="22"/>
  <c r="J300" i="22" s="1"/>
  <c r="M300" i="22"/>
  <c r="H301" i="22"/>
  <c r="J301" i="22" s="1"/>
  <c r="M301" i="22"/>
  <c r="H302" i="22"/>
  <c r="J302" i="22" s="1"/>
  <c r="N302" i="22" s="1"/>
  <c r="M302" i="22"/>
  <c r="H303" i="22"/>
  <c r="J303" i="22" s="1"/>
  <c r="N303" i="22" s="1"/>
  <c r="M303" i="22"/>
  <c r="H304" i="22"/>
  <c r="J304" i="22" s="1"/>
  <c r="M304" i="22"/>
  <c r="H305" i="22"/>
  <c r="J305" i="22" s="1"/>
  <c r="M305" i="22"/>
  <c r="H306" i="22"/>
  <c r="J306" i="22" s="1"/>
  <c r="N306" i="22" s="1"/>
  <c r="M306" i="22"/>
  <c r="H307" i="22"/>
  <c r="J307" i="22" s="1"/>
  <c r="N307" i="22" s="1"/>
  <c r="M307" i="22"/>
  <c r="H308" i="22"/>
  <c r="J308" i="22" s="1"/>
  <c r="M308" i="22"/>
  <c r="H309" i="22"/>
  <c r="J309" i="22"/>
  <c r="M309" i="22"/>
  <c r="H310" i="22"/>
  <c r="J310" i="22" s="1"/>
  <c r="M310" i="22"/>
  <c r="C311" i="22"/>
  <c r="D311" i="22"/>
  <c r="E311" i="22"/>
  <c r="F311" i="22"/>
  <c r="G311" i="22"/>
  <c r="I311" i="22"/>
  <c r="K311" i="22"/>
  <c r="L311" i="22"/>
  <c r="H314" i="22"/>
  <c r="J314" i="22" s="1"/>
  <c r="M314" i="22"/>
  <c r="H315" i="22"/>
  <c r="J315" i="22" s="1"/>
  <c r="N315" i="22" s="1"/>
  <c r="M315" i="22"/>
  <c r="M327" i="22" s="1"/>
  <c r="H316" i="22"/>
  <c r="J316" i="22" s="1"/>
  <c r="N316" i="22" s="1"/>
  <c r="M316" i="22"/>
  <c r="H317" i="22"/>
  <c r="J317" i="22" s="1"/>
  <c r="N317" i="22" s="1"/>
  <c r="M317" i="22"/>
  <c r="H318" i="22"/>
  <c r="J318" i="22" s="1"/>
  <c r="M318" i="22"/>
  <c r="H319" i="22"/>
  <c r="J319" i="22"/>
  <c r="N319" i="22" s="1"/>
  <c r="M319" i="22"/>
  <c r="H320" i="22"/>
  <c r="J320" i="22" s="1"/>
  <c r="M320" i="22"/>
  <c r="H321" i="22"/>
  <c r="J321" i="22" s="1"/>
  <c r="M321" i="22"/>
  <c r="H322" i="22"/>
  <c r="J322" i="22" s="1"/>
  <c r="M322" i="22"/>
  <c r="H323" i="22"/>
  <c r="J323" i="22" s="1"/>
  <c r="M323" i="22"/>
  <c r="H324" i="22"/>
  <c r="J324" i="22" s="1"/>
  <c r="N324" i="22" s="1"/>
  <c r="M324" i="22"/>
  <c r="H325" i="22"/>
  <c r="J325" i="22" s="1"/>
  <c r="N325" i="22" s="1"/>
  <c r="M325" i="22"/>
  <c r="H326" i="22"/>
  <c r="J326" i="22" s="1"/>
  <c r="M326" i="22"/>
  <c r="C327" i="22"/>
  <c r="D327" i="22"/>
  <c r="E327" i="22"/>
  <c r="F327" i="22"/>
  <c r="G327" i="22"/>
  <c r="I327" i="22"/>
  <c r="K327" i="22"/>
  <c r="L327" i="22"/>
  <c r="H330" i="22"/>
  <c r="J330" i="22" s="1"/>
  <c r="M330" i="22"/>
  <c r="H331" i="22"/>
  <c r="J331" i="22" s="1"/>
  <c r="M331" i="22"/>
  <c r="H332" i="22"/>
  <c r="J332" i="22" s="1"/>
  <c r="M332" i="22"/>
  <c r="H333" i="22"/>
  <c r="J333" i="22" s="1"/>
  <c r="N333" i="22" s="1"/>
  <c r="M333" i="22"/>
  <c r="H334" i="22"/>
  <c r="J334" i="22" s="1"/>
  <c r="N334" i="22" s="1"/>
  <c r="M334" i="22"/>
  <c r="H335" i="22"/>
  <c r="J335" i="22" s="1"/>
  <c r="M335" i="22"/>
  <c r="C336" i="22"/>
  <c r="D336" i="22"/>
  <c r="E336" i="22"/>
  <c r="F336" i="22"/>
  <c r="G336" i="22"/>
  <c r="I336" i="22"/>
  <c r="K336" i="22"/>
  <c r="L336" i="22"/>
  <c r="H339" i="22"/>
  <c r="J339" i="22" s="1"/>
  <c r="M339" i="22"/>
  <c r="H340" i="22"/>
  <c r="J340" i="22" s="1"/>
  <c r="M340" i="22"/>
  <c r="H341" i="22"/>
  <c r="J341" i="22" s="1"/>
  <c r="N341" i="22" s="1"/>
  <c r="M341" i="22"/>
  <c r="H342" i="22"/>
  <c r="J342" i="22" s="1"/>
  <c r="M342" i="22"/>
  <c r="H343" i="22"/>
  <c r="J343" i="22" s="1"/>
  <c r="M343" i="22"/>
  <c r="H344" i="22"/>
  <c r="J344" i="22" s="1"/>
  <c r="N344" i="22" s="1"/>
  <c r="M344" i="22"/>
  <c r="H345" i="22"/>
  <c r="J345" i="22" s="1"/>
  <c r="N345" i="22" s="1"/>
  <c r="M345" i="22"/>
  <c r="H346" i="22"/>
  <c r="J346" i="22" s="1"/>
  <c r="M346" i="22"/>
  <c r="H347" i="22"/>
  <c r="J347" i="22" s="1"/>
  <c r="M347" i="22"/>
  <c r="C348" i="22"/>
  <c r="D348" i="22"/>
  <c r="E348" i="22"/>
  <c r="F348" i="22"/>
  <c r="G348" i="22"/>
  <c r="I348" i="22"/>
  <c r="K348" i="22"/>
  <c r="L348" i="22"/>
  <c r="H351" i="22"/>
  <c r="J351" i="22" s="1"/>
  <c r="M351" i="22"/>
  <c r="H352" i="22"/>
  <c r="J352" i="22" s="1"/>
  <c r="M352" i="22"/>
  <c r="H353" i="22"/>
  <c r="J353" i="22" s="1"/>
  <c r="M353" i="22"/>
  <c r="H354" i="22"/>
  <c r="J354" i="22" s="1"/>
  <c r="M354" i="22"/>
  <c r="C355" i="22"/>
  <c r="D355" i="22"/>
  <c r="E355" i="22"/>
  <c r="F355" i="22"/>
  <c r="G355" i="22"/>
  <c r="I355" i="22"/>
  <c r="K355" i="22"/>
  <c r="L355" i="22"/>
  <c r="H358" i="22"/>
  <c r="J358" i="22" s="1"/>
  <c r="M358" i="22"/>
  <c r="M359" i="22" s="1"/>
  <c r="C359" i="22"/>
  <c r="D359" i="22"/>
  <c r="E359" i="22"/>
  <c r="F359" i="22"/>
  <c r="G359" i="22"/>
  <c r="I359" i="22"/>
  <c r="K359" i="22"/>
  <c r="L359" i="22"/>
  <c r="H362" i="22"/>
  <c r="J362" i="22" s="1"/>
  <c r="M362" i="22"/>
  <c r="H363" i="22"/>
  <c r="J363" i="22" s="1"/>
  <c r="M363" i="22"/>
  <c r="C364" i="22"/>
  <c r="D364" i="22"/>
  <c r="E364" i="22"/>
  <c r="F364" i="22"/>
  <c r="G364" i="22"/>
  <c r="I364" i="22"/>
  <c r="K364" i="22"/>
  <c r="L364" i="22"/>
  <c r="H367" i="22"/>
  <c r="J367" i="22" s="1"/>
  <c r="M367" i="22"/>
  <c r="M368" i="22" s="1"/>
  <c r="C368" i="22"/>
  <c r="D368" i="22"/>
  <c r="H368" i="22"/>
  <c r="L368" i="22"/>
  <c r="E368" i="22"/>
  <c r="F368" i="22"/>
  <c r="G368" i="22"/>
  <c r="I368" i="22"/>
  <c r="K368" i="22"/>
  <c r="H371" i="22"/>
  <c r="J371" i="22" s="1"/>
  <c r="N371" i="22" s="1"/>
  <c r="M371" i="22"/>
  <c r="H372" i="22"/>
  <c r="J372" i="22" s="1"/>
  <c r="M372" i="22"/>
  <c r="H373" i="22"/>
  <c r="J373" i="22" s="1"/>
  <c r="M373" i="22"/>
  <c r="M382" i="22" s="1"/>
  <c r="H374" i="22"/>
  <c r="J374" i="22" s="1"/>
  <c r="M374" i="22"/>
  <c r="H375" i="22"/>
  <c r="J375" i="22" s="1"/>
  <c r="N375" i="22" s="1"/>
  <c r="M375" i="22"/>
  <c r="H376" i="22"/>
  <c r="J376" i="22" s="1"/>
  <c r="M376" i="22"/>
  <c r="H377" i="22"/>
  <c r="J377" i="22" s="1"/>
  <c r="M377" i="22"/>
  <c r="H378" i="22"/>
  <c r="J378" i="22" s="1"/>
  <c r="N378" i="22" s="1"/>
  <c r="M378" i="22"/>
  <c r="H379" i="22"/>
  <c r="J379" i="22" s="1"/>
  <c r="N379" i="22" s="1"/>
  <c r="M379" i="22"/>
  <c r="H380" i="22"/>
  <c r="J380" i="22" s="1"/>
  <c r="M380" i="22"/>
  <c r="H381" i="22"/>
  <c r="J381" i="22" s="1"/>
  <c r="M381" i="22"/>
  <c r="C382" i="22"/>
  <c r="D382" i="22"/>
  <c r="E382" i="22"/>
  <c r="F382" i="22"/>
  <c r="G382" i="22"/>
  <c r="I382" i="22"/>
  <c r="K382" i="22"/>
  <c r="L382" i="22"/>
  <c r="C420" i="22"/>
  <c r="D420" i="22"/>
  <c r="E420" i="22"/>
  <c r="F420" i="22"/>
  <c r="G420" i="22"/>
  <c r="H420" i="22"/>
  <c r="I420" i="22"/>
  <c r="J420" i="22"/>
  <c r="K420" i="22"/>
  <c r="L420" i="22"/>
  <c r="M420" i="22"/>
  <c r="N420" i="22"/>
  <c r="C426" i="22"/>
  <c r="D426" i="22"/>
  <c r="E426" i="22"/>
  <c r="F426" i="22"/>
  <c r="G426" i="22"/>
  <c r="H426" i="22"/>
  <c r="I426" i="22"/>
  <c r="J426" i="22"/>
  <c r="K426" i="22"/>
  <c r="L426" i="22"/>
  <c r="M426" i="22"/>
  <c r="N426" i="22"/>
  <c r="N310" i="22" l="1"/>
  <c r="N299" i="22"/>
  <c r="M311" i="22"/>
  <c r="N276" i="22"/>
  <c r="N273" i="22"/>
  <c r="N270" i="22"/>
  <c r="J265" i="22"/>
  <c r="N231" i="22"/>
  <c r="H233" i="22"/>
  <c r="N197" i="22"/>
  <c r="N150" i="22"/>
  <c r="N146" i="22"/>
  <c r="N142" i="22"/>
  <c r="N138" i="22"/>
  <c r="N131" i="22"/>
  <c r="N127" i="22"/>
  <c r="N309" i="22"/>
  <c r="N275" i="22"/>
  <c r="N272" i="22"/>
  <c r="N246" i="22"/>
  <c r="N237" i="22"/>
  <c r="N230" i="22"/>
  <c r="N224" i="22"/>
  <c r="N149" i="22"/>
  <c r="N145" i="22"/>
  <c r="N141" i="22"/>
  <c r="N130" i="22"/>
  <c r="N126" i="22"/>
  <c r="N41" i="22"/>
  <c r="N19" i="22"/>
  <c r="N373" i="22"/>
  <c r="N354" i="22"/>
  <c r="N347" i="22"/>
  <c r="N343" i="22"/>
  <c r="N305" i="22"/>
  <c r="N291" i="22"/>
  <c r="N255" i="22"/>
  <c r="N249" i="22"/>
  <c r="N218" i="22"/>
  <c r="N205" i="22"/>
  <c r="N188" i="22"/>
  <c r="N184" i="22"/>
  <c r="N180" i="22"/>
  <c r="M153" i="22"/>
  <c r="N81" i="22"/>
  <c r="N77" i="22"/>
  <c r="N73" i="22"/>
  <c r="N69" i="22"/>
  <c r="N65" i="22"/>
  <c r="N51" i="22"/>
  <c r="N15" i="22"/>
  <c r="M336" i="22"/>
  <c r="N274" i="22"/>
  <c r="M221" i="22"/>
  <c r="N380" i="22"/>
  <c r="N376" i="22"/>
  <c r="N363" i="22"/>
  <c r="N353" i="22"/>
  <c r="N346" i="22"/>
  <c r="N342" i="22"/>
  <c r="N335" i="22"/>
  <c r="N331" i="22"/>
  <c r="N321" i="22"/>
  <c r="N308" i="22"/>
  <c r="N248" i="22"/>
  <c r="N239" i="22"/>
  <c r="M233" i="22"/>
  <c r="N210" i="22"/>
  <c r="N204" i="22"/>
  <c r="N198" i="22"/>
  <c r="N95" i="22"/>
  <c r="N91" i="22"/>
  <c r="N87" i="22"/>
  <c r="N57" i="22"/>
  <c r="M364" i="22"/>
  <c r="M355" i="22"/>
  <c r="N286" i="22"/>
  <c r="H240" i="22"/>
  <c r="M214" i="22"/>
  <c r="N42" i="22"/>
  <c r="N9" i="22"/>
  <c r="J21" i="22"/>
  <c r="J240" i="22"/>
  <c r="N236" i="22"/>
  <c r="N62" i="22"/>
  <c r="N381" i="22"/>
  <c r="N377" i="22"/>
  <c r="M348" i="22"/>
  <c r="N323" i="22"/>
  <c r="N320" i="22"/>
  <c r="N301" i="22"/>
  <c r="N298" i="22"/>
  <c r="H282" i="22"/>
  <c r="M282" i="22"/>
  <c r="N229" i="22"/>
  <c r="N203" i="22"/>
  <c r="N214" i="22" s="1"/>
  <c r="M167" i="22"/>
  <c r="N152" i="22"/>
  <c r="N148" i="22"/>
  <c r="N144" i="22"/>
  <c r="N140" i="22"/>
  <c r="N112" i="22"/>
  <c r="N108" i="22"/>
  <c r="N93" i="22"/>
  <c r="N89" i="22"/>
  <c r="N52" i="22"/>
  <c r="N43" i="22"/>
  <c r="N31" i="22"/>
  <c r="H21" i="22"/>
  <c r="N332" i="22"/>
  <c r="N326" i="22"/>
  <c r="N304" i="22"/>
  <c r="H256" i="22"/>
  <c r="M256" i="22"/>
  <c r="N194" i="22"/>
  <c r="N176" i="22"/>
  <c r="N172" i="22"/>
  <c r="N158" i="22"/>
  <c r="N125" i="22"/>
  <c r="H35" i="22"/>
  <c r="N30" i="22"/>
  <c r="N5" i="22"/>
  <c r="H348" i="22"/>
  <c r="H336" i="22"/>
  <c r="H311" i="22"/>
  <c r="H221" i="22"/>
  <c r="N55" i="22"/>
  <c r="N39" i="22"/>
  <c r="N12" i="22"/>
  <c r="H6" i="22"/>
  <c r="N4" i="22"/>
  <c r="N372" i="22"/>
  <c r="H364" i="22"/>
  <c r="N352" i="22"/>
  <c r="N340" i="22"/>
  <c r="N322" i="22"/>
  <c r="N300" i="22"/>
  <c r="J285" i="22"/>
  <c r="N285" i="22" s="1"/>
  <c r="N287" i="22" s="1"/>
  <c r="N189" i="22"/>
  <c r="N175" i="22"/>
  <c r="N164" i="22"/>
  <c r="H100" i="22"/>
  <c r="N54" i="22"/>
  <c r="N38" i="22"/>
  <c r="N33" i="22"/>
  <c r="N26" i="22"/>
  <c r="N14" i="22"/>
  <c r="H82" i="22"/>
  <c r="H58" i="22"/>
  <c r="N32" i="22"/>
  <c r="N16" i="22"/>
  <c r="N34" i="22"/>
  <c r="N318" i="22"/>
  <c r="H327" i="22"/>
  <c r="N296" i="22"/>
  <c r="H261" i="22"/>
  <c r="N195" i="22"/>
  <c r="N174" i="22"/>
  <c r="H167" i="22"/>
  <c r="M133" i="22"/>
  <c r="M96" i="22"/>
  <c r="N50" i="22"/>
  <c r="H44" i="22"/>
  <c r="N29" i="22"/>
  <c r="N18" i="22"/>
  <c r="H355" i="22"/>
  <c r="J225" i="22"/>
  <c r="H214" i="22"/>
  <c r="H153" i="22"/>
  <c r="H133" i="22"/>
  <c r="H96" i="22"/>
  <c r="N56" i="22"/>
  <c r="N40" i="22"/>
  <c r="N28" i="22"/>
  <c r="N25" i="22"/>
  <c r="N20" i="22"/>
  <c r="N374" i="22"/>
  <c r="J382" i="22"/>
  <c r="N314" i="22"/>
  <c r="J327" i="22"/>
  <c r="M199" i="22"/>
  <c r="N191" i="22"/>
  <c r="J199" i="22"/>
  <c r="H382" i="22"/>
  <c r="N269" i="22"/>
  <c r="N282" i="22" s="1"/>
  <c r="J282" i="22"/>
  <c r="N217" i="22"/>
  <c r="N221" i="22" s="1"/>
  <c r="J221" i="22"/>
  <c r="M35" i="22"/>
  <c r="N24" i="22"/>
  <c r="M21" i="22"/>
  <c r="N10" i="22"/>
  <c r="N21" i="22" s="1"/>
  <c r="N243" i="22"/>
  <c r="N256" i="22" s="1"/>
  <c r="J256" i="22"/>
  <c r="N48" i="22"/>
  <c r="M58" i="22"/>
  <c r="N358" i="22"/>
  <c r="N359" i="22" s="1"/>
  <c r="J359" i="22"/>
  <c r="J287" i="22"/>
  <c r="N61" i="22"/>
  <c r="N290" i="22"/>
  <c r="J311" i="22"/>
  <c r="N259" i="22"/>
  <c r="N261" i="22" s="1"/>
  <c r="J261" i="22"/>
  <c r="J214" i="22"/>
  <c r="N362" i="22"/>
  <c r="J364" i="22"/>
  <c r="N351" i="22"/>
  <c r="N355" i="22" s="1"/>
  <c r="J355" i="22"/>
  <c r="N339" i="22"/>
  <c r="J348" i="22"/>
  <c r="N240" i="22"/>
  <c r="N367" i="22"/>
  <c r="J368" i="22"/>
  <c r="J336" i="22"/>
  <c r="N330" i="22"/>
  <c r="N336" i="22" s="1"/>
  <c r="N225" i="22"/>
  <c r="J233" i="22"/>
  <c r="N156" i="22"/>
  <c r="J160" i="22"/>
  <c r="N187" i="22"/>
  <c r="N183" i="22"/>
  <c r="N159" i="22"/>
  <c r="N113" i="22"/>
  <c r="N109" i="22"/>
  <c r="N80" i="22"/>
  <c r="N76" i="22"/>
  <c r="N72" i="22"/>
  <c r="N68" i="22"/>
  <c r="N27" i="22"/>
  <c r="J35" i="22"/>
  <c r="N196" i="22"/>
  <c r="N136" i="22"/>
  <c r="N94" i="22"/>
  <c r="N90" i="22"/>
  <c r="N44" i="22"/>
  <c r="N165" i="22"/>
  <c r="N129" i="22"/>
  <c r="N119" i="22"/>
  <c r="N120" i="22" s="1"/>
  <c r="J120" i="22"/>
  <c r="J44" i="22"/>
  <c r="H359" i="22"/>
  <c r="H199" i="22"/>
  <c r="H177" i="22"/>
  <c r="J171" i="22"/>
  <c r="N171" i="22" s="1"/>
  <c r="M160" i="22"/>
  <c r="M116" i="22"/>
  <c r="N85" i="22"/>
  <c r="N47" i="22"/>
  <c r="N58" i="22" s="1"/>
  <c r="J58" i="22"/>
  <c r="N192" i="22"/>
  <c r="N185" i="22"/>
  <c r="N181" i="22"/>
  <c r="N157" i="22"/>
  <c r="N115" i="22"/>
  <c r="N111" i="22"/>
  <c r="N107" i="22"/>
  <c r="J116" i="22"/>
  <c r="N99" i="22"/>
  <c r="N100" i="22" s="1"/>
  <c r="J100" i="22"/>
  <c r="M82" i="22"/>
  <c r="N78" i="22"/>
  <c r="N74" i="22"/>
  <c r="N70" i="22"/>
  <c r="N66" i="22"/>
  <c r="M44" i="22"/>
  <c r="N170" i="22"/>
  <c r="N177" i="22" s="1"/>
  <c r="J177" i="22"/>
  <c r="N92" i="22"/>
  <c r="N88" i="22"/>
  <c r="M6" i="22"/>
  <c r="N3" i="22"/>
  <c r="N6" i="22" s="1"/>
  <c r="J6" i="22"/>
  <c r="J163" i="22"/>
  <c r="H160" i="22"/>
  <c r="J137" i="22"/>
  <c r="N137" i="22" s="1"/>
  <c r="J123" i="22"/>
  <c r="H120" i="22"/>
  <c r="H116" i="22"/>
  <c r="J86" i="22"/>
  <c r="N86" i="22" s="1"/>
  <c r="J64" i="22"/>
  <c r="N64" i="22" s="1"/>
  <c r="C12" i="21"/>
  <c r="D12" i="21"/>
  <c r="E12" i="21"/>
  <c r="F12" i="21"/>
  <c r="G12" i="21"/>
  <c r="H12" i="21"/>
  <c r="I12" i="21"/>
  <c r="J12" i="21"/>
  <c r="K12" i="21"/>
  <c r="L12" i="21"/>
  <c r="M12" i="21"/>
  <c r="N12" i="21"/>
  <c r="C33" i="21"/>
  <c r="D33" i="21"/>
  <c r="E33" i="21"/>
  <c r="F33" i="21"/>
  <c r="G33" i="21"/>
  <c r="H33" i="21"/>
  <c r="I33" i="21"/>
  <c r="J33" i="21"/>
  <c r="K33" i="21"/>
  <c r="L33" i="21"/>
  <c r="M33" i="21"/>
  <c r="N33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C87" i="21"/>
  <c r="D87" i="21"/>
  <c r="E87" i="21"/>
  <c r="F87" i="21"/>
  <c r="G87" i="21"/>
  <c r="H87" i="21"/>
  <c r="I87" i="21"/>
  <c r="J87" i="21"/>
  <c r="K87" i="21"/>
  <c r="L87" i="21"/>
  <c r="M87" i="21"/>
  <c r="N87" i="21"/>
  <c r="C99" i="21"/>
  <c r="D99" i="21"/>
  <c r="E99" i="21"/>
  <c r="F99" i="21"/>
  <c r="G99" i="21"/>
  <c r="H99" i="21"/>
  <c r="I99" i="21"/>
  <c r="J99" i="21"/>
  <c r="K99" i="21"/>
  <c r="L99" i="21"/>
  <c r="M99" i="21"/>
  <c r="N99" i="21"/>
  <c r="C110" i="21"/>
  <c r="D110" i="21"/>
  <c r="E110" i="21"/>
  <c r="F110" i="21"/>
  <c r="G110" i="21"/>
  <c r="H110" i="21"/>
  <c r="I110" i="21"/>
  <c r="J110" i="21"/>
  <c r="K110" i="21"/>
  <c r="L110" i="21"/>
  <c r="M110" i="21"/>
  <c r="N110" i="21"/>
  <c r="C117" i="21"/>
  <c r="D117" i="21"/>
  <c r="E117" i="21"/>
  <c r="F117" i="21"/>
  <c r="G117" i="21"/>
  <c r="H117" i="21"/>
  <c r="I117" i="21"/>
  <c r="J117" i="21"/>
  <c r="K117" i="21"/>
  <c r="L117" i="21"/>
  <c r="M117" i="21"/>
  <c r="N117" i="21"/>
  <c r="C126" i="21"/>
  <c r="D126" i="21"/>
  <c r="E126" i="21"/>
  <c r="F126" i="21"/>
  <c r="G126" i="21"/>
  <c r="H126" i="21"/>
  <c r="I126" i="21"/>
  <c r="J126" i="21"/>
  <c r="K126" i="21"/>
  <c r="L126" i="21"/>
  <c r="M126" i="21"/>
  <c r="N126" i="21"/>
  <c r="C130" i="21"/>
  <c r="D130" i="21"/>
  <c r="E130" i="21"/>
  <c r="F130" i="21"/>
  <c r="G130" i="21"/>
  <c r="H130" i="21"/>
  <c r="I130" i="21"/>
  <c r="J130" i="21"/>
  <c r="K130" i="21"/>
  <c r="L130" i="21"/>
  <c r="M130" i="21"/>
  <c r="N130" i="21"/>
  <c r="C152" i="21"/>
  <c r="D152" i="21"/>
  <c r="E152" i="21"/>
  <c r="F152" i="21"/>
  <c r="G152" i="21"/>
  <c r="H152" i="21"/>
  <c r="I152" i="21"/>
  <c r="J152" i="21"/>
  <c r="K152" i="21"/>
  <c r="L152" i="21"/>
  <c r="M152" i="21"/>
  <c r="N152" i="21"/>
  <c r="C157" i="21"/>
  <c r="D157" i="21"/>
  <c r="E157" i="21"/>
  <c r="F157" i="21"/>
  <c r="G157" i="21"/>
  <c r="H157" i="21"/>
  <c r="I157" i="21"/>
  <c r="J157" i="21"/>
  <c r="K157" i="21"/>
  <c r="L157" i="21"/>
  <c r="M157" i="21"/>
  <c r="N157" i="21"/>
  <c r="C164" i="21"/>
  <c r="D164" i="21"/>
  <c r="E164" i="21"/>
  <c r="F164" i="21"/>
  <c r="G164" i="21"/>
  <c r="H164" i="21"/>
  <c r="I164" i="21"/>
  <c r="J164" i="21"/>
  <c r="K164" i="21"/>
  <c r="L164" i="21"/>
  <c r="M164" i="21"/>
  <c r="N164" i="21"/>
  <c r="C173" i="21"/>
  <c r="D173" i="21"/>
  <c r="E173" i="21"/>
  <c r="F173" i="21"/>
  <c r="G173" i="21"/>
  <c r="H173" i="21"/>
  <c r="I173" i="21"/>
  <c r="J173" i="21"/>
  <c r="K173" i="21"/>
  <c r="L173" i="21"/>
  <c r="M173" i="21"/>
  <c r="N173" i="21"/>
  <c r="C189" i="21"/>
  <c r="D189" i="21"/>
  <c r="E189" i="21"/>
  <c r="F189" i="21"/>
  <c r="G189" i="21"/>
  <c r="H189" i="21"/>
  <c r="I189" i="21"/>
  <c r="J189" i="21"/>
  <c r="K189" i="21"/>
  <c r="L189" i="21"/>
  <c r="M189" i="21"/>
  <c r="N189" i="21"/>
  <c r="C207" i="21"/>
  <c r="D207" i="21"/>
  <c r="E207" i="21"/>
  <c r="F207" i="21"/>
  <c r="G207" i="21"/>
  <c r="H207" i="21"/>
  <c r="I207" i="21"/>
  <c r="J207" i="21"/>
  <c r="K207" i="21"/>
  <c r="L207" i="21"/>
  <c r="M207" i="21"/>
  <c r="N207" i="21"/>
  <c r="C235" i="21"/>
  <c r="D235" i="21"/>
  <c r="E235" i="21"/>
  <c r="F235" i="21"/>
  <c r="G235" i="21"/>
  <c r="H235" i="21"/>
  <c r="I235" i="21"/>
  <c r="J235" i="21"/>
  <c r="K235" i="21"/>
  <c r="L235" i="21"/>
  <c r="M235" i="21"/>
  <c r="N235" i="21"/>
  <c r="C248" i="21"/>
  <c r="D248" i="21"/>
  <c r="E248" i="21"/>
  <c r="F248" i="21"/>
  <c r="G248" i="21"/>
  <c r="H248" i="21"/>
  <c r="I248" i="21"/>
  <c r="J248" i="21"/>
  <c r="K248" i="21"/>
  <c r="L248" i="21"/>
  <c r="M248" i="21"/>
  <c r="N248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C286" i="21"/>
  <c r="D286" i="21"/>
  <c r="E286" i="21"/>
  <c r="F286" i="21"/>
  <c r="G286" i="21"/>
  <c r="H286" i="21"/>
  <c r="I286" i="21"/>
  <c r="J286" i="21"/>
  <c r="K286" i="21"/>
  <c r="L286" i="21"/>
  <c r="M286" i="21"/>
  <c r="N286" i="21"/>
  <c r="C297" i="21"/>
  <c r="D297" i="21"/>
  <c r="E297" i="21"/>
  <c r="F297" i="21"/>
  <c r="G297" i="21"/>
  <c r="H297" i="21"/>
  <c r="I297" i="21"/>
  <c r="J297" i="21"/>
  <c r="K297" i="21"/>
  <c r="L297" i="21"/>
  <c r="M297" i="21"/>
  <c r="N297" i="21"/>
  <c r="C307" i="21"/>
  <c r="D307" i="21"/>
  <c r="E307" i="21"/>
  <c r="F307" i="21"/>
  <c r="G307" i="21"/>
  <c r="H307" i="21"/>
  <c r="I307" i="21"/>
  <c r="J307" i="21"/>
  <c r="K307" i="21"/>
  <c r="L307" i="21"/>
  <c r="M307" i="21"/>
  <c r="N307" i="21"/>
  <c r="C316" i="21"/>
  <c r="D316" i="21"/>
  <c r="E316" i="21"/>
  <c r="F316" i="21"/>
  <c r="G316" i="21"/>
  <c r="H316" i="21"/>
  <c r="I316" i="21"/>
  <c r="J316" i="21"/>
  <c r="K316" i="21"/>
  <c r="L316" i="21"/>
  <c r="M316" i="21"/>
  <c r="N316" i="21"/>
  <c r="C327" i="21"/>
  <c r="D327" i="21"/>
  <c r="E327" i="21"/>
  <c r="F327" i="21"/>
  <c r="G327" i="21"/>
  <c r="H327" i="21"/>
  <c r="I327" i="21"/>
  <c r="J327" i="21"/>
  <c r="K327" i="21"/>
  <c r="L327" i="21"/>
  <c r="M327" i="21"/>
  <c r="N327" i="21"/>
  <c r="C365" i="21"/>
  <c r="D365" i="21"/>
  <c r="E365" i="21"/>
  <c r="F365" i="21"/>
  <c r="G365" i="21"/>
  <c r="H365" i="21"/>
  <c r="I365" i="21"/>
  <c r="J365" i="21"/>
  <c r="K365" i="21"/>
  <c r="L365" i="21"/>
  <c r="M365" i="21"/>
  <c r="N365" i="21"/>
  <c r="C379" i="21"/>
  <c r="D379" i="21"/>
  <c r="E379" i="21"/>
  <c r="F379" i="21"/>
  <c r="G379" i="21"/>
  <c r="H379" i="21"/>
  <c r="I379" i="21"/>
  <c r="J379" i="21"/>
  <c r="K379" i="21"/>
  <c r="L379" i="21"/>
  <c r="M379" i="21"/>
  <c r="N379" i="21"/>
  <c r="C392" i="21"/>
  <c r="D392" i="21"/>
  <c r="E392" i="21"/>
  <c r="F392" i="21"/>
  <c r="G392" i="21"/>
  <c r="H392" i="21"/>
  <c r="I392" i="21"/>
  <c r="J392" i="21"/>
  <c r="K392" i="21"/>
  <c r="L392" i="21"/>
  <c r="M392" i="21"/>
  <c r="N392" i="21"/>
  <c r="C400" i="21"/>
  <c r="D400" i="21"/>
  <c r="E400" i="21"/>
  <c r="F400" i="21"/>
  <c r="G400" i="21"/>
  <c r="H400" i="21"/>
  <c r="I400" i="21"/>
  <c r="J400" i="21"/>
  <c r="K400" i="21"/>
  <c r="L400" i="21"/>
  <c r="M400" i="21"/>
  <c r="N400" i="21"/>
  <c r="C405" i="21"/>
  <c r="D405" i="21"/>
  <c r="E405" i="21"/>
  <c r="F405" i="21"/>
  <c r="G405" i="21"/>
  <c r="H405" i="21"/>
  <c r="I405" i="21"/>
  <c r="J405" i="21"/>
  <c r="K405" i="21"/>
  <c r="L405" i="21"/>
  <c r="M405" i="21"/>
  <c r="N405" i="21"/>
  <c r="C415" i="21"/>
  <c r="D415" i="21"/>
  <c r="E415" i="21"/>
  <c r="F415" i="21"/>
  <c r="G415" i="21"/>
  <c r="H415" i="21"/>
  <c r="I415" i="21"/>
  <c r="J415" i="21"/>
  <c r="K415" i="21"/>
  <c r="L415" i="21"/>
  <c r="M415" i="21"/>
  <c r="N415" i="21"/>
  <c r="C433" i="21"/>
  <c r="D433" i="21"/>
  <c r="E433" i="21"/>
  <c r="F433" i="21"/>
  <c r="G433" i="21"/>
  <c r="H433" i="21"/>
  <c r="I433" i="21"/>
  <c r="J433" i="21"/>
  <c r="K433" i="21"/>
  <c r="L433" i="21"/>
  <c r="M433" i="21"/>
  <c r="N433" i="21"/>
  <c r="C448" i="21"/>
  <c r="D448" i="21"/>
  <c r="E448" i="21"/>
  <c r="F448" i="21"/>
  <c r="G448" i="21"/>
  <c r="H448" i="21"/>
  <c r="I448" i="21"/>
  <c r="J448" i="21"/>
  <c r="K448" i="21"/>
  <c r="L448" i="21"/>
  <c r="M448" i="21"/>
  <c r="N448" i="21"/>
  <c r="C462" i="21"/>
  <c r="D462" i="21"/>
  <c r="E462" i="21"/>
  <c r="F462" i="21"/>
  <c r="G462" i="21"/>
  <c r="H462" i="21"/>
  <c r="I462" i="21"/>
  <c r="J462" i="21"/>
  <c r="K462" i="21"/>
  <c r="L462" i="21"/>
  <c r="M462" i="21"/>
  <c r="N462" i="21"/>
  <c r="C473" i="21"/>
  <c r="D473" i="21"/>
  <c r="E473" i="21"/>
  <c r="F473" i="21"/>
  <c r="G473" i="21"/>
  <c r="H473" i="21"/>
  <c r="I473" i="21"/>
  <c r="J473" i="21"/>
  <c r="K473" i="21"/>
  <c r="L473" i="21"/>
  <c r="M473" i="21"/>
  <c r="N473" i="21"/>
  <c r="C499" i="21"/>
  <c r="D499" i="21"/>
  <c r="E499" i="21"/>
  <c r="F499" i="21"/>
  <c r="G499" i="21"/>
  <c r="H499" i="21"/>
  <c r="I499" i="21"/>
  <c r="J499" i="21"/>
  <c r="K499" i="21"/>
  <c r="L499" i="21"/>
  <c r="M499" i="21"/>
  <c r="N499" i="21"/>
  <c r="C510" i="21"/>
  <c r="D510" i="21"/>
  <c r="E510" i="21"/>
  <c r="F510" i="21"/>
  <c r="G510" i="21"/>
  <c r="H510" i="21"/>
  <c r="I510" i="21"/>
  <c r="J510" i="21"/>
  <c r="K510" i="21"/>
  <c r="L510" i="21"/>
  <c r="M510" i="21"/>
  <c r="N510" i="21"/>
  <c r="C522" i="21"/>
  <c r="D522" i="21"/>
  <c r="E522" i="21"/>
  <c r="F522" i="21"/>
  <c r="G522" i="21"/>
  <c r="H522" i="21"/>
  <c r="I522" i="21"/>
  <c r="J522" i="21"/>
  <c r="K522" i="21"/>
  <c r="L522" i="21"/>
  <c r="M522" i="21"/>
  <c r="N522" i="21"/>
  <c r="C547" i="21"/>
  <c r="D547" i="21"/>
  <c r="E547" i="21"/>
  <c r="F547" i="21"/>
  <c r="G547" i="21"/>
  <c r="H547" i="21"/>
  <c r="I547" i="21"/>
  <c r="J547" i="21"/>
  <c r="K547" i="21"/>
  <c r="L547" i="21"/>
  <c r="M547" i="21"/>
  <c r="N547" i="21"/>
  <c r="C570" i="21"/>
  <c r="D570" i="21"/>
  <c r="E570" i="21"/>
  <c r="F570" i="21"/>
  <c r="G570" i="21"/>
  <c r="H570" i="21"/>
  <c r="I570" i="21"/>
  <c r="J570" i="21"/>
  <c r="K570" i="21"/>
  <c r="L570" i="21"/>
  <c r="M570" i="21"/>
  <c r="N570" i="21"/>
  <c r="C586" i="21"/>
  <c r="D586" i="21"/>
  <c r="E586" i="21"/>
  <c r="F586" i="21"/>
  <c r="G586" i="21"/>
  <c r="H586" i="21"/>
  <c r="I586" i="21"/>
  <c r="J586" i="21"/>
  <c r="K586" i="21"/>
  <c r="L586" i="21"/>
  <c r="M586" i="21"/>
  <c r="N586" i="21"/>
  <c r="C596" i="21"/>
  <c r="D596" i="21"/>
  <c r="E596" i="21"/>
  <c r="F596" i="21"/>
  <c r="G596" i="21"/>
  <c r="H596" i="21"/>
  <c r="I596" i="21"/>
  <c r="J596" i="21"/>
  <c r="K596" i="21"/>
  <c r="L596" i="21"/>
  <c r="M596" i="21"/>
  <c r="N596" i="21"/>
  <c r="C602" i="21"/>
  <c r="D602" i="21"/>
  <c r="E602" i="21"/>
  <c r="F602" i="21"/>
  <c r="G602" i="21"/>
  <c r="H602" i="21"/>
  <c r="I602" i="21"/>
  <c r="J602" i="21"/>
  <c r="K602" i="21"/>
  <c r="L602" i="21"/>
  <c r="M602" i="21"/>
  <c r="N602" i="21"/>
  <c r="C623" i="21"/>
  <c r="D623" i="21"/>
  <c r="E623" i="21"/>
  <c r="F623" i="21"/>
  <c r="G623" i="21"/>
  <c r="H623" i="21"/>
  <c r="I623" i="21"/>
  <c r="J623" i="21"/>
  <c r="K623" i="21"/>
  <c r="L623" i="21"/>
  <c r="M623" i="21"/>
  <c r="N623" i="21"/>
  <c r="C639" i="21"/>
  <c r="D639" i="21"/>
  <c r="E639" i="21"/>
  <c r="F639" i="21"/>
  <c r="G639" i="21"/>
  <c r="H639" i="21"/>
  <c r="I639" i="21"/>
  <c r="J639" i="21"/>
  <c r="K639" i="21"/>
  <c r="L639" i="21"/>
  <c r="M639" i="21"/>
  <c r="N639" i="21"/>
  <c r="C666" i="21"/>
  <c r="D666" i="21"/>
  <c r="E666" i="21"/>
  <c r="F666" i="21"/>
  <c r="G666" i="21"/>
  <c r="H666" i="21"/>
  <c r="I666" i="21"/>
  <c r="J666" i="21"/>
  <c r="K666" i="21"/>
  <c r="L666" i="21"/>
  <c r="M666" i="21"/>
  <c r="N666" i="21"/>
  <c r="C675" i="21"/>
  <c r="D675" i="21"/>
  <c r="E675" i="21"/>
  <c r="F675" i="21"/>
  <c r="G675" i="21"/>
  <c r="H675" i="21"/>
  <c r="I675" i="21"/>
  <c r="J675" i="21"/>
  <c r="K675" i="21"/>
  <c r="L675" i="21"/>
  <c r="M675" i="21"/>
  <c r="N675" i="21"/>
  <c r="C703" i="21"/>
  <c r="D703" i="21"/>
  <c r="E703" i="21"/>
  <c r="F703" i="21"/>
  <c r="G703" i="21"/>
  <c r="H703" i="21"/>
  <c r="I703" i="21"/>
  <c r="J703" i="21"/>
  <c r="K703" i="21"/>
  <c r="L703" i="21"/>
  <c r="M703" i="21"/>
  <c r="N703" i="21"/>
  <c r="C715" i="21"/>
  <c r="D715" i="21"/>
  <c r="E715" i="21"/>
  <c r="F715" i="21"/>
  <c r="G715" i="21"/>
  <c r="H715" i="21"/>
  <c r="I715" i="21"/>
  <c r="J715" i="21"/>
  <c r="K715" i="21"/>
  <c r="L715" i="21"/>
  <c r="M715" i="21"/>
  <c r="N715" i="21"/>
  <c r="C719" i="21"/>
  <c r="D719" i="21"/>
  <c r="E719" i="21"/>
  <c r="F719" i="21"/>
  <c r="G719" i="21"/>
  <c r="H719" i="21"/>
  <c r="I719" i="21"/>
  <c r="J719" i="21"/>
  <c r="K719" i="21"/>
  <c r="L719" i="21"/>
  <c r="M719" i="21"/>
  <c r="N719" i="21"/>
  <c r="C737" i="21"/>
  <c r="D737" i="21"/>
  <c r="E737" i="21"/>
  <c r="F737" i="21"/>
  <c r="G737" i="21"/>
  <c r="H737" i="21"/>
  <c r="I737" i="21"/>
  <c r="J737" i="21"/>
  <c r="K737" i="21"/>
  <c r="L737" i="21"/>
  <c r="M737" i="21"/>
  <c r="N737" i="21"/>
  <c r="C764" i="21"/>
  <c r="D764" i="21"/>
  <c r="E764" i="21"/>
  <c r="F764" i="21"/>
  <c r="G764" i="21"/>
  <c r="H764" i="21"/>
  <c r="I764" i="21"/>
  <c r="J764" i="21"/>
  <c r="K764" i="21"/>
  <c r="L764" i="21"/>
  <c r="M764" i="21"/>
  <c r="N764" i="21"/>
  <c r="C774" i="21"/>
  <c r="D774" i="21"/>
  <c r="E774" i="21"/>
  <c r="F774" i="21"/>
  <c r="G774" i="21"/>
  <c r="H774" i="21"/>
  <c r="I774" i="21"/>
  <c r="J774" i="21"/>
  <c r="K774" i="21"/>
  <c r="L774" i="21"/>
  <c r="M774" i="21"/>
  <c r="N774" i="21"/>
  <c r="C801" i="21"/>
  <c r="D801" i="21"/>
  <c r="E801" i="21"/>
  <c r="F801" i="21"/>
  <c r="G801" i="21"/>
  <c r="H801" i="21"/>
  <c r="I801" i="21"/>
  <c r="J801" i="21"/>
  <c r="K801" i="21"/>
  <c r="L801" i="21"/>
  <c r="M801" i="21"/>
  <c r="N801" i="21"/>
  <c r="C821" i="21"/>
  <c r="D821" i="21"/>
  <c r="E821" i="21"/>
  <c r="F821" i="21"/>
  <c r="G821" i="21"/>
  <c r="H821" i="21"/>
  <c r="I821" i="21"/>
  <c r="J821" i="21"/>
  <c r="K821" i="21"/>
  <c r="L821" i="21"/>
  <c r="M821" i="21"/>
  <c r="N821" i="21"/>
  <c r="C842" i="21"/>
  <c r="D842" i="21"/>
  <c r="E842" i="21"/>
  <c r="F842" i="21"/>
  <c r="G842" i="21"/>
  <c r="H842" i="21"/>
  <c r="I842" i="21"/>
  <c r="J842" i="21"/>
  <c r="K842" i="21"/>
  <c r="L842" i="21"/>
  <c r="M842" i="21"/>
  <c r="N842" i="21"/>
  <c r="C851" i="21"/>
  <c r="D851" i="21"/>
  <c r="E851" i="21"/>
  <c r="F851" i="21"/>
  <c r="G851" i="21"/>
  <c r="H851" i="21"/>
  <c r="I851" i="21"/>
  <c r="J851" i="21"/>
  <c r="K851" i="21"/>
  <c r="L851" i="21"/>
  <c r="M851" i="21"/>
  <c r="N851" i="21"/>
  <c r="C862" i="21"/>
  <c r="D862" i="21"/>
  <c r="E862" i="21"/>
  <c r="F862" i="21"/>
  <c r="G862" i="21"/>
  <c r="H862" i="21"/>
  <c r="I862" i="21"/>
  <c r="J862" i="21"/>
  <c r="K862" i="21"/>
  <c r="L862" i="21"/>
  <c r="M862" i="21"/>
  <c r="N862" i="21"/>
  <c r="C897" i="21"/>
  <c r="D897" i="21"/>
  <c r="E897" i="21"/>
  <c r="F897" i="21"/>
  <c r="G897" i="21"/>
  <c r="H897" i="21"/>
  <c r="I897" i="21"/>
  <c r="J897" i="21"/>
  <c r="K897" i="21"/>
  <c r="L897" i="21"/>
  <c r="M897" i="21"/>
  <c r="N897" i="21"/>
  <c r="C924" i="21"/>
  <c r="D924" i="21"/>
  <c r="E924" i="21"/>
  <c r="F924" i="21"/>
  <c r="G924" i="21"/>
  <c r="H924" i="21"/>
  <c r="I924" i="21"/>
  <c r="J924" i="21"/>
  <c r="K924" i="21"/>
  <c r="L924" i="21"/>
  <c r="M924" i="21"/>
  <c r="N924" i="21"/>
  <c r="C939" i="21"/>
  <c r="D939" i="21"/>
  <c r="E939" i="21"/>
  <c r="F939" i="21"/>
  <c r="G939" i="21"/>
  <c r="H939" i="21"/>
  <c r="I939" i="21"/>
  <c r="J939" i="21"/>
  <c r="K939" i="21"/>
  <c r="L939" i="21"/>
  <c r="M939" i="21"/>
  <c r="N939" i="21"/>
  <c r="C968" i="21"/>
  <c r="D968" i="21"/>
  <c r="E968" i="21"/>
  <c r="F968" i="21"/>
  <c r="G968" i="21"/>
  <c r="H968" i="21"/>
  <c r="I968" i="21"/>
  <c r="J968" i="21"/>
  <c r="K968" i="21"/>
  <c r="L968" i="21"/>
  <c r="M968" i="21"/>
  <c r="N968" i="21"/>
  <c r="C980" i="21"/>
  <c r="D980" i="21"/>
  <c r="E980" i="21"/>
  <c r="F980" i="21"/>
  <c r="G980" i="21"/>
  <c r="H980" i="21"/>
  <c r="I980" i="21"/>
  <c r="J980" i="21"/>
  <c r="K980" i="21"/>
  <c r="L980" i="21"/>
  <c r="M980" i="21"/>
  <c r="N980" i="21"/>
  <c r="C1007" i="21"/>
  <c r="D1007" i="21"/>
  <c r="E1007" i="21"/>
  <c r="F1007" i="21"/>
  <c r="G1007" i="21"/>
  <c r="H1007" i="21"/>
  <c r="I1007" i="21"/>
  <c r="J1007" i="21"/>
  <c r="K1007" i="21"/>
  <c r="L1007" i="21"/>
  <c r="M1007" i="21"/>
  <c r="N1007" i="21"/>
  <c r="C1016" i="21"/>
  <c r="D1016" i="21"/>
  <c r="E1016" i="21"/>
  <c r="F1016" i="21"/>
  <c r="G1016" i="21"/>
  <c r="H1016" i="21"/>
  <c r="I1016" i="21"/>
  <c r="J1016" i="21"/>
  <c r="K1016" i="21"/>
  <c r="L1016" i="21"/>
  <c r="M1016" i="21"/>
  <c r="N1016" i="21"/>
  <c r="C1033" i="21"/>
  <c r="D1033" i="21"/>
  <c r="E1033" i="21"/>
  <c r="F1033" i="21"/>
  <c r="G1033" i="21"/>
  <c r="H1033" i="21"/>
  <c r="I1033" i="21"/>
  <c r="J1033" i="21"/>
  <c r="K1033" i="21"/>
  <c r="L1033" i="21"/>
  <c r="M1033" i="21"/>
  <c r="N1033" i="21"/>
  <c r="C1040" i="21"/>
  <c r="D1040" i="21"/>
  <c r="E1040" i="21"/>
  <c r="F1040" i="21"/>
  <c r="G1040" i="21"/>
  <c r="H1040" i="21"/>
  <c r="I1040" i="21"/>
  <c r="J1040" i="21"/>
  <c r="K1040" i="21"/>
  <c r="L1040" i="21"/>
  <c r="M1040" i="21"/>
  <c r="N1040" i="21"/>
  <c r="C1066" i="21"/>
  <c r="D1066" i="21"/>
  <c r="E1066" i="21"/>
  <c r="F1066" i="21"/>
  <c r="G1066" i="21"/>
  <c r="H1066" i="21"/>
  <c r="I1066" i="21"/>
  <c r="J1066" i="21"/>
  <c r="K1066" i="21"/>
  <c r="L1066" i="21"/>
  <c r="M1066" i="21"/>
  <c r="N1066" i="21"/>
  <c r="C1071" i="21"/>
  <c r="D1071" i="21"/>
  <c r="E1071" i="21"/>
  <c r="F1071" i="21"/>
  <c r="G1071" i="21"/>
  <c r="H1071" i="21"/>
  <c r="I1071" i="21"/>
  <c r="J1071" i="21"/>
  <c r="K1071" i="21"/>
  <c r="L1071" i="21"/>
  <c r="M1071" i="21"/>
  <c r="N1071" i="21"/>
  <c r="C1079" i="21"/>
  <c r="D1079" i="21"/>
  <c r="E1079" i="21"/>
  <c r="F1079" i="21"/>
  <c r="G1079" i="21"/>
  <c r="H1079" i="21"/>
  <c r="I1079" i="21"/>
  <c r="J1079" i="21"/>
  <c r="K1079" i="21"/>
  <c r="L1079" i="21"/>
  <c r="M1079" i="21"/>
  <c r="N1079" i="21"/>
  <c r="C1088" i="21"/>
  <c r="D1088" i="21"/>
  <c r="E1088" i="21"/>
  <c r="F1088" i="21"/>
  <c r="G1088" i="21"/>
  <c r="H1088" i="21"/>
  <c r="I1088" i="21"/>
  <c r="J1088" i="21"/>
  <c r="K1088" i="21"/>
  <c r="L1088" i="21"/>
  <c r="M1088" i="21"/>
  <c r="N1088" i="21"/>
  <c r="C1120" i="21"/>
  <c r="D1120" i="21"/>
  <c r="E1120" i="21"/>
  <c r="F1120" i="21"/>
  <c r="G1120" i="21"/>
  <c r="H1120" i="21"/>
  <c r="I1120" i="21"/>
  <c r="J1120" i="21"/>
  <c r="K1120" i="21"/>
  <c r="L1120" i="21"/>
  <c r="M1120" i="21"/>
  <c r="N1120" i="21"/>
  <c r="C1138" i="21"/>
  <c r="D1138" i="21"/>
  <c r="E1138" i="21"/>
  <c r="F1138" i="21"/>
  <c r="G1138" i="21"/>
  <c r="H1138" i="21"/>
  <c r="I1138" i="21"/>
  <c r="J1138" i="21"/>
  <c r="K1138" i="21"/>
  <c r="L1138" i="21"/>
  <c r="M1138" i="21"/>
  <c r="N1138" i="21"/>
  <c r="C1152" i="21"/>
  <c r="D1152" i="21"/>
  <c r="E1152" i="21"/>
  <c r="F1152" i="21"/>
  <c r="G1152" i="21"/>
  <c r="H1152" i="21"/>
  <c r="I1152" i="21"/>
  <c r="J1152" i="21"/>
  <c r="K1152" i="21"/>
  <c r="L1152" i="21"/>
  <c r="M1152" i="21"/>
  <c r="N1152" i="21"/>
  <c r="C1160" i="21"/>
  <c r="D1160" i="21"/>
  <c r="E1160" i="21"/>
  <c r="F1160" i="21"/>
  <c r="G1160" i="21"/>
  <c r="H1160" i="21"/>
  <c r="I1160" i="21"/>
  <c r="J1160" i="21"/>
  <c r="K1160" i="21"/>
  <c r="L1160" i="21"/>
  <c r="M1160" i="21"/>
  <c r="N1160" i="21"/>
  <c r="C1184" i="21"/>
  <c r="D1184" i="21"/>
  <c r="E1184" i="21"/>
  <c r="F1184" i="21"/>
  <c r="G1184" i="21"/>
  <c r="H1184" i="21"/>
  <c r="I1184" i="21"/>
  <c r="J1184" i="21"/>
  <c r="K1184" i="21"/>
  <c r="L1184" i="21"/>
  <c r="M1184" i="21"/>
  <c r="N1184" i="21"/>
  <c r="C1201" i="21"/>
  <c r="D1201" i="21"/>
  <c r="E1201" i="21"/>
  <c r="F1201" i="21"/>
  <c r="G1201" i="21"/>
  <c r="H1201" i="21"/>
  <c r="I1201" i="21"/>
  <c r="J1201" i="21"/>
  <c r="K1201" i="21"/>
  <c r="L1201" i="21"/>
  <c r="M1201" i="21"/>
  <c r="N1201" i="21"/>
  <c r="C1221" i="21"/>
  <c r="D1221" i="21"/>
  <c r="E1221" i="21"/>
  <c r="F1221" i="21"/>
  <c r="G1221" i="21"/>
  <c r="H1221" i="21"/>
  <c r="I1221" i="21"/>
  <c r="J1221" i="21"/>
  <c r="K1221" i="21"/>
  <c r="L1221" i="21"/>
  <c r="M1221" i="21"/>
  <c r="N1221" i="21"/>
  <c r="C1234" i="21"/>
  <c r="D1234" i="21"/>
  <c r="E1234" i="21"/>
  <c r="F1234" i="21"/>
  <c r="G1234" i="21"/>
  <c r="H1234" i="21"/>
  <c r="I1234" i="21"/>
  <c r="J1234" i="21"/>
  <c r="K1234" i="21"/>
  <c r="L1234" i="21"/>
  <c r="M1234" i="21"/>
  <c r="N1234" i="21"/>
  <c r="C1242" i="21"/>
  <c r="D1242" i="21"/>
  <c r="E1242" i="21"/>
  <c r="F1242" i="21"/>
  <c r="G1242" i="21"/>
  <c r="H1242" i="21"/>
  <c r="I1242" i="21"/>
  <c r="J1242" i="21"/>
  <c r="K1242" i="21"/>
  <c r="L1242" i="21"/>
  <c r="M1242" i="21"/>
  <c r="N1242" i="21"/>
  <c r="C1259" i="21"/>
  <c r="D1259" i="21"/>
  <c r="E1259" i="21"/>
  <c r="F1259" i="21"/>
  <c r="G1259" i="21"/>
  <c r="H1259" i="21"/>
  <c r="I1259" i="21"/>
  <c r="J1259" i="21"/>
  <c r="K1259" i="21"/>
  <c r="L1259" i="21"/>
  <c r="M1259" i="21"/>
  <c r="N1259" i="21"/>
  <c r="C1286" i="21"/>
  <c r="D1286" i="21"/>
  <c r="E1286" i="21"/>
  <c r="F1286" i="21"/>
  <c r="G1286" i="21"/>
  <c r="H1286" i="21"/>
  <c r="I1286" i="21"/>
  <c r="J1286" i="21"/>
  <c r="K1286" i="21"/>
  <c r="L1286" i="21"/>
  <c r="M1286" i="21"/>
  <c r="N1286" i="21"/>
  <c r="C1298" i="21"/>
  <c r="D1298" i="21"/>
  <c r="E1298" i="21"/>
  <c r="F1298" i="21"/>
  <c r="G1298" i="21"/>
  <c r="H1298" i="21"/>
  <c r="I1298" i="21"/>
  <c r="J1298" i="21"/>
  <c r="K1298" i="21"/>
  <c r="L1298" i="21"/>
  <c r="M1298" i="21"/>
  <c r="N1298" i="21"/>
  <c r="C1314" i="21"/>
  <c r="D1314" i="21"/>
  <c r="E1314" i="21"/>
  <c r="F1314" i="21"/>
  <c r="G1314" i="21"/>
  <c r="H1314" i="21"/>
  <c r="I1314" i="21"/>
  <c r="J1314" i="21"/>
  <c r="K1314" i="21"/>
  <c r="L1314" i="21"/>
  <c r="M1314" i="21"/>
  <c r="N1314" i="21"/>
  <c r="C1331" i="21"/>
  <c r="D1331" i="21"/>
  <c r="E1331" i="21"/>
  <c r="F1331" i="21"/>
  <c r="G1331" i="21"/>
  <c r="H1331" i="21"/>
  <c r="I1331" i="21"/>
  <c r="J1331" i="21"/>
  <c r="K1331" i="21"/>
  <c r="L1331" i="21"/>
  <c r="M1331" i="21"/>
  <c r="N1331" i="21"/>
  <c r="C1340" i="21"/>
  <c r="D1340" i="21"/>
  <c r="E1340" i="21"/>
  <c r="F1340" i="21"/>
  <c r="G1340" i="21"/>
  <c r="H1340" i="21"/>
  <c r="I1340" i="21"/>
  <c r="J1340" i="21"/>
  <c r="K1340" i="21"/>
  <c r="L1340" i="21"/>
  <c r="M1340" i="21"/>
  <c r="N1340" i="21"/>
  <c r="C1358" i="21"/>
  <c r="D1358" i="21"/>
  <c r="E1358" i="21"/>
  <c r="F1358" i="21"/>
  <c r="G1358" i="21"/>
  <c r="H1358" i="21"/>
  <c r="I1358" i="21"/>
  <c r="J1358" i="21"/>
  <c r="K1358" i="21"/>
  <c r="L1358" i="21"/>
  <c r="M1358" i="21"/>
  <c r="N1358" i="21"/>
  <c r="C1376" i="21"/>
  <c r="D1376" i="21"/>
  <c r="E1376" i="21"/>
  <c r="F1376" i="21"/>
  <c r="G1376" i="21"/>
  <c r="H1376" i="21"/>
  <c r="I1376" i="21"/>
  <c r="J1376" i="21"/>
  <c r="K1376" i="21"/>
  <c r="L1376" i="21"/>
  <c r="M1376" i="21"/>
  <c r="N1376" i="21"/>
  <c r="C1380" i="21"/>
  <c r="D1380" i="21"/>
  <c r="E1380" i="21"/>
  <c r="F1380" i="21"/>
  <c r="G1380" i="21"/>
  <c r="H1380" i="21"/>
  <c r="I1380" i="21"/>
  <c r="J1380" i="21"/>
  <c r="K1380" i="21"/>
  <c r="L1380" i="21"/>
  <c r="M1380" i="21"/>
  <c r="N1380" i="21"/>
  <c r="C1384" i="21"/>
  <c r="D1384" i="21"/>
  <c r="E1384" i="21"/>
  <c r="F1384" i="21"/>
  <c r="G1384" i="21"/>
  <c r="H1384" i="21"/>
  <c r="I1384" i="21"/>
  <c r="J1384" i="21"/>
  <c r="K1384" i="21"/>
  <c r="L1384" i="21"/>
  <c r="M1384" i="21"/>
  <c r="N1384" i="21"/>
  <c r="C1389" i="21"/>
  <c r="D1389" i="21"/>
  <c r="E1389" i="21"/>
  <c r="F1389" i="21"/>
  <c r="G1389" i="21"/>
  <c r="H1389" i="21"/>
  <c r="I1389" i="21"/>
  <c r="J1389" i="21"/>
  <c r="K1389" i="21"/>
  <c r="L1389" i="21"/>
  <c r="M1389" i="21"/>
  <c r="N1389" i="21"/>
  <c r="C1394" i="21"/>
  <c r="D1394" i="21"/>
  <c r="E1394" i="21"/>
  <c r="F1394" i="21"/>
  <c r="G1394" i="21"/>
  <c r="H1394" i="21"/>
  <c r="I1394" i="21"/>
  <c r="J1394" i="21"/>
  <c r="K1394" i="21"/>
  <c r="L1394" i="21"/>
  <c r="M1394" i="21"/>
  <c r="N1394" i="21"/>
  <c r="C1408" i="21"/>
  <c r="D1408" i="21"/>
  <c r="E1408" i="21"/>
  <c r="F1408" i="21"/>
  <c r="G1408" i="21"/>
  <c r="H1408" i="21"/>
  <c r="I1408" i="21"/>
  <c r="J1408" i="21"/>
  <c r="K1408" i="21"/>
  <c r="L1408" i="21"/>
  <c r="M1408" i="21"/>
  <c r="N1408" i="21"/>
  <c r="C1424" i="21"/>
  <c r="D1424" i="21"/>
  <c r="E1424" i="21"/>
  <c r="F1424" i="21"/>
  <c r="G1424" i="21"/>
  <c r="H1424" i="21"/>
  <c r="I1424" i="21"/>
  <c r="J1424" i="21"/>
  <c r="K1424" i="21"/>
  <c r="L1424" i="21"/>
  <c r="M1424" i="21"/>
  <c r="N1424" i="21"/>
  <c r="C1441" i="21"/>
  <c r="D1441" i="21"/>
  <c r="E1441" i="21"/>
  <c r="F1441" i="21"/>
  <c r="G1441" i="21"/>
  <c r="H1441" i="21"/>
  <c r="I1441" i="21"/>
  <c r="J1441" i="21"/>
  <c r="K1441" i="21"/>
  <c r="L1441" i="21"/>
  <c r="M1441" i="21"/>
  <c r="N1441" i="21"/>
  <c r="C1466" i="21"/>
  <c r="D1466" i="21"/>
  <c r="E1466" i="21"/>
  <c r="F1466" i="21"/>
  <c r="G1466" i="21"/>
  <c r="H1466" i="21"/>
  <c r="I1466" i="21"/>
  <c r="J1466" i="21"/>
  <c r="K1466" i="21"/>
  <c r="L1466" i="21"/>
  <c r="M1466" i="21"/>
  <c r="N1466" i="21"/>
  <c r="C1485" i="21"/>
  <c r="D1485" i="21"/>
  <c r="E1485" i="21"/>
  <c r="F1485" i="21"/>
  <c r="G1485" i="21"/>
  <c r="H1485" i="21"/>
  <c r="I1485" i="21"/>
  <c r="J1485" i="21"/>
  <c r="K1485" i="21"/>
  <c r="L1485" i="21"/>
  <c r="M1485" i="21"/>
  <c r="N1485" i="21"/>
  <c r="C1502" i="21"/>
  <c r="D1502" i="21"/>
  <c r="E1502" i="21"/>
  <c r="F1502" i="21"/>
  <c r="G1502" i="21"/>
  <c r="H1502" i="21"/>
  <c r="I1502" i="21"/>
  <c r="J1502" i="21"/>
  <c r="K1502" i="21"/>
  <c r="L1502" i="21"/>
  <c r="M1502" i="21"/>
  <c r="N1502" i="21"/>
  <c r="C1524" i="21"/>
  <c r="D1524" i="21"/>
  <c r="E1524" i="21"/>
  <c r="F1524" i="21"/>
  <c r="G1524" i="21"/>
  <c r="H1524" i="21"/>
  <c r="I1524" i="21"/>
  <c r="J1524" i="21"/>
  <c r="K1524" i="21"/>
  <c r="L1524" i="21"/>
  <c r="M1524" i="21"/>
  <c r="N1524" i="21"/>
  <c r="C1533" i="21"/>
  <c r="D1533" i="21"/>
  <c r="E1533" i="21"/>
  <c r="F1533" i="21"/>
  <c r="G1533" i="21"/>
  <c r="H1533" i="21"/>
  <c r="I1533" i="21"/>
  <c r="J1533" i="21"/>
  <c r="K1533" i="21"/>
  <c r="L1533" i="21"/>
  <c r="M1533" i="21"/>
  <c r="N1533" i="21"/>
  <c r="C1563" i="21"/>
  <c r="D1563" i="21"/>
  <c r="E1563" i="21"/>
  <c r="F1563" i="21"/>
  <c r="G1563" i="21"/>
  <c r="H1563" i="21"/>
  <c r="I1563" i="21"/>
  <c r="J1563" i="21"/>
  <c r="K1563" i="21"/>
  <c r="L1563" i="21"/>
  <c r="M1563" i="21"/>
  <c r="N1563" i="21"/>
  <c r="C1589" i="21"/>
  <c r="D1589" i="21"/>
  <c r="E1589" i="21"/>
  <c r="F1589" i="21"/>
  <c r="G1589" i="21"/>
  <c r="H1589" i="21"/>
  <c r="I1589" i="21"/>
  <c r="J1589" i="21"/>
  <c r="K1589" i="21"/>
  <c r="L1589" i="21"/>
  <c r="M1589" i="21"/>
  <c r="N1589" i="21"/>
  <c r="C1600" i="21"/>
  <c r="D1600" i="21"/>
  <c r="E1600" i="21"/>
  <c r="F1600" i="21"/>
  <c r="G1600" i="21"/>
  <c r="H1600" i="21"/>
  <c r="I1600" i="21"/>
  <c r="J1600" i="21"/>
  <c r="K1600" i="21"/>
  <c r="L1600" i="21"/>
  <c r="M1600" i="21"/>
  <c r="N1600" i="21"/>
  <c r="C1610" i="21"/>
  <c r="D1610" i="21"/>
  <c r="E1610" i="21"/>
  <c r="F1610" i="21"/>
  <c r="G1610" i="21"/>
  <c r="H1610" i="21"/>
  <c r="I1610" i="21"/>
  <c r="J1610" i="21"/>
  <c r="K1610" i="21"/>
  <c r="L1610" i="21"/>
  <c r="M1610" i="21"/>
  <c r="N1610" i="21"/>
  <c r="C1620" i="21"/>
  <c r="D1620" i="21"/>
  <c r="E1620" i="21"/>
  <c r="F1620" i="21"/>
  <c r="G1620" i="21"/>
  <c r="H1620" i="21"/>
  <c r="I1620" i="21"/>
  <c r="J1620" i="21"/>
  <c r="K1620" i="21"/>
  <c r="L1620" i="21"/>
  <c r="M1620" i="21"/>
  <c r="N1620" i="21"/>
  <c r="C1634" i="21"/>
  <c r="D1634" i="21"/>
  <c r="E1634" i="21"/>
  <c r="F1634" i="21"/>
  <c r="G1634" i="21"/>
  <c r="H1634" i="21"/>
  <c r="I1634" i="21"/>
  <c r="J1634" i="21"/>
  <c r="K1634" i="21"/>
  <c r="L1634" i="21"/>
  <c r="M1634" i="21"/>
  <c r="N1634" i="21"/>
  <c r="C1648" i="21"/>
  <c r="D1648" i="21"/>
  <c r="E1648" i="21"/>
  <c r="F1648" i="21"/>
  <c r="G1648" i="21"/>
  <c r="H1648" i="21"/>
  <c r="I1648" i="21"/>
  <c r="J1648" i="21"/>
  <c r="K1648" i="21"/>
  <c r="L1648" i="21"/>
  <c r="M1648" i="21"/>
  <c r="N1648" i="21"/>
  <c r="C1665" i="21"/>
  <c r="D1665" i="21"/>
  <c r="E1665" i="21"/>
  <c r="F1665" i="21"/>
  <c r="G1665" i="21"/>
  <c r="H1665" i="21"/>
  <c r="I1665" i="21"/>
  <c r="J1665" i="21"/>
  <c r="K1665" i="21"/>
  <c r="L1665" i="21"/>
  <c r="M1665" i="21"/>
  <c r="N1665" i="21"/>
  <c r="C1678" i="21"/>
  <c r="D1678" i="21"/>
  <c r="E1678" i="21"/>
  <c r="F1678" i="21"/>
  <c r="G1678" i="21"/>
  <c r="H1678" i="21"/>
  <c r="I1678" i="21"/>
  <c r="J1678" i="21"/>
  <c r="K1678" i="21"/>
  <c r="L1678" i="21"/>
  <c r="M1678" i="21"/>
  <c r="N1678" i="21"/>
  <c r="C1688" i="21"/>
  <c r="D1688" i="21"/>
  <c r="E1688" i="21"/>
  <c r="F1688" i="21"/>
  <c r="G1688" i="21"/>
  <c r="H1688" i="21"/>
  <c r="I1688" i="21"/>
  <c r="J1688" i="21"/>
  <c r="K1688" i="21"/>
  <c r="L1688" i="21"/>
  <c r="M1688" i="21"/>
  <c r="N1688" i="21"/>
  <c r="C1699" i="21"/>
  <c r="D1699" i="21"/>
  <c r="E1699" i="21"/>
  <c r="F1699" i="21"/>
  <c r="G1699" i="21"/>
  <c r="H1699" i="21"/>
  <c r="I1699" i="21"/>
  <c r="J1699" i="21"/>
  <c r="K1699" i="21"/>
  <c r="L1699" i="21"/>
  <c r="M1699" i="21"/>
  <c r="N1699" i="21"/>
  <c r="C1712" i="21"/>
  <c r="D1712" i="21"/>
  <c r="E1712" i="21"/>
  <c r="F1712" i="21"/>
  <c r="G1712" i="21"/>
  <c r="H1712" i="21"/>
  <c r="I1712" i="21"/>
  <c r="J1712" i="21"/>
  <c r="K1712" i="21"/>
  <c r="L1712" i="21"/>
  <c r="M1712" i="21"/>
  <c r="N1712" i="21"/>
  <c r="C1740" i="21"/>
  <c r="D1740" i="21"/>
  <c r="E1740" i="21"/>
  <c r="F1740" i="21"/>
  <c r="G1740" i="21"/>
  <c r="H1740" i="21"/>
  <c r="I1740" i="21"/>
  <c r="J1740" i="21"/>
  <c r="K1740" i="21"/>
  <c r="L1740" i="21"/>
  <c r="M1740" i="21"/>
  <c r="N1740" i="21"/>
  <c r="C1752" i="21"/>
  <c r="D1752" i="21"/>
  <c r="E1752" i="21"/>
  <c r="F1752" i="21"/>
  <c r="G1752" i="21"/>
  <c r="H1752" i="21"/>
  <c r="I1752" i="21"/>
  <c r="J1752" i="21"/>
  <c r="K1752" i="21"/>
  <c r="L1752" i="21"/>
  <c r="M1752" i="21"/>
  <c r="N1752" i="21"/>
  <c r="C1757" i="21"/>
  <c r="D1757" i="21"/>
  <c r="E1757" i="21"/>
  <c r="F1757" i="21"/>
  <c r="G1757" i="21"/>
  <c r="H1757" i="21"/>
  <c r="I1757" i="21"/>
  <c r="J1757" i="21"/>
  <c r="K1757" i="21"/>
  <c r="L1757" i="21"/>
  <c r="M1757" i="21"/>
  <c r="N1757" i="21"/>
  <c r="C1773" i="21"/>
  <c r="D1773" i="21"/>
  <c r="E1773" i="21"/>
  <c r="F1773" i="21"/>
  <c r="G1773" i="21"/>
  <c r="H1773" i="21"/>
  <c r="I1773" i="21"/>
  <c r="J1773" i="21"/>
  <c r="K1773" i="21"/>
  <c r="L1773" i="21"/>
  <c r="M1773" i="21"/>
  <c r="N1773" i="21"/>
  <c r="C1781" i="21"/>
  <c r="D1781" i="21"/>
  <c r="E1781" i="21"/>
  <c r="F1781" i="21"/>
  <c r="G1781" i="21"/>
  <c r="H1781" i="21"/>
  <c r="I1781" i="21"/>
  <c r="J1781" i="21"/>
  <c r="K1781" i="21"/>
  <c r="L1781" i="21"/>
  <c r="M1781" i="21"/>
  <c r="N1781" i="21"/>
  <c r="C1790" i="21"/>
  <c r="D1790" i="21"/>
  <c r="E1790" i="21"/>
  <c r="F1790" i="21"/>
  <c r="G1790" i="21"/>
  <c r="H1790" i="21"/>
  <c r="I1790" i="21"/>
  <c r="J1790" i="21"/>
  <c r="K1790" i="21"/>
  <c r="L1790" i="21"/>
  <c r="M1790" i="21"/>
  <c r="N1790" i="21"/>
  <c r="C1815" i="21"/>
  <c r="D1815" i="21"/>
  <c r="E1815" i="21"/>
  <c r="F1815" i="21"/>
  <c r="G1815" i="21"/>
  <c r="H1815" i="21"/>
  <c r="I1815" i="21"/>
  <c r="J1815" i="21"/>
  <c r="K1815" i="21"/>
  <c r="L1815" i="21"/>
  <c r="M1815" i="21"/>
  <c r="N1815" i="21"/>
  <c r="C1823" i="21"/>
  <c r="D1823" i="21"/>
  <c r="E1823" i="21"/>
  <c r="F1823" i="21"/>
  <c r="G1823" i="21"/>
  <c r="H1823" i="21"/>
  <c r="I1823" i="21"/>
  <c r="J1823" i="21"/>
  <c r="K1823" i="21"/>
  <c r="L1823" i="21"/>
  <c r="M1823" i="21"/>
  <c r="N1823" i="21"/>
  <c r="C1841" i="21"/>
  <c r="D1841" i="21"/>
  <c r="E1841" i="21"/>
  <c r="F1841" i="21"/>
  <c r="G1841" i="21"/>
  <c r="H1841" i="21"/>
  <c r="I1841" i="21"/>
  <c r="J1841" i="21"/>
  <c r="K1841" i="21"/>
  <c r="L1841" i="21"/>
  <c r="M1841" i="21"/>
  <c r="N1841" i="21"/>
  <c r="C1859" i="21"/>
  <c r="D1859" i="21"/>
  <c r="E1859" i="21"/>
  <c r="F1859" i="21"/>
  <c r="G1859" i="21"/>
  <c r="H1859" i="21"/>
  <c r="I1859" i="21"/>
  <c r="J1859" i="21"/>
  <c r="K1859" i="21"/>
  <c r="L1859" i="21"/>
  <c r="M1859" i="21"/>
  <c r="N1859" i="21"/>
  <c r="C1984" i="21"/>
  <c r="D1984" i="21"/>
  <c r="E1984" i="21"/>
  <c r="F1984" i="21"/>
  <c r="G1984" i="21"/>
  <c r="H1984" i="21"/>
  <c r="I1984" i="21"/>
  <c r="J1984" i="21"/>
  <c r="K1984" i="21"/>
  <c r="L1984" i="21"/>
  <c r="M1984" i="21"/>
  <c r="N1984" i="21"/>
  <c r="N199" i="22" l="1"/>
  <c r="N348" i="22"/>
  <c r="N233" i="22"/>
  <c r="N311" i="22"/>
  <c r="N382" i="22"/>
  <c r="N35" i="22"/>
  <c r="N327" i="22"/>
  <c r="N96" i="22"/>
  <c r="N153" i="22"/>
  <c r="J167" i="22"/>
  <c r="N163" i="22"/>
  <c r="N167" i="22" s="1"/>
  <c r="J82" i="22"/>
  <c r="N116" i="22"/>
  <c r="N368" i="22"/>
  <c r="N364" i="22"/>
  <c r="N82" i="22"/>
  <c r="N160" i="22"/>
  <c r="J133" i="22"/>
  <c r="N123" i="22"/>
  <c r="N133" i="22" s="1"/>
  <c r="J96" i="22"/>
  <c r="J153" i="22"/>
  <c r="I557" i="20"/>
  <c r="C26" i="20" l="1"/>
  <c r="D26" i="20"/>
  <c r="E26" i="20"/>
  <c r="F26" i="20"/>
  <c r="G26" i="20"/>
  <c r="H26" i="20"/>
  <c r="I26" i="20"/>
  <c r="J26" i="20"/>
  <c r="K26" i="20"/>
  <c r="L26" i="20"/>
  <c r="M26" i="20"/>
  <c r="N26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C71" i="20"/>
  <c r="D71" i="20"/>
  <c r="E71" i="20"/>
  <c r="F71" i="20"/>
  <c r="G71" i="20"/>
  <c r="H71" i="20"/>
  <c r="I71" i="20"/>
  <c r="J71" i="20"/>
  <c r="K71" i="20"/>
  <c r="L71" i="20"/>
  <c r="M71" i="20"/>
  <c r="N71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C93" i="20"/>
  <c r="D93" i="20"/>
  <c r="E93" i="20"/>
  <c r="F93" i="20"/>
  <c r="G93" i="20"/>
  <c r="H93" i="20"/>
  <c r="I93" i="20"/>
  <c r="J93" i="20"/>
  <c r="K93" i="20"/>
  <c r="L93" i="20"/>
  <c r="M93" i="20"/>
  <c r="N93" i="20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50" i="20"/>
  <c r="D150" i="20"/>
  <c r="E150" i="20"/>
  <c r="F150" i="20"/>
  <c r="G150" i="20"/>
  <c r="H150" i="20"/>
  <c r="I150" i="20"/>
  <c r="J150" i="20"/>
  <c r="K150" i="20"/>
  <c r="L150" i="20"/>
  <c r="M150" i="20"/>
  <c r="N150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21" i="20"/>
  <c r="D421" i="20"/>
  <c r="E421" i="20"/>
  <c r="F421" i="20"/>
  <c r="G421" i="20"/>
  <c r="H421" i="20"/>
  <c r="I421" i="20"/>
  <c r="J421" i="20"/>
  <c r="K421" i="20"/>
  <c r="L421" i="20"/>
  <c r="M421" i="20"/>
  <c r="N421" i="20"/>
  <c r="C444" i="20"/>
  <c r="D444" i="20"/>
  <c r="E444" i="20"/>
  <c r="F444" i="20"/>
  <c r="G444" i="20"/>
  <c r="H444" i="20"/>
  <c r="I444" i="20"/>
  <c r="J444" i="20"/>
  <c r="K444" i="20"/>
  <c r="L444" i="20"/>
  <c r="M444" i="20"/>
  <c r="N444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510" i="20"/>
  <c r="D510" i="20"/>
  <c r="E510" i="20"/>
  <c r="F510" i="20"/>
  <c r="G510" i="20"/>
  <c r="H510" i="20"/>
  <c r="I510" i="20"/>
  <c r="J510" i="20"/>
  <c r="K510" i="20"/>
  <c r="L510" i="20"/>
  <c r="M510" i="20"/>
  <c r="N510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57" i="20"/>
  <c r="D557" i="20"/>
  <c r="E557" i="20"/>
  <c r="F557" i="20"/>
  <c r="G557" i="20"/>
  <c r="H557" i="20"/>
  <c r="J557" i="20"/>
  <c r="K557" i="20"/>
  <c r="L557" i="20"/>
  <c r="M557" i="20"/>
  <c r="N557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8" i="20"/>
  <c r="D598" i="20"/>
  <c r="E598" i="20"/>
  <c r="F598" i="20"/>
  <c r="G598" i="20"/>
  <c r="H598" i="20"/>
  <c r="I598" i="20"/>
  <c r="J598" i="20"/>
  <c r="K598" i="20"/>
  <c r="L598" i="20"/>
  <c r="M598" i="20"/>
  <c r="N598" i="20"/>
  <c r="C607" i="20"/>
  <c r="D607" i="20"/>
  <c r="E607" i="20"/>
  <c r="F607" i="20"/>
  <c r="G607" i="20"/>
  <c r="H607" i="20"/>
  <c r="I607" i="20"/>
  <c r="J607" i="20"/>
  <c r="K607" i="20"/>
  <c r="L607" i="20"/>
  <c r="M607" i="20"/>
  <c r="N607" i="20"/>
  <c r="C620" i="20"/>
  <c r="D620" i="20"/>
  <c r="E620" i="20"/>
  <c r="F620" i="20"/>
  <c r="G620" i="20"/>
  <c r="H620" i="20"/>
  <c r="I620" i="20"/>
  <c r="J620" i="20"/>
  <c r="K620" i="20"/>
  <c r="L620" i="20"/>
  <c r="M620" i="20"/>
  <c r="N620" i="20"/>
  <c r="C624" i="20"/>
  <c r="D624" i="20"/>
  <c r="E624" i="20"/>
  <c r="F624" i="20"/>
  <c r="G624" i="20"/>
  <c r="H624" i="20"/>
  <c r="I624" i="20"/>
  <c r="J624" i="20"/>
  <c r="K624" i="20"/>
  <c r="L624" i="20"/>
  <c r="M624" i="20"/>
  <c r="N624" i="20"/>
  <c r="C629" i="20"/>
  <c r="D629" i="20"/>
  <c r="E629" i="20"/>
  <c r="F629" i="20"/>
  <c r="G629" i="20"/>
  <c r="H629" i="20"/>
  <c r="I629" i="20"/>
  <c r="J629" i="20"/>
  <c r="K629" i="20"/>
  <c r="L629" i="20"/>
  <c r="M629" i="20"/>
  <c r="N629" i="20"/>
  <c r="C641" i="20"/>
  <c r="D641" i="20"/>
  <c r="E641" i="20"/>
  <c r="F641" i="20"/>
  <c r="G641" i="20"/>
  <c r="H641" i="20"/>
  <c r="I641" i="20"/>
  <c r="J641" i="20"/>
  <c r="K641" i="20"/>
  <c r="L641" i="20"/>
  <c r="M641" i="20"/>
  <c r="N641" i="20"/>
  <c r="C654" i="20"/>
  <c r="D654" i="20"/>
  <c r="E654" i="20"/>
  <c r="F654" i="20"/>
  <c r="G654" i="20"/>
  <c r="H654" i="20"/>
  <c r="I654" i="20"/>
  <c r="J654" i="20"/>
  <c r="K654" i="20"/>
  <c r="L654" i="20"/>
  <c r="M654" i="20"/>
  <c r="N654" i="20"/>
  <c r="C676" i="20"/>
  <c r="D676" i="20"/>
  <c r="E676" i="20"/>
  <c r="F676" i="20"/>
  <c r="G676" i="20"/>
  <c r="H676" i="20"/>
  <c r="I676" i="20"/>
  <c r="J676" i="20"/>
  <c r="K676" i="20"/>
  <c r="L676" i="20"/>
  <c r="M676" i="20"/>
  <c r="N676" i="20"/>
  <c r="C687" i="20"/>
  <c r="D687" i="20"/>
  <c r="E687" i="20"/>
  <c r="F687" i="20"/>
  <c r="G687" i="20"/>
  <c r="H687" i="20"/>
  <c r="I687" i="20"/>
  <c r="J687" i="20"/>
  <c r="K687" i="20"/>
  <c r="L687" i="20"/>
  <c r="M687" i="20"/>
  <c r="N687" i="20"/>
  <c r="C697" i="20"/>
  <c r="D697" i="20"/>
  <c r="E697" i="20"/>
  <c r="F697" i="20"/>
  <c r="G697" i="20"/>
  <c r="H697" i="20"/>
  <c r="I697" i="20"/>
  <c r="J697" i="20"/>
  <c r="K697" i="20"/>
  <c r="L697" i="20"/>
  <c r="M697" i="20"/>
  <c r="N697" i="20"/>
  <c r="C720" i="20"/>
  <c r="D720" i="20"/>
  <c r="E720" i="20"/>
  <c r="F720" i="20"/>
  <c r="G720" i="20"/>
  <c r="H720" i="20"/>
  <c r="I720" i="20"/>
  <c r="J720" i="20"/>
  <c r="K720" i="20"/>
  <c r="L720" i="20"/>
  <c r="M720" i="20"/>
  <c r="N720" i="20"/>
  <c r="C728" i="20"/>
  <c r="D728" i="20"/>
  <c r="E728" i="20"/>
  <c r="F728" i="20"/>
  <c r="G728" i="20"/>
  <c r="H728" i="20"/>
  <c r="I728" i="20"/>
  <c r="J728" i="20"/>
  <c r="K728" i="20"/>
  <c r="L728" i="20"/>
  <c r="M728" i="20"/>
  <c r="N728" i="20"/>
  <c r="C736" i="20"/>
  <c r="D736" i="20"/>
  <c r="E736" i="20"/>
  <c r="F736" i="20"/>
  <c r="G736" i="20"/>
  <c r="H736" i="20"/>
  <c r="I736" i="20"/>
  <c r="J736" i="20"/>
  <c r="K736" i="20"/>
  <c r="L736" i="20"/>
  <c r="M736" i="20"/>
  <c r="N736" i="20"/>
  <c r="C761" i="20"/>
  <c r="D761" i="20"/>
  <c r="E761" i="20"/>
  <c r="F761" i="20"/>
  <c r="G761" i="20"/>
  <c r="H761" i="20"/>
  <c r="I761" i="20"/>
  <c r="J761" i="20"/>
  <c r="K761" i="20"/>
  <c r="L761" i="20"/>
  <c r="M761" i="20"/>
  <c r="N761" i="20"/>
  <c r="C775" i="20"/>
  <c r="D775" i="20"/>
  <c r="E775" i="20"/>
  <c r="F775" i="20"/>
  <c r="G775" i="20"/>
  <c r="H775" i="20"/>
  <c r="I775" i="20"/>
  <c r="J775" i="20"/>
  <c r="K775" i="20"/>
  <c r="L775" i="20"/>
  <c r="M775" i="20"/>
  <c r="N775" i="20"/>
  <c r="C790" i="20"/>
  <c r="D790" i="20"/>
  <c r="E790" i="20"/>
  <c r="F790" i="20"/>
  <c r="G790" i="20"/>
  <c r="H790" i="20"/>
  <c r="I790" i="20"/>
  <c r="J790" i="20"/>
  <c r="K790" i="20"/>
  <c r="L790" i="20"/>
  <c r="M790" i="20"/>
  <c r="N790" i="20"/>
  <c r="C799" i="20"/>
  <c r="D799" i="20"/>
  <c r="E799" i="20"/>
  <c r="F799" i="20"/>
  <c r="G799" i="20"/>
  <c r="H799" i="20"/>
  <c r="I799" i="20"/>
  <c r="J799" i="20"/>
  <c r="K799" i="20"/>
  <c r="L799" i="20"/>
  <c r="M799" i="20"/>
  <c r="N799" i="20"/>
  <c r="C818" i="20"/>
  <c r="D818" i="20"/>
  <c r="E818" i="20"/>
  <c r="F818" i="20"/>
  <c r="G818" i="20"/>
  <c r="H818" i="20"/>
  <c r="I818" i="20"/>
  <c r="J818" i="20"/>
  <c r="K818" i="20"/>
  <c r="L818" i="20"/>
  <c r="M818" i="20"/>
  <c r="N818" i="20"/>
  <c r="C829" i="20"/>
  <c r="D829" i="20"/>
  <c r="E829" i="20"/>
  <c r="F829" i="20"/>
  <c r="G829" i="20"/>
  <c r="H829" i="20"/>
  <c r="I829" i="20"/>
  <c r="J829" i="20"/>
  <c r="K829" i="20"/>
  <c r="L829" i="20"/>
  <c r="M829" i="20"/>
  <c r="N829" i="20"/>
  <c r="C835" i="20"/>
  <c r="D835" i="20"/>
  <c r="E835" i="20"/>
  <c r="F835" i="20"/>
  <c r="G835" i="20"/>
  <c r="H835" i="20"/>
  <c r="I835" i="20"/>
  <c r="J835" i="20"/>
  <c r="K835" i="20"/>
  <c r="L835" i="20"/>
  <c r="M835" i="20"/>
  <c r="N835" i="20"/>
  <c r="C856" i="20"/>
  <c r="D856" i="20"/>
  <c r="E856" i="20"/>
  <c r="F856" i="20"/>
  <c r="G856" i="20"/>
  <c r="H856" i="20"/>
  <c r="I856" i="20"/>
  <c r="J856" i="20"/>
  <c r="K856" i="20"/>
  <c r="L856" i="20"/>
  <c r="M856" i="20"/>
  <c r="N856" i="20"/>
  <c r="C867" i="20"/>
  <c r="D867" i="20"/>
  <c r="E867" i="20"/>
  <c r="F867" i="20"/>
  <c r="G867" i="20"/>
  <c r="H867" i="20"/>
  <c r="I867" i="20"/>
  <c r="J867" i="20"/>
  <c r="K867" i="20"/>
  <c r="L867" i="20"/>
  <c r="M867" i="20"/>
  <c r="N867" i="20"/>
  <c r="C874" i="20"/>
  <c r="D874" i="20"/>
  <c r="E874" i="20"/>
  <c r="F874" i="20"/>
  <c r="G874" i="20"/>
  <c r="H874" i="20"/>
  <c r="I874" i="20"/>
  <c r="J874" i="20"/>
  <c r="K874" i="20"/>
  <c r="L874" i="20"/>
  <c r="M874" i="20"/>
  <c r="N874" i="20"/>
  <c r="C887" i="20"/>
  <c r="D887" i="20"/>
  <c r="E887" i="20"/>
  <c r="F887" i="20"/>
  <c r="G887" i="20"/>
  <c r="H887" i="20"/>
  <c r="I887" i="20"/>
  <c r="J887" i="20"/>
  <c r="K887" i="20"/>
  <c r="L887" i="20"/>
  <c r="M887" i="20"/>
  <c r="N887" i="20"/>
  <c r="C898" i="20"/>
  <c r="D898" i="20"/>
  <c r="E898" i="20"/>
  <c r="F898" i="20"/>
  <c r="G898" i="20"/>
  <c r="H898" i="20"/>
  <c r="I898" i="20"/>
  <c r="J898" i="20"/>
  <c r="K898" i="20"/>
  <c r="L898" i="20"/>
  <c r="M898" i="20"/>
  <c r="N898" i="20"/>
  <c r="C905" i="20"/>
  <c r="D905" i="20"/>
  <c r="E905" i="20"/>
  <c r="F905" i="20"/>
  <c r="G905" i="20"/>
  <c r="H905" i="20"/>
  <c r="I905" i="20"/>
  <c r="J905" i="20"/>
  <c r="K905" i="20"/>
  <c r="L905" i="20"/>
  <c r="M905" i="20"/>
  <c r="N905" i="20"/>
  <c r="C911" i="20"/>
  <c r="D911" i="20"/>
  <c r="E911" i="20"/>
  <c r="F911" i="20"/>
  <c r="G911" i="20"/>
  <c r="H911" i="20"/>
  <c r="I911" i="20"/>
  <c r="J911" i="20"/>
  <c r="K911" i="20"/>
  <c r="L911" i="20"/>
  <c r="M911" i="20"/>
  <c r="N911" i="20"/>
  <c r="C932" i="20"/>
  <c r="D932" i="20"/>
  <c r="E932" i="20"/>
  <c r="F932" i="20"/>
  <c r="G932" i="20"/>
  <c r="H932" i="20"/>
  <c r="I932" i="20"/>
  <c r="J932" i="20"/>
  <c r="K932" i="20"/>
  <c r="L932" i="20"/>
  <c r="M932" i="20"/>
  <c r="N932" i="20"/>
  <c r="C945" i="20"/>
  <c r="D945" i="20"/>
  <c r="E945" i="20"/>
  <c r="F945" i="20"/>
  <c r="G945" i="20"/>
  <c r="H945" i="20"/>
  <c r="I945" i="20"/>
  <c r="J945" i="20"/>
  <c r="K945" i="20"/>
  <c r="L945" i="20"/>
  <c r="M945" i="20"/>
  <c r="N945" i="20"/>
  <c r="C967" i="20"/>
  <c r="D967" i="20"/>
  <c r="E967" i="20"/>
  <c r="F967" i="20"/>
  <c r="G967" i="20"/>
  <c r="H967" i="20"/>
  <c r="I967" i="20"/>
  <c r="J967" i="20"/>
  <c r="K967" i="20"/>
  <c r="L967" i="20"/>
  <c r="M967" i="20"/>
  <c r="N967" i="20"/>
  <c r="C974" i="20"/>
  <c r="D974" i="20"/>
  <c r="E974" i="20"/>
  <c r="F974" i="20"/>
  <c r="G974" i="20"/>
  <c r="H974" i="20"/>
  <c r="I974" i="20"/>
  <c r="J974" i="20"/>
  <c r="K974" i="20"/>
  <c r="L974" i="20"/>
  <c r="M974" i="20"/>
  <c r="N974" i="20"/>
  <c r="C1005" i="20"/>
  <c r="D1005" i="20"/>
  <c r="E1005" i="20"/>
  <c r="F1005" i="20"/>
  <c r="G1005" i="20"/>
  <c r="H1005" i="20"/>
  <c r="I1005" i="20"/>
  <c r="J1005" i="20"/>
  <c r="K1005" i="20"/>
  <c r="L1005" i="20"/>
  <c r="M1005" i="20"/>
  <c r="N1005" i="20"/>
  <c r="C1020" i="20"/>
  <c r="D1020" i="20"/>
  <c r="E1020" i="20"/>
  <c r="F1020" i="20"/>
  <c r="G1020" i="20"/>
  <c r="H1020" i="20"/>
  <c r="I1020" i="20"/>
  <c r="J1020" i="20"/>
  <c r="K1020" i="20"/>
  <c r="L1020" i="20"/>
  <c r="M1020" i="20"/>
  <c r="N1020" i="20"/>
  <c r="C1036" i="20"/>
  <c r="D1036" i="20"/>
  <c r="E1036" i="20"/>
  <c r="F1036" i="20"/>
  <c r="G1036" i="20"/>
  <c r="H1036" i="20"/>
  <c r="I1036" i="20"/>
  <c r="J1036" i="20"/>
  <c r="K1036" i="20"/>
  <c r="L1036" i="20"/>
  <c r="M1036" i="20"/>
  <c r="N1036" i="20"/>
  <c r="C1049" i="20"/>
  <c r="D1049" i="20"/>
  <c r="E1049" i="20"/>
  <c r="F1049" i="20"/>
  <c r="G1049" i="20"/>
  <c r="H1049" i="20"/>
  <c r="I1049" i="20"/>
  <c r="J1049" i="20"/>
  <c r="K1049" i="20"/>
  <c r="L1049" i="20"/>
  <c r="M1049" i="20"/>
  <c r="N1049" i="20"/>
  <c r="C1071" i="20"/>
  <c r="D1071" i="20"/>
  <c r="E1071" i="20"/>
  <c r="F1071" i="20"/>
  <c r="G1071" i="20"/>
  <c r="H1071" i="20"/>
  <c r="I1071" i="20"/>
  <c r="J1071" i="20"/>
  <c r="K1071" i="20"/>
  <c r="L1071" i="20"/>
  <c r="M1071" i="20"/>
  <c r="N1071" i="20"/>
  <c r="C1093" i="20"/>
  <c r="D1093" i="20"/>
  <c r="E1093" i="20"/>
  <c r="F1093" i="20"/>
  <c r="G1093" i="20"/>
  <c r="H1093" i="20"/>
  <c r="I1093" i="20"/>
  <c r="J1093" i="20"/>
  <c r="K1093" i="20"/>
  <c r="L1093" i="20"/>
  <c r="M1093" i="20"/>
  <c r="N1093" i="20"/>
  <c r="C1107" i="20"/>
  <c r="D1107" i="20"/>
  <c r="E1107" i="20"/>
  <c r="F1107" i="20"/>
  <c r="G1107" i="20"/>
  <c r="H1107" i="20"/>
  <c r="I1107" i="20"/>
  <c r="J1107" i="20"/>
  <c r="K1107" i="20"/>
  <c r="L1107" i="20"/>
  <c r="M1107" i="20"/>
  <c r="N1107" i="20"/>
  <c r="C1113" i="20"/>
  <c r="D1113" i="20"/>
  <c r="E1113" i="20"/>
  <c r="F1113" i="20"/>
  <c r="G1113" i="20"/>
  <c r="H1113" i="20"/>
  <c r="I1113" i="20"/>
  <c r="J1113" i="20"/>
  <c r="K1113" i="20"/>
  <c r="L1113" i="20"/>
  <c r="M1113" i="20"/>
  <c r="N1113" i="20"/>
  <c r="C1123" i="20"/>
  <c r="D1123" i="20"/>
  <c r="E1123" i="20"/>
  <c r="F1123" i="20"/>
  <c r="G1123" i="20"/>
  <c r="H1123" i="20"/>
  <c r="I1123" i="20"/>
  <c r="J1123" i="20"/>
  <c r="K1123" i="20"/>
  <c r="L1123" i="20"/>
  <c r="M1123" i="20"/>
  <c r="N1123" i="20"/>
  <c r="C1138" i="20"/>
  <c r="D1138" i="20"/>
  <c r="E1138" i="20"/>
  <c r="F1138" i="20"/>
  <c r="G1138" i="20"/>
  <c r="H1138" i="20"/>
  <c r="I1138" i="20"/>
  <c r="J1138" i="20"/>
  <c r="K1138" i="20"/>
  <c r="L1138" i="20"/>
  <c r="M1138" i="20"/>
  <c r="N1138" i="20"/>
  <c r="C1163" i="20"/>
  <c r="D1163" i="20"/>
  <c r="E1163" i="20"/>
  <c r="F1163" i="20"/>
  <c r="G1163" i="20"/>
  <c r="H1163" i="20"/>
  <c r="I1163" i="20"/>
  <c r="J1163" i="20"/>
  <c r="K1163" i="20"/>
  <c r="L1163" i="20"/>
  <c r="M1163" i="20"/>
  <c r="N1163" i="20"/>
  <c r="C1179" i="20"/>
  <c r="D1179" i="20"/>
  <c r="E1179" i="20"/>
  <c r="F1179" i="20"/>
  <c r="G1179" i="20"/>
  <c r="H1179" i="20"/>
  <c r="I1179" i="20"/>
  <c r="J1179" i="20"/>
  <c r="K1179" i="20"/>
  <c r="L1179" i="20"/>
  <c r="M1179" i="20"/>
  <c r="N1179" i="20"/>
  <c r="C1197" i="20"/>
  <c r="D1197" i="20"/>
  <c r="E1197" i="20"/>
  <c r="F1197" i="20"/>
  <c r="G1197" i="20"/>
  <c r="H1197" i="20"/>
  <c r="I1197" i="20"/>
  <c r="J1197" i="20"/>
  <c r="K1197" i="20"/>
  <c r="L1197" i="20"/>
  <c r="M1197" i="20"/>
  <c r="N1197" i="20"/>
  <c r="C1205" i="20"/>
  <c r="D1205" i="20"/>
  <c r="E1205" i="20"/>
  <c r="F1205" i="20"/>
  <c r="G1205" i="20"/>
  <c r="H1205" i="20"/>
  <c r="I1205" i="20"/>
  <c r="J1205" i="20"/>
  <c r="K1205" i="20"/>
  <c r="L1205" i="20"/>
  <c r="M1205" i="20"/>
  <c r="N1205" i="20"/>
  <c r="C1227" i="20"/>
  <c r="D1227" i="20"/>
  <c r="E1227" i="20"/>
  <c r="F1227" i="20"/>
  <c r="G1227" i="20"/>
  <c r="H1227" i="20"/>
  <c r="I1227" i="20"/>
  <c r="J1227" i="20"/>
  <c r="K1227" i="20"/>
  <c r="L1227" i="20"/>
  <c r="M1227" i="20"/>
  <c r="N1227" i="20"/>
  <c r="C1248" i="20"/>
  <c r="D1248" i="20"/>
  <c r="E1248" i="20"/>
  <c r="F1248" i="20"/>
  <c r="G1248" i="20"/>
  <c r="H1248" i="20"/>
  <c r="I1248" i="20"/>
  <c r="J1248" i="20"/>
  <c r="K1248" i="20"/>
  <c r="L1248" i="20"/>
  <c r="M1248" i="20"/>
  <c r="N1248" i="20"/>
  <c r="C1269" i="20"/>
  <c r="D1269" i="20"/>
  <c r="E1269" i="20"/>
  <c r="F1269" i="20"/>
  <c r="G1269" i="20"/>
  <c r="H1269" i="20"/>
  <c r="I1269" i="20"/>
  <c r="J1269" i="20"/>
  <c r="K1269" i="20"/>
  <c r="L1269" i="20"/>
  <c r="M1269" i="20"/>
  <c r="N1269" i="20"/>
  <c r="C1292" i="20"/>
  <c r="D1292" i="20"/>
  <c r="E1292" i="20"/>
  <c r="F1292" i="20"/>
  <c r="G1292" i="20"/>
  <c r="H1292" i="20"/>
  <c r="I1292" i="20"/>
  <c r="J1292" i="20"/>
  <c r="K1292" i="20"/>
  <c r="L1292" i="20"/>
  <c r="M1292" i="20"/>
  <c r="N1292" i="20"/>
  <c r="C1320" i="20"/>
  <c r="D1320" i="20"/>
  <c r="E1320" i="20"/>
  <c r="F1320" i="20"/>
  <c r="G1320" i="20"/>
  <c r="H1320" i="20"/>
  <c r="I1320" i="20"/>
  <c r="J1320" i="20"/>
  <c r="K1320" i="20"/>
  <c r="L1320" i="20"/>
  <c r="M1320" i="20"/>
  <c r="N1320" i="20"/>
  <c r="C1340" i="20"/>
  <c r="D1340" i="20"/>
  <c r="E1340" i="20"/>
  <c r="F1340" i="20"/>
  <c r="G1340" i="20"/>
  <c r="H1340" i="20"/>
  <c r="I1340" i="20"/>
  <c r="J1340" i="20"/>
  <c r="K1340" i="20"/>
  <c r="L1340" i="20"/>
  <c r="M1340" i="20"/>
  <c r="N1340" i="20"/>
  <c r="C1363" i="20"/>
  <c r="D1363" i="20"/>
  <c r="E1363" i="20"/>
  <c r="F1363" i="20"/>
  <c r="G1363" i="20"/>
  <c r="H1363" i="20"/>
  <c r="I1363" i="20"/>
  <c r="J1363" i="20"/>
  <c r="K1363" i="20"/>
  <c r="L1363" i="20"/>
  <c r="M1363" i="20"/>
  <c r="N1363" i="20"/>
  <c r="C1388" i="20"/>
  <c r="D1388" i="20"/>
  <c r="E1388" i="20"/>
  <c r="F1388" i="20"/>
  <c r="G1388" i="20"/>
  <c r="H1388" i="20"/>
  <c r="I1388" i="20"/>
  <c r="J1388" i="20"/>
  <c r="K1388" i="20"/>
  <c r="L1388" i="20"/>
  <c r="M1388" i="20"/>
  <c r="N1388" i="20"/>
  <c r="C1402" i="20"/>
  <c r="D1402" i="20"/>
  <c r="E1402" i="20"/>
  <c r="F1402" i="20"/>
  <c r="G1402" i="20"/>
  <c r="H1402" i="20"/>
  <c r="I1402" i="20"/>
  <c r="J1402" i="20"/>
  <c r="K1402" i="20"/>
  <c r="L1402" i="20"/>
  <c r="M1402" i="20"/>
  <c r="N1402" i="20"/>
  <c r="C1415" i="20"/>
  <c r="D1415" i="20"/>
  <c r="E1415" i="20"/>
  <c r="F1415" i="20"/>
  <c r="G1415" i="20"/>
  <c r="H1415" i="20"/>
  <c r="I1415" i="20"/>
  <c r="J1415" i="20"/>
  <c r="K1415" i="20"/>
  <c r="L1415" i="20"/>
  <c r="M1415" i="20"/>
  <c r="N1415" i="20"/>
  <c r="C1447" i="20"/>
  <c r="D1447" i="20"/>
  <c r="E1447" i="20"/>
  <c r="F1447" i="20"/>
  <c r="G1447" i="20"/>
  <c r="H1447" i="20"/>
  <c r="I1447" i="20"/>
  <c r="J1447" i="20"/>
  <c r="K1447" i="20"/>
  <c r="L1447" i="20"/>
  <c r="M1447" i="20"/>
  <c r="N1447" i="20"/>
  <c r="C1463" i="20"/>
  <c r="D1463" i="20"/>
  <c r="E1463" i="20"/>
  <c r="F1463" i="20"/>
  <c r="G1463" i="20"/>
  <c r="H1463" i="20"/>
  <c r="I1463" i="20"/>
  <c r="J1463" i="20"/>
  <c r="K1463" i="20"/>
  <c r="L1463" i="20"/>
  <c r="M1463" i="20"/>
  <c r="N1463" i="20"/>
  <c r="C1470" i="20"/>
  <c r="D1470" i="20"/>
  <c r="E1470" i="20"/>
  <c r="F1470" i="20"/>
  <c r="G1470" i="20"/>
  <c r="H1470" i="20"/>
  <c r="I1470" i="20"/>
  <c r="J1470" i="20"/>
  <c r="K1470" i="20"/>
  <c r="L1470" i="20"/>
  <c r="M1470" i="20"/>
  <c r="N1470" i="20"/>
  <c r="C1482" i="20"/>
  <c r="D1482" i="20"/>
  <c r="E1482" i="20"/>
  <c r="F1482" i="20"/>
  <c r="G1482" i="20"/>
  <c r="H1482" i="20"/>
  <c r="I1482" i="20"/>
  <c r="J1482" i="20"/>
  <c r="K1482" i="20"/>
  <c r="L1482" i="20"/>
  <c r="M1482" i="20"/>
  <c r="N1482" i="20"/>
  <c r="C1486" i="20"/>
  <c r="D1486" i="20"/>
  <c r="E1486" i="20"/>
  <c r="F1486" i="20"/>
  <c r="G1486" i="20"/>
  <c r="H1486" i="20"/>
  <c r="I1486" i="20"/>
  <c r="J1486" i="20"/>
  <c r="K1486" i="20"/>
  <c r="L1486" i="20"/>
  <c r="M1486" i="20"/>
  <c r="N1486" i="20"/>
  <c r="C1498" i="20"/>
  <c r="D1498" i="20"/>
  <c r="E1498" i="20"/>
  <c r="F1498" i="20"/>
  <c r="G1498" i="20"/>
  <c r="H1498" i="20"/>
  <c r="I1498" i="20"/>
  <c r="J1498" i="20"/>
  <c r="K1498" i="20"/>
  <c r="L1498" i="20"/>
  <c r="M1498" i="20"/>
  <c r="N1498" i="20"/>
  <c r="C1505" i="20"/>
  <c r="D1505" i="20"/>
  <c r="E1505" i="20"/>
  <c r="F1505" i="20"/>
  <c r="G1505" i="20"/>
  <c r="H1505" i="20"/>
  <c r="I1505" i="20"/>
  <c r="J1505" i="20"/>
  <c r="K1505" i="20"/>
  <c r="L1505" i="20"/>
  <c r="M1505" i="20"/>
  <c r="N1505" i="20"/>
  <c r="C1522" i="20"/>
  <c r="D1522" i="20"/>
  <c r="E1522" i="20"/>
  <c r="F1522" i="20"/>
  <c r="G1522" i="20"/>
  <c r="H1522" i="20"/>
  <c r="I1522" i="20"/>
  <c r="J1522" i="20"/>
  <c r="K1522" i="20"/>
  <c r="L1522" i="20"/>
  <c r="M1522" i="20"/>
  <c r="N1522" i="20"/>
  <c r="C1530" i="20"/>
  <c r="D1530" i="20"/>
  <c r="E1530" i="20"/>
  <c r="F1530" i="20"/>
  <c r="G1530" i="20"/>
  <c r="H1530" i="20"/>
  <c r="I1530" i="20"/>
  <c r="J1530" i="20"/>
  <c r="K1530" i="20"/>
  <c r="L1530" i="20"/>
  <c r="M1530" i="20"/>
  <c r="N1530" i="20"/>
  <c r="C1539" i="20"/>
  <c r="D1539" i="20"/>
  <c r="E1539" i="20"/>
  <c r="F1539" i="20"/>
  <c r="G1539" i="20"/>
  <c r="H1539" i="20"/>
  <c r="I1539" i="20"/>
  <c r="J1539" i="20"/>
  <c r="K1539" i="20"/>
  <c r="L1539" i="20"/>
  <c r="M1539" i="20"/>
  <c r="N1539" i="20"/>
  <c r="C1570" i="20"/>
  <c r="D1570" i="20"/>
  <c r="E1570" i="20"/>
  <c r="F1570" i="20"/>
  <c r="G1570" i="20"/>
  <c r="H1570" i="20"/>
  <c r="I1570" i="20"/>
  <c r="J1570" i="20"/>
  <c r="K1570" i="20"/>
  <c r="L1570" i="20"/>
  <c r="M1570" i="20"/>
  <c r="N1570" i="20"/>
  <c r="C1580" i="20"/>
  <c r="D1580" i="20"/>
  <c r="E1580" i="20"/>
  <c r="F1580" i="20"/>
  <c r="G1580" i="20"/>
  <c r="H1580" i="20"/>
  <c r="I1580" i="20"/>
  <c r="J1580" i="20"/>
  <c r="K1580" i="20"/>
  <c r="L1580" i="20"/>
  <c r="M1580" i="20"/>
  <c r="N1580" i="20"/>
  <c r="C1597" i="20"/>
  <c r="D1597" i="20"/>
  <c r="E1597" i="20"/>
  <c r="F1597" i="20"/>
  <c r="G1597" i="20"/>
  <c r="H1597" i="20"/>
  <c r="I1597" i="20"/>
  <c r="J1597" i="20"/>
  <c r="K1597" i="20"/>
  <c r="L1597" i="20"/>
  <c r="M1597" i="20"/>
  <c r="N1597" i="20"/>
  <c r="C1621" i="20"/>
  <c r="D1621" i="20"/>
  <c r="E1621" i="20"/>
  <c r="F1621" i="20"/>
  <c r="G1621" i="20"/>
  <c r="H1621" i="20"/>
  <c r="I1621" i="20"/>
  <c r="J1621" i="20"/>
  <c r="K1621" i="20"/>
  <c r="L1621" i="20"/>
  <c r="M1621" i="20"/>
  <c r="N1621" i="20"/>
  <c r="C1641" i="20"/>
  <c r="D1641" i="20"/>
  <c r="E1641" i="20"/>
  <c r="F1641" i="20"/>
  <c r="G1641" i="20"/>
  <c r="H1641" i="20"/>
  <c r="I1641" i="20"/>
  <c r="J1641" i="20"/>
  <c r="K1641" i="20"/>
  <c r="L1641" i="20"/>
  <c r="M1641" i="20"/>
  <c r="N1641" i="20"/>
  <c r="C1655" i="20"/>
  <c r="D1655" i="20"/>
  <c r="E1655" i="20"/>
  <c r="F1655" i="20"/>
  <c r="G1655" i="20"/>
  <c r="H1655" i="20"/>
  <c r="I1655" i="20"/>
  <c r="J1655" i="20"/>
  <c r="K1655" i="20"/>
  <c r="L1655" i="20"/>
  <c r="M1655" i="20"/>
  <c r="N1655" i="20"/>
  <c r="C1665" i="20"/>
  <c r="D1665" i="20"/>
  <c r="E1665" i="20"/>
  <c r="F1665" i="20"/>
  <c r="G1665" i="20"/>
  <c r="H1665" i="20"/>
  <c r="I1665" i="20"/>
  <c r="J1665" i="20"/>
  <c r="K1665" i="20"/>
  <c r="L1665" i="20"/>
  <c r="M1665" i="20"/>
  <c r="N1665" i="20"/>
  <c r="C1675" i="20"/>
  <c r="D1675" i="20"/>
  <c r="E1675" i="20"/>
  <c r="F1675" i="20"/>
  <c r="G1675" i="20"/>
  <c r="H1675" i="20"/>
  <c r="I1675" i="20"/>
  <c r="J1675" i="20"/>
  <c r="K1675" i="20"/>
  <c r="L1675" i="20"/>
  <c r="M1675" i="20"/>
  <c r="N1675" i="20"/>
  <c r="C1702" i="20"/>
  <c r="D1702" i="20"/>
  <c r="E1702" i="20"/>
  <c r="F1702" i="20"/>
  <c r="G1702" i="20"/>
  <c r="H1702" i="20"/>
  <c r="I1702" i="20"/>
  <c r="J1702" i="20"/>
  <c r="K1702" i="20"/>
  <c r="L1702" i="20"/>
  <c r="M1702" i="20"/>
  <c r="N1702" i="20"/>
  <c r="C1708" i="20"/>
  <c r="D1708" i="20"/>
  <c r="E1708" i="20"/>
  <c r="F1708" i="20"/>
  <c r="G1708" i="20"/>
  <c r="H1708" i="20"/>
  <c r="I1708" i="20"/>
  <c r="J1708" i="20"/>
  <c r="K1708" i="20"/>
  <c r="L1708" i="20"/>
  <c r="M1708" i="20"/>
  <c r="N1708" i="20"/>
  <c r="C1716" i="20"/>
  <c r="D1716" i="20"/>
  <c r="E1716" i="20"/>
  <c r="F1716" i="20"/>
  <c r="G1716" i="20"/>
  <c r="H1716" i="20"/>
  <c r="I1716" i="20"/>
  <c r="J1716" i="20"/>
  <c r="K1716" i="20"/>
  <c r="L1716" i="20"/>
  <c r="M1716" i="20"/>
  <c r="N1716" i="20"/>
  <c r="C1732" i="20"/>
  <c r="D1732" i="20"/>
  <c r="E1732" i="20"/>
  <c r="F1732" i="20"/>
  <c r="G1732" i="20"/>
  <c r="H1732" i="20"/>
  <c r="I1732" i="20"/>
  <c r="J1732" i="20"/>
  <c r="K1732" i="20"/>
  <c r="L1732" i="20"/>
  <c r="M1732" i="20"/>
  <c r="N1732" i="20"/>
  <c r="C1749" i="20"/>
  <c r="D1749" i="20"/>
  <c r="E1749" i="20"/>
  <c r="F1749" i="20"/>
  <c r="G1749" i="20"/>
  <c r="H1749" i="20"/>
  <c r="I1749" i="20"/>
  <c r="J1749" i="20"/>
  <c r="K1749" i="20"/>
  <c r="L1749" i="20"/>
  <c r="M1749" i="20"/>
  <c r="N1749" i="20"/>
  <c r="C1765" i="20"/>
  <c r="D1765" i="20"/>
  <c r="E1765" i="20"/>
  <c r="F1765" i="20"/>
  <c r="G1765" i="20"/>
  <c r="H1765" i="20"/>
  <c r="I1765" i="20"/>
  <c r="J1765" i="20"/>
  <c r="K1765" i="20"/>
  <c r="L1765" i="20"/>
  <c r="M1765" i="20"/>
  <c r="N1765" i="20"/>
  <c r="C1780" i="20"/>
  <c r="D1780" i="20"/>
  <c r="E1780" i="20"/>
  <c r="F1780" i="20"/>
  <c r="G1780" i="20"/>
  <c r="H1780" i="20"/>
  <c r="I1780" i="20"/>
  <c r="J1780" i="20"/>
  <c r="K1780" i="20"/>
  <c r="L1780" i="20"/>
  <c r="M1780" i="20"/>
  <c r="N1780" i="20"/>
  <c r="C1801" i="20"/>
  <c r="D1801" i="20"/>
  <c r="E1801" i="20"/>
  <c r="F1801" i="20"/>
  <c r="G1801" i="20"/>
  <c r="H1801" i="20"/>
  <c r="I1801" i="20"/>
  <c r="J1801" i="20"/>
  <c r="K1801" i="20"/>
  <c r="L1801" i="20"/>
  <c r="M1801" i="20"/>
  <c r="N1801" i="20"/>
  <c r="C1812" i="20"/>
  <c r="D1812" i="20"/>
  <c r="E1812" i="20"/>
  <c r="F1812" i="20"/>
  <c r="G1812" i="20"/>
  <c r="H1812" i="20"/>
  <c r="I1812" i="20"/>
  <c r="J1812" i="20"/>
  <c r="K1812" i="20"/>
  <c r="L1812" i="20"/>
  <c r="M1812" i="20"/>
  <c r="N1812" i="20"/>
  <c r="C1817" i="20"/>
  <c r="D1817" i="20"/>
  <c r="E1817" i="20"/>
  <c r="F1817" i="20"/>
  <c r="G1817" i="20"/>
  <c r="H1817" i="20"/>
  <c r="I1817" i="20"/>
  <c r="J1817" i="20"/>
  <c r="K1817" i="20"/>
  <c r="L1817" i="20"/>
  <c r="M1817" i="20"/>
  <c r="N1817" i="20"/>
  <c r="C1841" i="20"/>
  <c r="D1841" i="20"/>
  <c r="E1841" i="20"/>
  <c r="F1841" i="20"/>
  <c r="G1841" i="20"/>
  <c r="H1841" i="20"/>
  <c r="I1841" i="20"/>
  <c r="J1841" i="20"/>
  <c r="K1841" i="20"/>
  <c r="L1841" i="20"/>
  <c r="M1841" i="20"/>
  <c r="N1841" i="20"/>
  <c r="C1861" i="20"/>
  <c r="D1861" i="20"/>
  <c r="E1861" i="20"/>
  <c r="F1861" i="20"/>
  <c r="G1861" i="20"/>
  <c r="H1861" i="20"/>
  <c r="I1861" i="20"/>
  <c r="J1861" i="20"/>
  <c r="K1861" i="20"/>
  <c r="L1861" i="20"/>
  <c r="M1861" i="20"/>
  <c r="N1861" i="20"/>
  <c r="C1870" i="20"/>
  <c r="D1870" i="20"/>
  <c r="E1870" i="20"/>
  <c r="F1870" i="20"/>
  <c r="G1870" i="20"/>
  <c r="H1870" i="20"/>
  <c r="I1870" i="20"/>
  <c r="J1870" i="20"/>
  <c r="K1870" i="20"/>
  <c r="L1870" i="20"/>
  <c r="M1870" i="20"/>
  <c r="N1870" i="20"/>
  <c r="C1876" i="20"/>
  <c r="D1876" i="20"/>
  <c r="E1876" i="20"/>
  <c r="F1876" i="20"/>
  <c r="G1876" i="20"/>
  <c r="H1876" i="20"/>
  <c r="I1876" i="20"/>
  <c r="J1876" i="20"/>
  <c r="K1876" i="20"/>
  <c r="L1876" i="20"/>
  <c r="M1876" i="20"/>
  <c r="N1876" i="20"/>
  <c r="C1886" i="20"/>
  <c r="D1886" i="20"/>
  <c r="E1886" i="20"/>
  <c r="F1886" i="20"/>
  <c r="G1886" i="20"/>
  <c r="H1886" i="20"/>
  <c r="I1886" i="20"/>
  <c r="J1886" i="20"/>
  <c r="K1886" i="20"/>
  <c r="L1886" i="20"/>
  <c r="M1886" i="20"/>
  <c r="N1886" i="20"/>
  <c r="C1892" i="20"/>
  <c r="D1892" i="20"/>
  <c r="E1892" i="20"/>
  <c r="F1892" i="20"/>
  <c r="G1892" i="20"/>
  <c r="H1892" i="20"/>
  <c r="I1892" i="20"/>
  <c r="J1892" i="20"/>
  <c r="K1892" i="20"/>
  <c r="L1892" i="20"/>
  <c r="M1892" i="20"/>
  <c r="N1892" i="20"/>
  <c r="C1906" i="20"/>
  <c r="D1906" i="20"/>
  <c r="E1906" i="20"/>
  <c r="F1906" i="20"/>
  <c r="G1906" i="20"/>
  <c r="H1906" i="20"/>
  <c r="I1906" i="20"/>
  <c r="J1906" i="20"/>
  <c r="K1906" i="20"/>
  <c r="L1906" i="20"/>
  <c r="M1906" i="20"/>
  <c r="N1906" i="20"/>
  <c r="C1929" i="20"/>
  <c r="D1929" i="20"/>
  <c r="E1929" i="20"/>
  <c r="F1929" i="20"/>
  <c r="G1929" i="20"/>
  <c r="H1929" i="20"/>
  <c r="I1929" i="20"/>
  <c r="J1929" i="20"/>
  <c r="K1929" i="20"/>
  <c r="L1929" i="20"/>
  <c r="M1929" i="20"/>
  <c r="N1929" i="20"/>
  <c r="C2062" i="20"/>
  <c r="D2062" i="20"/>
  <c r="E2062" i="20"/>
  <c r="F2062" i="20"/>
  <c r="G2062" i="20"/>
  <c r="H2062" i="20"/>
  <c r="I2062" i="20"/>
  <c r="J2062" i="20"/>
  <c r="K2062" i="20"/>
  <c r="L2062" i="20"/>
  <c r="M2062" i="20"/>
  <c r="N2062" i="20"/>
  <c r="F31" i="8" l="1"/>
  <c r="E31" i="8"/>
  <c r="D31" i="8"/>
  <c r="C31" i="8"/>
  <c r="C26" i="8" l="1"/>
  <c r="E26" i="8"/>
  <c r="D26" i="8"/>
  <c r="F26" i="8"/>
  <c r="E21" i="8"/>
  <c r="D21" i="8"/>
  <c r="C21" i="8"/>
  <c r="F21" i="8"/>
  <c r="E16" i="8"/>
  <c r="D16" i="8"/>
  <c r="C16" i="8"/>
  <c r="F16" i="8"/>
  <c r="E11" i="8"/>
  <c r="D11" i="8"/>
  <c r="C11" i="8"/>
  <c r="F11" i="8"/>
  <c r="E6" i="8"/>
  <c r="D6" i="8"/>
  <c r="C6" i="8"/>
  <c r="F6" i="8"/>
</calcChain>
</file>

<file path=xl/comments1.xml><?xml version="1.0" encoding="utf-8"?>
<comments xmlns="http://schemas.openxmlformats.org/spreadsheetml/2006/main">
  <authors>
    <author>Bui, Tin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Footnote 1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Footnote 2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Footnote 3</t>
        </r>
      </text>
    </comment>
  </commentList>
</comments>
</file>

<file path=xl/sharedStrings.xml><?xml version="1.0" encoding="utf-8"?>
<sst xmlns="http://schemas.openxmlformats.org/spreadsheetml/2006/main" count="12270" uniqueCount="682">
  <si>
    <t>Grand Total</t>
  </si>
  <si>
    <t>Local Agencies</t>
  </si>
  <si>
    <t>School Districts</t>
  </si>
  <si>
    <t>Community College Districts</t>
  </si>
  <si>
    <t>Total Program Costs</t>
  </si>
  <si>
    <t>Total Prior Period Adjustments</t>
  </si>
  <si>
    <t>Desk Reviews</t>
  </si>
  <si>
    <t>Final Audits</t>
  </si>
  <si>
    <t>Total Current Period Adjustments</t>
  </si>
  <si>
    <t>Total Cumulative Adjustments</t>
  </si>
  <si>
    <t>Payments and Offsets</t>
  </si>
  <si>
    <t xml:space="preserve"> State of California</t>
  </si>
  <si>
    <t>N/A</t>
  </si>
  <si>
    <t>Image on Office of the Controller, State of California Seal</t>
  </si>
  <si>
    <t>BETTY T. YEE</t>
  </si>
  <si>
    <t>California State Controller’s Office</t>
  </si>
  <si>
    <t>State-Mandated Program Cost</t>
  </si>
  <si>
    <t>Report of Audit Findings</t>
  </si>
  <si>
    <t>For the Period of April 1, 2019, through March 31, 2020</t>
  </si>
  <si>
    <t>CONTENTS</t>
  </si>
  <si>
    <t>FOR LOCAL AGENCIES, SCHOOL DISTRICTS, AND COMMUNITY COLLEGE DISTRICTS</t>
  </si>
  <si>
    <t>STATE-MANDATED PROGRAM COST REPORT OF AUDIT FINDINGS</t>
  </si>
  <si>
    <t>Total Accounts Payable Balance</t>
  </si>
  <si>
    <t>Established Accounts Receivable</t>
  </si>
  <si>
    <t>Recovered Accounts Receivable</t>
  </si>
  <si>
    <t>Total Accounts Receivable Balance</t>
  </si>
  <si>
    <t>State Controller's Office
Local Government Programs and Services Division
Local Reimbursements Section
Summary of State-Mandated Program Cost Report of Audit Findings
For the Period of April 1, 2019, through March 31, 2020</t>
  </si>
  <si>
    <t>Comments</t>
  </si>
  <si>
    <t>Comment: Other adjustments are late filing penalties.</t>
  </si>
  <si>
    <t>Comment: Total Program Costs plus Total Cumulative Adjustments equals Net Program Costs.</t>
  </si>
  <si>
    <t>Net Balance as of 03/31/2020³</t>
  </si>
  <si>
    <t>Other Adjustments¹</t>
  </si>
  <si>
    <t>Net Program Costs²</t>
  </si>
  <si>
    <t>Please continue to next table.</t>
  </si>
  <si>
    <t xml:space="preserve"> Comment: Total Accounts Payable Balance less Total Accounts Receivable Balance equals Net Balance. </t>
  </si>
  <si>
    <r>
      <t xml:space="preserve">Footnotes:  </t>
    </r>
    <r>
      <rPr>
        <b/>
        <sz val="12"/>
        <color theme="0"/>
        <rFont val="Arial"/>
        <family val="2"/>
      </rPr>
      <t>(For those using screen readers these footnotes are identical to comments referenced in cells B5, B16, and B31.)</t>
    </r>
  </si>
  <si>
    <r>
      <rPr>
        <sz val="12"/>
        <rFont val="Calibri"/>
        <family val="2"/>
      </rPr>
      <t>¹</t>
    </r>
    <r>
      <rPr>
        <sz val="12"/>
        <rFont val="Arial"/>
        <family val="2"/>
      </rPr>
      <t xml:space="preserve"> Other adjustments are late filing penalties.</t>
    </r>
  </si>
  <si>
    <r>
      <rPr>
        <sz val="12"/>
        <rFont val="Calibri"/>
        <family val="2"/>
      </rPr>
      <t xml:space="preserve">² </t>
    </r>
    <r>
      <rPr>
        <sz val="12"/>
        <rFont val="Arial"/>
        <family val="2"/>
      </rPr>
      <t>Total Program Costs plus Total Cumulative Adjustments equals Net Program Costs.</t>
    </r>
  </si>
  <si>
    <r>
      <rPr>
        <sz val="12"/>
        <rFont val="Calibri"/>
        <family val="2"/>
      </rPr>
      <t>³</t>
    </r>
    <r>
      <rPr>
        <sz val="12"/>
        <rFont val="Arial"/>
        <family val="2"/>
      </rPr>
      <t xml:space="preserve"> Total Accounts Payable Balance less Total Accounts Receivable Balance equals Net Balance.</t>
    </r>
  </si>
  <si>
    <t>Program Costs, Audit Adjustments and Balances</t>
  </si>
  <si>
    <t>SUMMARY:       LOCAL AGENCIES, SCHOOL DISTRICTS, AND COMMUNITY COLLEGE DISTRICTS                        Page 3</t>
  </si>
  <si>
    <t>DETAIL:             LOCAL AGENCIES                                                                                                                                  Page 4</t>
  </si>
  <si>
    <t>Please continue to next sheet.</t>
  </si>
  <si>
    <t>Total Program 56</t>
  </si>
  <si>
    <t>Total Program 331</t>
  </si>
  <si>
    <t>Total Program 71</t>
  </si>
  <si>
    <t>Total Program 181</t>
  </si>
  <si>
    <t>Total Program 372</t>
  </si>
  <si>
    <t>Total Program 174</t>
  </si>
  <si>
    <t>Total Program 345</t>
  </si>
  <si>
    <t>Total Program 163</t>
  </si>
  <si>
    <t>Total Program 65</t>
  </si>
  <si>
    <t>Total Program 64</t>
  </si>
  <si>
    <t>Total Program 120</t>
  </si>
  <si>
    <t>Total Program 360</t>
  </si>
  <si>
    <t>Total Program 125</t>
  </si>
  <si>
    <t>Total Program 110</t>
  </si>
  <si>
    <t>Total Program 180</t>
  </si>
  <si>
    <t>Total Program 86</t>
  </si>
  <si>
    <t>Total Program 364</t>
  </si>
  <si>
    <t>Total Program 175</t>
  </si>
  <si>
    <t>Total Program 217</t>
  </si>
  <si>
    <t>Total Program 220</t>
  </si>
  <si>
    <t>Total Program 191</t>
  </si>
  <si>
    <t>Total Program 18</t>
  </si>
  <si>
    <t>Total Program 73</t>
  </si>
  <si>
    <t>Total Program 55</t>
  </si>
  <si>
    <t>Total Program 245</t>
  </si>
  <si>
    <t>Total Program 127</t>
  </si>
  <si>
    <t>Total Program 282</t>
  </si>
  <si>
    <t>Total Program 52</t>
  </si>
  <si>
    <t>Total Program 128</t>
  </si>
  <si>
    <t>Total Program 222</t>
  </si>
  <si>
    <t>Total Program 255</t>
  </si>
  <si>
    <t>Total Program 363</t>
  </si>
  <si>
    <t>Total Program 279</t>
  </si>
  <si>
    <t>Total Program 28</t>
  </si>
  <si>
    <t>Total Program 215</t>
  </si>
  <si>
    <t>Total Program 121</t>
  </si>
  <si>
    <t>Total Program 24</t>
  </si>
  <si>
    <t>Total Program 324</t>
  </si>
  <si>
    <t>Total Program 83</t>
  </si>
  <si>
    <t>Total Program 124</t>
  </si>
  <si>
    <t>Total Program 356</t>
  </si>
  <si>
    <t>Total Program 187</t>
  </si>
  <si>
    <t>Total Program 264</t>
  </si>
  <si>
    <t>Total Program 118</t>
  </si>
  <si>
    <t>Total Program 122</t>
  </si>
  <si>
    <t>Total Program 219</t>
  </si>
  <si>
    <t>Total Program 202</t>
  </si>
  <si>
    <t>Total Program 49</t>
  </si>
  <si>
    <t>Total Program 200</t>
  </si>
  <si>
    <t>Total Program 147</t>
  </si>
  <si>
    <t>Total Program 314</t>
  </si>
  <si>
    <t>Total Program 323</t>
  </si>
  <si>
    <t>Total Program 112</t>
  </si>
  <si>
    <t>Total Program 138</t>
  </si>
  <si>
    <t>Total Program 66</t>
  </si>
  <si>
    <t>Total Program 39</t>
  </si>
  <si>
    <t>Total Program 281</t>
  </si>
  <si>
    <t>Total Program 203</t>
  </si>
  <si>
    <t>Total Program 361</t>
  </si>
  <si>
    <t>Total Program 43</t>
  </si>
  <si>
    <t>Total Program 315</t>
  </si>
  <si>
    <t>Total Program 41</t>
  </si>
  <si>
    <t>Total Program 285</t>
  </si>
  <si>
    <t>Total Program 298</t>
  </si>
  <si>
    <t>Total Program 259</t>
  </si>
  <si>
    <t>Total Program 37</t>
  </si>
  <si>
    <t>Total Program 300</t>
  </si>
  <si>
    <t>Total Program 334</t>
  </si>
  <si>
    <t>Total Program 371</t>
  </si>
  <si>
    <t>Total Program 193</t>
  </si>
  <si>
    <t>Total Program 35</t>
  </si>
  <si>
    <t>Total Program 132</t>
  </si>
  <si>
    <t>Total Program 161</t>
  </si>
  <si>
    <t>Total Program 358</t>
  </si>
  <si>
    <t>Total Program 126</t>
  </si>
  <si>
    <t>Total Program 289</t>
  </si>
  <si>
    <t>Total Program 321</t>
  </si>
  <si>
    <t>Total Program 197</t>
  </si>
  <si>
    <t>Total Program 273</t>
  </si>
  <si>
    <t>Total Program 263</t>
  </si>
  <si>
    <t>Total Program 111</t>
  </si>
  <si>
    <t>Total Program 27</t>
  </si>
  <si>
    <t>Total Program 227</t>
  </si>
  <si>
    <t>Total Program 23</t>
  </si>
  <si>
    <t>Total Program 293</t>
  </si>
  <si>
    <t>Total Program 283</t>
  </si>
  <si>
    <t>Total Program 21</t>
  </si>
  <si>
    <t>Total Program 290</t>
  </si>
  <si>
    <t>Total Program 257</t>
  </si>
  <si>
    <t>Total Program 204</t>
  </si>
  <si>
    <t>Total Program 17</t>
  </si>
  <si>
    <t>Total Program 205</t>
  </si>
  <si>
    <t>Total Program 177</t>
  </si>
  <si>
    <t>Total Program 142</t>
  </si>
  <si>
    <t>Total Program 15</t>
  </si>
  <si>
    <t>Total Program 159</t>
  </si>
  <si>
    <t>Total Program 16</t>
  </si>
  <si>
    <t>Total Program 322</t>
  </si>
  <si>
    <t>Total Program 274</t>
  </si>
  <si>
    <t>Total Program 167</t>
  </si>
  <si>
    <t>Total Program 266</t>
  </si>
  <si>
    <t>Total Program 143</t>
  </si>
  <si>
    <t>Total Program 87</t>
  </si>
  <si>
    <t>Total Program 62</t>
  </si>
  <si>
    <t>Total Program 13</t>
  </si>
  <si>
    <t>Total Program 158</t>
  </si>
  <si>
    <t>Total Program 306</t>
  </si>
  <si>
    <t>Total Program 262</t>
  </si>
  <si>
    <t>Total Program 310</t>
  </si>
  <si>
    <t>Total Program 8</t>
  </si>
  <si>
    <t>Total Program 85</t>
  </si>
  <si>
    <t>Total Program 90</t>
  </si>
  <si>
    <t>Total Program 207</t>
  </si>
  <si>
    <t>Total Program 88</t>
  </si>
  <si>
    <t>Total Program 67</t>
  </si>
  <si>
    <t>Total Program 196</t>
  </si>
  <si>
    <t>Total Program 353</t>
  </si>
  <si>
    <t>Total Program 288</t>
  </si>
  <si>
    <t>Total Program 7</t>
  </si>
  <si>
    <t>Total Program 6</t>
  </si>
  <si>
    <t>Total Program 284</t>
  </si>
  <si>
    <t>Total Program 213</t>
  </si>
  <si>
    <t>Total Program 152</t>
  </si>
  <si>
    <t>Total Program 178</t>
  </si>
  <si>
    <t>Total Program 1</t>
  </si>
  <si>
    <t>Total Program 3</t>
  </si>
  <si>
    <t>Total Program 246</t>
  </si>
  <si>
    <t>Total Program 359</t>
  </si>
  <si>
    <t>Total Program 248</t>
  </si>
  <si>
    <t>Total Program 2</t>
  </si>
  <si>
    <t>(N)
Net Balance
(J minus M)</t>
  </si>
  <si>
    <t>(M)
Accounts Receivable Balance
(K + L)</t>
  </si>
  <si>
    <t>(L)
Recovered
 Accounts Receivable</t>
  </si>
  <si>
    <t>(K)
Established 
Accounts Receivable</t>
  </si>
  <si>
    <t>(J)
Accounts Payable Balance
(H + I)</t>
  </si>
  <si>
    <t>(I)
Payments
 and Offsets</t>
  </si>
  <si>
    <t>(G)
Current Period 
Other Adjustments</t>
  </si>
  <si>
    <t>(F)
Current Period 
Final 
Audits</t>
  </si>
  <si>
    <t>(E)
Current Period Desk 
Reviews</t>
  </si>
  <si>
    <t>(D)
Prior Period Adjustments</t>
  </si>
  <si>
    <t>(C)
Program
Costs</t>
  </si>
  <si>
    <t>(B)
Fiscal 
Year</t>
  </si>
  <si>
    <t>(A)
Program Name</t>
  </si>
  <si>
    <t>1991-92</t>
  </si>
  <si>
    <t>Voter Registration Procedures (Program 56)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</si>
  <si>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</si>
  <si>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</si>
  <si>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</si>
  <si>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</si>
  <si>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</si>
  <si>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</si>
  <si>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</si>
  <si>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</si>
  <si>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</si>
  <si>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</si>
  <si>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</si>
  <si>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</si>
  <si>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</si>
  <si>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</si>
  <si>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</si>
  <si>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</si>
  <si>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</si>
  <si>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</si>
  <si>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</si>
  <si>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Voter Identification Procedures (Program 331)</t>
  </si>
  <si>
    <t>2011-12</t>
  </si>
  <si>
    <t>2012-13</t>
  </si>
  <si>
    <t>Victim Statements: Minors (Program 71)</t>
  </si>
  <si>
    <t>Very High Fire Hazard Severity Zones (Program 181)</t>
  </si>
  <si>
    <t>2016-17</t>
  </si>
  <si>
    <t>U Visa 918 Form, Victims of Crime: Nonimmigrant Status (Program 372)</t>
  </si>
  <si>
    <t>2017-18</t>
  </si>
  <si>
    <t>2018-19</t>
  </si>
  <si>
    <t>Two-Way Traffic Signal Communication (Program 174)</t>
  </si>
  <si>
    <t>Tuberculosis Control (Program 345)</t>
  </si>
  <si>
    <t>2013-14</t>
  </si>
  <si>
    <t>2014-15</t>
  </si>
  <si>
    <t>2015-16</t>
  </si>
  <si>
    <t>Threats Against Peace Officers (Program 163)</t>
  </si>
  <si>
    <t>Substandard Housing: Tax Deductions (Program 65)</t>
  </si>
  <si>
    <t>1987-88</t>
  </si>
  <si>
    <t>Structural and Wildland Firefighter Safety Clothing and Equipment (Program 64)</t>
  </si>
  <si>
    <t>1988-89</t>
  </si>
  <si>
    <t>1989-90</t>
  </si>
  <si>
    <t>1990-91</t>
  </si>
  <si>
    <t>Stolen Vehicle Notification (Program 120)</t>
  </si>
  <si>
    <t>State Authorized Risk Assessment Tool for Sex Offenders (Program 360)</t>
  </si>
  <si>
    <t>SIDS: Contact By Local Health Officers (Program 125)</t>
  </si>
  <si>
    <t>SIDS: Autopsy Protocols (Program 110)</t>
  </si>
  <si>
    <t>SIDS Training for Firefighters (Program 180)</t>
  </si>
  <si>
    <t>SIDS Notices (Program 86)</t>
  </si>
  <si>
    <t>Sheriff Court-Security Services (Program 364)</t>
  </si>
  <si>
    <t>Sexually Violent Predators (Program 175)</t>
  </si>
  <si>
    <t>Sex Offenders: Disclosure by Law Enforcement Officers (Megan's Law) (Program 217)</t>
  </si>
  <si>
    <t>Sex Crime Confidentiality (Program 220)</t>
  </si>
  <si>
    <t>Seriously Emotionally Disturbed (SED), Pupils: Out-of-State Mental Health Services (Program 191)</t>
  </si>
  <si>
    <t>Senior Citizens Property Tax Postponement (Program 18)</t>
  </si>
  <si>
    <t>Search Warrant: AIDS (Program 73)</t>
  </si>
  <si>
    <t>1982-83</t>
  </si>
  <si>
    <t>Regional Housing Need Determination (Program 55)</t>
  </si>
  <si>
    <t>Redevelopment Agencies – Tax Disbursement Reporting (Program 245)</t>
  </si>
  <si>
    <t>Rape Victims Counseling Center Notice (Program 127)</t>
  </si>
  <si>
    <t>Racial Profiling: Law Enforcement Training (Program 282)</t>
  </si>
  <si>
    <t>Property Taxation (Program 52)</t>
  </si>
  <si>
    <t>Prisoner Parental Rights (Program 128)</t>
  </si>
  <si>
    <t>Presidential Primaries 2000 (Program 222)</t>
  </si>
  <si>
    <t>Postmortem Examinations: Unidentified Bodies, Human Remains (Program 255)</t>
  </si>
  <si>
    <t>Post Election Manual Tally (Program 363)</t>
  </si>
  <si>
    <t>Post Conviction: DNA Court Proceedings (Program 279)</t>
  </si>
  <si>
    <t>Physically Handicapped Voter Accessibility (Program 28)</t>
  </si>
  <si>
    <t>Photographic Record of Evidence (Program 215)</t>
  </si>
  <si>
    <t>Pesticide Use Reports (Program 121)</t>
  </si>
  <si>
    <t>1985-86</t>
  </si>
  <si>
    <t>Personal Alarm Devices (Program 24)</t>
  </si>
  <si>
    <t>1986-87</t>
  </si>
  <si>
    <t>Permanent Absent Voters II (Program 324)</t>
  </si>
  <si>
    <t>Permanent Absent Voters (Program 83)</t>
  </si>
  <si>
    <t>Perinatal Services (Program 124)</t>
  </si>
  <si>
    <t>Peace Officers Procedural Bill of Rights II (Program 356)</t>
  </si>
  <si>
    <t>Peace Officers Procedural Bill of Rights (Program 187)</t>
  </si>
  <si>
    <t>Peace Officers Personnel Records: Unfounded Complaints and Discovery (Program 264)</t>
  </si>
  <si>
    <t>Peace Officers Cancer Presumption (Program 118)</t>
  </si>
  <si>
    <t>Pacific Beach Safety: Water Quality and Closures (Program 122)</t>
  </si>
  <si>
    <t>Open Meetings Act/Brown Act Reform (Program 219)</t>
  </si>
  <si>
    <t>Open Meetings Act II (Program 202)</t>
  </si>
  <si>
    <t>Open Meetings Act (Program 49)</t>
  </si>
  <si>
    <t>Not Guilty by Reason of Insanity (Program 200)</t>
  </si>
  <si>
    <t>1979-80</t>
  </si>
  <si>
    <t>Not Guilty by Reason of Insanity (Program 147)</t>
  </si>
  <si>
    <t>1980-81</t>
  </si>
  <si>
    <t>1981-82</t>
  </si>
  <si>
    <t>1983-84</t>
  </si>
  <si>
    <t>1984-85</t>
  </si>
  <si>
    <t>Municipal Storm Water and Urban Runoff Discharges (Program 314)</t>
  </si>
  <si>
    <t>Modified Primary Election (Program 323)</t>
  </si>
  <si>
    <t>Missing Persons Report III (Program 112)</t>
  </si>
  <si>
    <t>Misdemeanors: Booking and Fingerprinting (Program 138)</t>
  </si>
  <si>
    <t>Mentally Retarded Defendants: Diversion (Program 66)</t>
  </si>
  <si>
    <t>Mentally Disordered Sex Offenders: Extended Commitment Proceedings (Program 39)</t>
  </si>
  <si>
    <t>Mentally Disordered Offenders: Treatment as a Condition of Parole (Program 281)</t>
  </si>
  <si>
    <t>Mentally Disordered Offenders' Extended Commitment Proceedings (Program 203)</t>
  </si>
  <si>
    <t>Medi-Cal Eligibility of Juvenile Offenders (Program 361)</t>
  </si>
  <si>
    <t>Medi-Cal Beneficiary Probate (Program 43)</t>
  </si>
  <si>
    <t>Mandate Reimbursement Process II (Program 315)</t>
  </si>
  <si>
    <t>Mandate Reimbursement Process I (Program 41)</t>
  </si>
  <si>
    <t>Local Recreational Areas: Background Screenings (Program 285)</t>
  </si>
  <si>
    <t>Local Government Employee Relations (Program 298)</t>
  </si>
  <si>
    <t>Local Elections: Consolidation (Program 259)</t>
  </si>
  <si>
    <t>Local Coastal Programs (Program 37)</t>
  </si>
  <si>
    <t>Local Agency Formation Commissions (LAFCO) (Program 300)</t>
  </si>
  <si>
    <t>Local Agency Ethics (Program 334)</t>
  </si>
  <si>
    <t>Local Agency Employee Organizations: Impasse Procedures II (Program 371)</t>
  </si>
  <si>
    <t>Law Enforcement Sexual Harassment Complaint Procedures and Training (Program 193)</t>
  </si>
  <si>
    <t>Judicial Proceedings For Mentally Retarded Persons (Program 35)</t>
  </si>
  <si>
    <t>Involuntary Lien Notices (Program 132)</t>
  </si>
  <si>
    <t>Investment Reports (Program 161)</t>
  </si>
  <si>
    <t>Interagency Child Abuse and Neglect Investigation Reports (Program 358)</t>
  </si>
  <si>
    <t>Inmate AIDS Testing (Program 126)</t>
  </si>
  <si>
    <t>In-Home Supportive Services II (Program 289)</t>
  </si>
  <si>
    <t>Identity Theft (Program 321)</t>
  </si>
  <si>
    <t>Health Benefits for Survivors of Peace Officers and Firefighters (Program 197)</t>
  </si>
  <si>
    <t>Handicapped and Disabled Students, Handicapped and Disabled Students II, and Seriously Emotionally Disturbed (SED) Pupils: Out of State Mental Health Services (Program 273)</t>
  </si>
  <si>
    <t>Handicapped and Disabled Students II (Program 263)</t>
  </si>
  <si>
    <t>Handicapped and Disabled Students (Program 111)</t>
  </si>
  <si>
    <t>Guardianship/Conservatorship Filings (Program 27)</t>
  </si>
  <si>
    <t>Grand Jury Proceedings (Program 227)</t>
  </si>
  <si>
    <t>Firefighters' Cancer Presumption (Program 23)</t>
  </si>
  <si>
    <t>Firearm Hearings for Discharged Inpatients  (Program 293)</t>
  </si>
  <si>
    <t>Fire Safety Inspections of Care Facilities (Program 283)</t>
  </si>
  <si>
    <t>Filipino Employee Surveys (Program 21)</t>
  </si>
  <si>
    <t>Fifteen-Day Close of Voter Registration (Program 290)</t>
  </si>
  <si>
    <t>False Reports of Police Misconduct (Program 257)</t>
  </si>
  <si>
    <t>Extended Commitment – Youth Authority (Program 204)</t>
  </si>
  <si>
    <t>Election Materials (Program 17)</t>
  </si>
  <si>
    <t>Elder Abuse Training (Program 205)</t>
  </si>
  <si>
    <t>Domestic Violence Treatment Services – Authorization and Case Management (Program 177)</t>
  </si>
  <si>
    <t>Domestic Violence Information (Program 15)</t>
  </si>
  <si>
    <t>Domestic Violence Diversion Program Closeout (Program 159)</t>
  </si>
  <si>
    <t>Domestic Violence Diversion (Program 16)</t>
  </si>
  <si>
    <t>Domestic Violence Background Checks (Program 322)</t>
  </si>
  <si>
    <t>Domestic Violence Arrests and Victim Assistance (Program 274)</t>
  </si>
  <si>
    <t>Domestic Violence Arrest Policies and Standards (Program 167)</t>
  </si>
  <si>
    <t>DNA Database (Program 266)</t>
  </si>
  <si>
    <t>Disaster Relief 1995/96 Storms (Program 143)</t>
  </si>
  <si>
    <t>Developmentally Disabled: Attorneys' Services (Program 87)</t>
  </si>
  <si>
    <t>Deaf Teletype Equipment (Program 62)</t>
  </si>
  <si>
    <t>Custody of Minors – Child Abduction and Recovery (Program 13)</t>
  </si>
  <si>
    <t>Crime Victims' Rights (Program 158)</t>
  </si>
  <si>
    <t>Crime Victims' Domestic Violence Incident Reports II (Program 306)</t>
  </si>
  <si>
    <t>Crime Victims' Domestic Violence Incident Reports (Program 262)</t>
  </si>
  <si>
    <t>Crime Statistics Reports for the Department of Justice (Program 310)</t>
  </si>
  <si>
    <t>CPR Pocket Masks (Program 8)</t>
  </si>
  <si>
    <t>Court Audits and Proration of Fines (Program 85)</t>
  </si>
  <si>
    <t>Countywide Tax Rates (Program 90)</t>
  </si>
  <si>
    <t>County Treasury Oversight Committee (Program 207)</t>
  </si>
  <si>
    <t>Coroner's Costs (Program 88)</t>
  </si>
  <si>
    <t>Conservatorship: Developmentally Disabled Adults (Program 67)</t>
  </si>
  <si>
    <t>Child Abuse Treatment Services Authorization and Case Management (Program 196)</t>
  </si>
  <si>
    <t>California Public Records Act (Program 353)</t>
  </si>
  <si>
    <t>California Fire Incident Reporting System (CFIRS) (Program 288)</t>
  </si>
  <si>
    <t>Business Tax Reporting Requirement (Program 7)</t>
  </si>
  <si>
    <t>Brendon Maguire Act (Program 6)</t>
  </si>
  <si>
    <t>Binding Arbitration (Program 284)</t>
  </si>
  <si>
    <t>Animal Adoption (Program 213)</t>
  </si>
  <si>
    <t>Allocation of Property Tax Revenues (Program 152)</t>
  </si>
  <si>
    <t>Airport Land Use Commissions/Plans (Program 178)</t>
  </si>
  <si>
    <t>AIDS Testing (Program 1)</t>
  </si>
  <si>
    <t>Adult Felony Restitution (Program 3)</t>
  </si>
  <si>
    <t>Administrative License Suspension (Program 246)</t>
  </si>
  <si>
    <t>Accounting for Local Revenue Realignments (Program 359)</t>
  </si>
  <si>
    <t>Absentee Ballots: Tabulation by Precinct (Program 248)</t>
  </si>
  <si>
    <t>Absentee Ballots (Program 2)</t>
  </si>
  <si>
    <t>State Controller's Office
Local Government Programs and Services Division
Local Reimbursements Section
Detail of State-Mandated Program Cost Report of Audit Findings
For the Period of April 1, 2019, through March 31, 2020</t>
  </si>
  <si>
    <t>Grand Total School Districts</t>
  </si>
  <si>
    <t>Total Program 351</t>
  </si>
  <si>
    <t>Total Program 346</t>
  </si>
  <si>
    <t>Total Program 367</t>
  </si>
  <si>
    <t>Total Program 260</t>
  </si>
  <si>
    <t>Total Program 252</t>
  </si>
  <si>
    <t>Total Program 352</t>
  </si>
  <si>
    <t>Total Program 308</t>
  </si>
  <si>
    <t>Total Program 224</t>
  </si>
  <si>
    <t>Total Program 208</t>
  </si>
  <si>
    <t>Total Program 58</t>
  </si>
  <si>
    <t>Total Program 146</t>
  </si>
  <si>
    <t>Total Program 115</t>
  </si>
  <si>
    <t>Total Program 228</t>
  </si>
  <si>
    <t>Total Program 156</t>
  </si>
  <si>
    <t>Total Program 258</t>
  </si>
  <si>
    <t>Total Program 211</t>
  </si>
  <si>
    <t>Total Program 109</t>
  </si>
  <si>
    <t>Total Program 190</t>
  </si>
  <si>
    <t>Total Program 184</t>
  </si>
  <si>
    <t>Total Program 137</t>
  </si>
  <si>
    <t>Total Program 171</t>
  </si>
  <si>
    <t>Total Program 57</t>
  </si>
  <si>
    <t>Total Program 362</t>
  </si>
  <si>
    <t>Total Program 176</t>
  </si>
  <si>
    <t>Total Program 280</t>
  </si>
  <si>
    <t>Total Program 182</t>
  </si>
  <si>
    <t>Total Program 244</t>
  </si>
  <si>
    <t>Total Program 261</t>
  </si>
  <si>
    <t>Total Program 139</t>
  </si>
  <si>
    <t>Total Program 329</t>
  </si>
  <si>
    <t>Total Program 328</t>
  </si>
  <si>
    <t>Total Program 327</t>
  </si>
  <si>
    <t>Total Program 326</t>
  </si>
  <si>
    <t>Total Program 325</t>
  </si>
  <si>
    <t>Total Program 271</t>
  </si>
  <si>
    <t>Total Program 165</t>
  </si>
  <si>
    <t>Total Program 160</t>
  </si>
  <si>
    <t>Total Program 151</t>
  </si>
  <si>
    <t>Total Program 335</t>
  </si>
  <si>
    <t>Total Program 304</t>
  </si>
  <si>
    <t>Total Program 173</t>
  </si>
  <si>
    <t>Total Program 195</t>
  </si>
  <si>
    <t>Total Program 214</t>
  </si>
  <si>
    <t>Total Program 186</t>
  </si>
  <si>
    <t>Total Program 350</t>
  </si>
  <si>
    <t>Total Program 154</t>
  </si>
  <si>
    <t>Total Program 218</t>
  </si>
  <si>
    <t>Total Program 201</t>
  </si>
  <si>
    <t>Total Program 92</t>
  </si>
  <si>
    <t>Total Program 150</t>
  </si>
  <si>
    <t>Total Program 48</t>
  </si>
  <si>
    <t>Total Program 265</t>
  </si>
  <si>
    <t>Total Program 275</t>
  </si>
  <si>
    <t>Total Program 319</t>
  </si>
  <si>
    <t>Total Program 42</t>
  </si>
  <si>
    <t>Total Program 194</t>
  </si>
  <si>
    <t>Total Program 157</t>
  </si>
  <si>
    <t>Total Program 36</t>
  </si>
  <si>
    <t>Total Program 155</t>
  </si>
  <si>
    <t>Total Program 169</t>
  </si>
  <si>
    <t>Total Program 153</t>
  </si>
  <si>
    <t>Total Program 149</t>
  </si>
  <si>
    <t>Total Program 148</t>
  </si>
  <si>
    <t>Total Program 32</t>
  </si>
  <si>
    <t>Total Program 357</t>
  </si>
  <si>
    <t>Total Program 368</t>
  </si>
  <si>
    <t>Total Program 230</t>
  </si>
  <si>
    <t>Total Program 268</t>
  </si>
  <si>
    <t>Total Program 166</t>
  </si>
  <si>
    <t>Total Program 226</t>
  </si>
  <si>
    <t>Total Program 26</t>
  </si>
  <si>
    <t>Total Program 297</t>
  </si>
  <si>
    <t>Total Program 296</t>
  </si>
  <si>
    <t>Total Program 295</t>
  </si>
  <si>
    <t>Total Program 192</t>
  </si>
  <si>
    <t>Total Program 19</t>
  </si>
  <si>
    <t>Total Program 91</t>
  </si>
  <si>
    <t>Total Program 210</t>
  </si>
  <si>
    <t>Total Program 75</t>
  </si>
  <si>
    <t>Total Program 225</t>
  </si>
  <si>
    <t>Total Program 253</t>
  </si>
  <si>
    <t>Total Program 333</t>
  </si>
  <si>
    <t>Total Program 251</t>
  </si>
  <si>
    <t>Total Program 183</t>
  </si>
  <si>
    <t>Total Program 79</t>
  </si>
  <si>
    <t>Total Program 206</t>
  </si>
  <si>
    <t>Total Program 209</t>
  </si>
  <si>
    <t>Total Program 291</t>
  </si>
  <si>
    <t>Total Program 292</t>
  </si>
  <si>
    <t>Total Program 276</t>
  </si>
  <si>
    <t>Total Program 272</t>
  </si>
  <si>
    <t>Total Program 330</t>
  </si>
  <si>
    <t>Total Program 312</t>
  </si>
  <si>
    <t>Total Program 311</t>
  </si>
  <si>
    <t>Total Program 313</t>
  </si>
  <si>
    <t>Total Program 223</t>
  </si>
  <si>
    <t>Total Program 11</t>
  </si>
  <si>
    <t>Total Program 114</t>
  </si>
  <si>
    <t>Total Program 309</t>
  </si>
  <si>
    <t>Total Program 337</t>
  </si>
  <si>
    <t>Total Program 277</t>
  </si>
  <si>
    <t>Total Program 249</t>
  </si>
  <si>
    <t>Total Program 278</t>
  </si>
  <si>
    <t>Total Program 140</t>
  </si>
  <si>
    <t>Total Program 9</t>
  </si>
  <si>
    <t>Total Program 172</t>
  </si>
  <si>
    <t>Total Program 286</t>
  </si>
  <si>
    <t>Total Program 354</t>
  </si>
  <si>
    <t>Total Program 369</t>
  </si>
  <si>
    <t>Total Program 370</t>
  </si>
  <si>
    <t>Total Program 349</t>
  </si>
  <si>
    <t>Total Program 348</t>
  </si>
  <si>
    <t>Total Program 229</t>
  </si>
  <si>
    <t>Total Program 221</t>
  </si>
  <si>
    <t>Total Program 189</t>
  </si>
  <si>
    <t>Total Program 145</t>
  </si>
  <si>
    <t>Total Program 179</t>
  </si>
  <si>
    <t>Total Program 250</t>
  </si>
  <si>
    <t>Total Program 123</t>
  </si>
  <si>
    <t>Total Program 269</t>
  </si>
  <si>
    <t>Total Program 305</t>
  </si>
  <si>
    <t>Total Program 170</t>
  </si>
  <si>
    <t>Williams Case Implementation I, II, and III (Program 351)</t>
  </si>
  <si>
    <t>Uniform Complaint Procedures (Program 346)</t>
  </si>
  <si>
    <t>Training for School Employee Mandated Reporters (Program 367)</t>
  </si>
  <si>
    <t>The Stull Act (Program 260)</t>
  </si>
  <si>
    <t>Teacher Incentive Program (Program 252)</t>
  </si>
  <si>
    <t>Teacher Credentialing (Program 352)</t>
  </si>
  <si>
    <t>Student Records (Program 308)</t>
  </si>
  <si>
    <t>Standards-Based Accountability (Program 224)</t>
  </si>
  <si>
    <t>Standardized Testing and Reporting (Program 208)</t>
  </si>
  <si>
    <t>Scoliosis Screening (Program 58)</t>
  </si>
  <si>
    <t>Schoolsite Discipline Rules (Program 146)</t>
  </si>
  <si>
    <t>School Testing – Physical Fitness (Program 115)</t>
  </si>
  <si>
    <t>School District Reorganization (Program 228)</t>
  </si>
  <si>
    <t>School District of Choice: Transfers and Appeals (Program 156)</t>
  </si>
  <si>
    <t>School District Fiscal Accountability Reporting and Employee Benefits Disclosure (Program 258)</t>
  </si>
  <si>
    <t>School District Fiscal Accountability Reporting (Program 211)</t>
  </si>
  <si>
    <t>School Crimes Statistics Reporting (Program 109)</t>
  </si>
  <si>
    <t>School Crimes Reporting II (Program 190)</t>
  </si>
  <si>
    <t>School Bus Safety I and II (Program 184)</t>
  </si>
  <si>
    <t>School Accountability Report Cards (Program 171)</t>
  </si>
  <si>
    <t>Removal of Chemicals (Program 57)</t>
  </si>
  <si>
    <t>Race to the Top (Program 362)</t>
  </si>
  <si>
    <t>Pupil Suspensions, Expulsions, and Expulsion Appeals (Program 176)</t>
  </si>
  <si>
    <t>Pupil Safety Notices (Program 280)</t>
  </si>
  <si>
    <t>Pupil Residency Verification and Appeals (Program 182)</t>
  </si>
  <si>
    <t>Pupil Promotion and Retention (Program 244)</t>
  </si>
  <si>
    <t>Pupil Health Screenings (Program 261)</t>
  </si>
  <si>
    <t>Pupil Health Screenings (Program 139)</t>
  </si>
  <si>
    <t>Pupil Expulsions II, Pupil Suspensions II, and Educational Services Plan (7/1/2001 to 6/30/2012) (Program 329)</t>
  </si>
  <si>
    <t>Pupil Expulsions II, Pupil Suspensions II, and Educational Services Plan (7/1/1999 to 6/30/2001) (Program 328)</t>
  </si>
  <si>
    <t>Pupil Expulsions II, Pupil Suspensions II, and Educational Services Plan (7/1/1997 to 6/30/1999) (Program 327)</t>
  </si>
  <si>
    <t>Pupil Expulsions II, Pupil Suspensions II, and Educational Services Plan (7/1/1996 to 6/30/1997) (Program 326)</t>
  </si>
  <si>
    <t>Pupil Expulsions II, Pupil Suspensions II, and Educational Services Plan (7/1/1995 to 6/30/1996) (Program 325)</t>
  </si>
  <si>
    <t>Pupil Expulsions from School: Additional Hearing Costs for Mandatory Recommendations for Expulsion (Program 271)</t>
  </si>
  <si>
    <t>Pupil Exclusions (Program 165)</t>
  </si>
  <si>
    <t>Pupil Classroom Suspension: Counseling (Program 160)</t>
  </si>
  <si>
    <t>Pupil Classroom Suspension: Counseling (Program 151)</t>
  </si>
  <si>
    <t>Public Contracts (K-14) (Program 335)</t>
  </si>
  <si>
    <t>Prevailing Wage Rate (Program 304)</t>
  </si>
  <si>
    <t>Physical Performance Tests (Program 173)</t>
  </si>
  <si>
    <t>Physical Education Reports (Program 195)</t>
  </si>
  <si>
    <t>Photographic Record of Evidence (Program 214)</t>
  </si>
  <si>
    <t>Peace Officers Procedural Bill of Rights (Program 186)</t>
  </si>
  <si>
    <t>Parental Involvement Programs (Program 350)</t>
  </si>
  <si>
    <t>Parent Classroom Visits (Program 154)</t>
  </si>
  <si>
    <t>Open Meetings Act/Brown Act Reform (Program 218)</t>
  </si>
  <si>
    <t>Open Meetings Act II (Program 201)</t>
  </si>
  <si>
    <t>Open Meetings Act (Program 92)</t>
  </si>
  <si>
    <t>Notification to Teachers: Pupils Subject to Suspension or Expulsion (Program 150)</t>
  </si>
  <si>
    <t>Notification of Truancy (Program 48)</t>
  </si>
  <si>
    <t>National Norm-Referenced Achievement Test (formerly Standardized Testing and Reporting (STAR)) (Program 265)</t>
  </si>
  <si>
    <t>Missing Children Reports (Program 275)</t>
  </si>
  <si>
    <t>Mandate Reimbursement Process I and II (Program 319)</t>
  </si>
  <si>
    <t>Mandate Reimbursement Process (Program 42)</t>
  </si>
  <si>
    <t>Law Enforcement Sexual Harassment Complaint Procedures and Training (Program 194)</t>
  </si>
  <si>
    <t>Law Enforcement Agency Notification (Program 157)</t>
  </si>
  <si>
    <t>Juvenile Court Records (Program 36)</t>
  </si>
  <si>
    <t>Juvenile Court Notices II (Program 155)</t>
  </si>
  <si>
    <t>Investment Reports (Program 169)</t>
  </si>
  <si>
    <t>Intradistrict Attendance (Program 153)</t>
  </si>
  <si>
    <t>Interdistrict Transfer Requests: Parent's Employment (Program 149)</t>
  </si>
  <si>
    <t>Interdistrict Attendance Permits (Program 148)</t>
  </si>
  <si>
    <t>Immunization Records (Program 32)</t>
  </si>
  <si>
    <t>Immunization Records – Pertussis (Program 357)</t>
  </si>
  <si>
    <t>Immunization Records – Mumps, Rubella, and Hepatitis B (Program 368)</t>
  </si>
  <si>
    <t>Immunization Records – Hepatitis B (Program 230)</t>
  </si>
  <si>
    <t>High School Exit Examination (Program 268)</t>
  </si>
  <si>
    <t>Habitual Truants (Program 166)</t>
  </si>
  <si>
    <t>Grand Jury Proceedings (Program 226)</t>
  </si>
  <si>
    <t>Graduation Requirements (Program 26)</t>
  </si>
  <si>
    <t>Graduation Requirements (On or after 1/1/2005) (Program 297)</t>
  </si>
  <si>
    <t>Graduation Requirements (7/1/2004 to 12/21/2004) (Program 296)</t>
  </si>
  <si>
    <t>Graduation Requirements (7/1/1995 to 6/30/2004) (Program 295)</t>
  </si>
  <si>
    <t>Financial and Compliance Audits (Program 192)</t>
  </si>
  <si>
    <t>Expulsion Reports (Program 19)</t>
  </si>
  <si>
    <t>Expulsion of Pupils Transcript Cost for Appeals (Program 91)</t>
  </si>
  <si>
    <t>Employee Benefits Disclosure (Program 210)</t>
  </si>
  <si>
    <t>Emergency Procedures: Earthquakes and Disasters (Program 75)</t>
  </si>
  <si>
    <t>Emergency Procedures, Earthquake Procedures, and Disasters and Comprehensive School Safety Plans (Program 225)</t>
  </si>
  <si>
    <t>Differential Pay and Reemployment (Program 253)</t>
  </si>
  <si>
    <t>Developer Fees (Program 333)</t>
  </si>
  <si>
    <t>Criminal Background Checks II (Program 251)</t>
  </si>
  <si>
    <t>Criminal Background Checks (Program 183)</t>
  </si>
  <si>
    <t>Credential Monitoring (Program 79)</t>
  </si>
  <si>
    <t>County Treasury Oversight Committee (Program 206)</t>
  </si>
  <si>
    <t>County Office of Education Fiscal Accountability Reporting (Program 209)</t>
  </si>
  <si>
    <t>Consolidation of Pupil Discipline Records and Notification to Teachers: Pupils Subject to Suspension or Expulsion II (Program 291)</t>
  </si>
  <si>
    <t>Consolidation of Notification to Teachers: Pupils Subject to Suspension or Expulsion and Pupil Discipline Records, Notification to Teachers: Pupils Subject to Suspension or Expulsion II (Program 292)</t>
  </si>
  <si>
    <t>Consolidation of Law Enforcement Agency Notification and Missing Children Reports (Program 276)</t>
  </si>
  <si>
    <t>Consolidation of Annual Parent Notification/Schoolsite Discipline Rules/Alternative Schools (Program 272)</t>
  </si>
  <si>
    <t>Consolidated Suspensions, Expulsions, and Expulsion Appeals (Program 330)</t>
  </si>
  <si>
    <t>Comprehensive School Safety Plans II: Earthquake Emergency Procedure System and Use of School Buildings During Emergencies (Program 312)</t>
  </si>
  <si>
    <t>Comprehensive School Safety Plans II: Discrimination and Harassment Policy, and Hate Crime Reporting Procedures (Program 311)</t>
  </si>
  <si>
    <t>Comprehensive School Safety Plans I and II (Program 313)</t>
  </si>
  <si>
    <t>Comprehensive School Safety Plans (Program 223)</t>
  </si>
  <si>
    <t>Collective Bargaining and Collective Bargaining Agreement Disclosure (Program 11)</t>
  </si>
  <si>
    <t>Civic Center Act (Program 114)</t>
  </si>
  <si>
    <t>Child Abuse and Neglect Reporting (Program 309)</t>
  </si>
  <si>
    <t>Charter Schools IV (Program 337)</t>
  </si>
  <si>
    <t>Charter Schools III (Program 277)</t>
  </si>
  <si>
    <t>Charter Schools II (Program 249)</t>
  </si>
  <si>
    <t>Charter Schools I, II, III (Program 278)</t>
  </si>
  <si>
    <t>Charter Schools (Program 140)</t>
  </si>
  <si>
    <t>Certified Teachers Evaluators (Program 9)</t>
  </si>
  <si>
    <t>Caregiver Affidavits to Establish Residence for School Attendance (Program 172)</t>
  </si>
  <si>
    <t>California State Teachers' Retirement System (CalSTRS) Service Credit (Program 286)</t>
  </si>
  <si>
    <t>California Public Records Act (Program 354)</t>
  </si>
  <si>
    <t>California Assessment of Student Performance and Progress (CAASPP) (Program 369)</t>
  </si>
  <si>
    <t>Cal Grant: Opt-Out Notice and Grade Point Average Submission (Program 370)</t>
  </si>
  <si>
    <t>Behavioral Intervention Plans (On or after 7/1/2012) (Program 349)</t>
  </si>
  <si>
    <t>Behavioral Intervention Plans (7/1/1993 to 6/30/2012) (Program 348)</t>
  </si>
  <si>
    <t>Attendance Accounting (Program 229)</t>
  </si>
  <si>
    <t>Annual Parent Notification III (Program 221)</t>
  </si>
  <si>
    <t>Annual Parent Notification II (Program 189)</t>
  </si>
  <si>
    <t>Annual Parent Notification (Program 145)</t>
  </si>
  <si>
    <t>American Government Course Document Requirements (Program 179)</t>
  </si>
  <si>
    <t>AIDS Prevention Instruction II (Program 250)</t>
  </si>
  <si>
    <t>AIDS Prevention Instruction (Program 123)</t>
  </si>
  <si>
    <t>Agency Fee Arrangements (Program 269)</t>
  </si>
  <si>
    <t>Academic Performance Index (Program 305)</t>
  </si>
  <si>
    <t>Absentee Ballots (Program 170)</t>
  </si>
  <si>
    <t>The end of the report.</t>
  </si>
  <si>
    <t>Total School Districts</t>
  </si>
  <si>
    <t>Total Program 301</t>
  </si>
  <si>
    <t>Total Program 307</t>
  </si>
  <si>
    <t>Total Program 247</t>
  </si>
  <si>
    <t>Total Program 241</t>
  </si>
  <si>
    <t>Total Program 294</t>
  </si>
  <si>
    <t>Total Program 303</t>
  </si>
  <si>
    <t>Total Program 240</t>
  </si>
  <si>
    <t>Total Program 239</t>
  </si>
  <si>
    <t>Total Program 238</t>
  </si>
  <si>
    <t>Total Program 254</t>
  </si>
  <si>
    <t>Total Program 347</t>
  </si>
  <si>
    <t>Total Program 317</t>
  </si>
  <si>
    <t>Total Program 320</t>
  </si>
  <si>
    <t>Total Program 237</t>
  </si>
  <si>
    <t>Total Program 236</t>
  </si>
  <si>
    <t>Total Program 212</t>
  </si>
  <si>
    <t>Total Program 235</t>
  </si>
  <si>
    <t>Total Program 256</t>
  </si>
  <si>
    <t>Total Program 234</t>
  </si>
  <si>
    <t>Total Program 29</t>
  </si>
  <si>
    <t>Total Program 233</t>
  </si>
  <si>
    <t>Total Program 243</t>
  </si>
  <si>
    <t>Total Program 267</t>
  </si>
  <si>
    <t>Total Program 344</t>
  </si>
  <si>
    <t>Total Program 343</t>
  </si>
  <si>
    <t>Total Program 340</t>
  </si>
  <si>
    <t>Total Program 339</t>
  </si>
  <si>
    <t>Total Program 338</t>
  </si>
  <si>
    <t>Total Program 332</t>
  </si>
  <si>
    <t>Total Program 232</t>
  </si>
  <si>
    <t>Total Program 287</t>
  </si>
  <si>
    <t>Total Program 355</t>
  </si>
  <si>
    <t>Total Program 302</t>
  </si>
  <si>
    <t>Total Program 270</t>
  </si>
  <si>
    <t>Total Program 231</t>
  </si>
  <si>
    <t>Tuition Fee Waivers (Program 301)</t>
  </si>
  <si>
    <t>Student Records (Program 307)</t>
  </si>
  <si>
    <t>Sexual Assault Response Procedures (Program 247)</t>
  </si>
  <si>
    <t>Sex Offenders: Disclosure by Law Enforcement Officers (Megan's Law) (Program 241)</t>
  </si>
  <si>
    <t>Reporting Improper Governmental Activities (Program 294)</t>
  </si>
  <si>
    <t>Prevailing Wage Rate (Program 303)</t>
  </si>
  <si>
    <t>Photographic Record of Evidence (Program 240)</t>
  </si>
  <si>
    <t>Peace Officers Procedural Bill of Rights (Program 239)</t>
  </si>
  <si>
    <t>Open Meetings/Brown Act Reform (Program 238)</t>
  </si>
  <si>
    <t>Open Meetings Act II (Program 254)</t>
  </si>
  <si>
    <t>Minimum Conditions for State Aid (Program 347)</t>
  </si>
  <si>
    <t>Mandate Reimbursement Process II (Program 317)</t>
  </si>
  <si>
    <t>Mandate Reimbursement Process I and II (Program 320)</t>
  </si>
  <si>
    <t>Mandate Reimbursement Process I (Program 237)</t>
  </si>
  <si>
    <t>Law Enforcement Sexual Harassment Complaint Procedures and Training (Program 236)</t>
  </si>
  <si>
    <t>Law Enforcement College Jurisdiction Agreements (Program 212)</t>
  </si>
  <si>
    <t>Investment Reports (Program 235)</t>
  </si>
  <si>
    <t>Integrated Waste Management (Program 256)</t>
  </si>
  <si>
    <t>Health Fee Elimination (On or after 7/1/1994) (Program 234)</t>
  </si>
  <si>
    <t>Health Fee Elimination (Program 29)</t>
  </si>
  <si>
    <t>Health Benefits for Survivors of Peace Officers and Firefighters (Program 233)</t>
  </si>
  <si>
    <t>Grand Jury Proceedings (Program 243)</t>
  </si>
  <si>
    <t>Enrollment Fee Collection and Waivers (Program 267)</t>
  </si>
  <si>
    <t>Discrimination Complaint Procedures (Set Two) (Program 344)</t>
  </si>
  <si>
    <t>Discrimination Complaint Procedures (Set One) (Program 343)</t>
  </si>
  <si>
    <t>Discrimination Complaint Procedures (Equal Employment Opportunity Program - Set Three) (Program 340)</t>
  </si>
  <si>
    <t>Discrimination Complaint Procedures (Equal Employment Opportunity Program - Set Two) (Program 339)</t>
  </si>
  <si>
    <t>Discrimination Complaint Procedures (Equal Employment Opportunity Program - Set One) (Program 338)</t>
  </si>
  <si>
    <t>Community College Construction (Program 332)</t>
  </si>
  <si>
    <t>Collective Bargaining and Collective Bargaining Agreement Disclosure (Program 232)</t>
  </si>
  <si>
    <t>California State Teachers' Retirement System (CalSTRS) Service Credit (Program 287)</t>
  </si>
  <si>
    <t>California Public Records Act (Program 355)</t>
  </si>
  <si>
    <t>Cal Grants (Program 302)</t>
  </si>
  <si>
    <t>Agency Fee Arrangements (Program 270)</t>
  </si>
  <si>
    <t>Absentee Ballots (Program 231)</t>
  </si>
  <si>
    <t>Grand Total Community College Districts</t>
  </si>
  <si>
    <t>Total Community College Districts</t>
  </si>
  <si>
    <t>(H)
Net Program Costs
Sum (C through G)</t>
  </si>
  <si>
    <t>Domestic Violence Treatment (Program 142)</t>
  </si>
  <si>
    <t>School Bus Safety (Program 137)</t>
  </si>
  <si>
    <t>Grand Total Local Agencies</t>
  </si>
  <si>
    <t>Total Local Agencies</t>
  </si>
  <si>
    <t>DETAIL:             SCHOOL DISTRICTS                                                                                                                               Page 50</t>
  </si>
  <si>
    <t>DETAIL:             COMMUNITY COLLEGE DISTRICTS                                                                                                      Page 93</t>
  </si>
  <si>
    <t>Net Program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</si>
</sst>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sz val="12"/>
      <color theme="0"/>
      <name val="Arial"/>
      <family val="2"/>
    </font>
    <font>
      <b/>
      <sz val="32"/>
      <name val="Arial"/>
      <family val="2"/>
    </font>
    <font>
      <sz val="24"/>
      <color theme="0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sz val="12"/>
      <color rgb="FFFFFFFF"/>
      <name val="Arial"/>
      <family val="2"/>
    </font>
    <font>
      <b/>
      <sz val="12"/>
      <color theme="1"/>
      <name val="Arial"/>
      <family val="2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b/>
      <sz val="9"/>
      <color indexed="81"/>
      <name val="Tahoma"/>
      <family val="2"/>
    </font>
    <font>
      <sz val="12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rgb="FFFFFFFF"/>
      <name val="Calibri"/>
      <family val="2"/>
    </font>
    <font>
      <b/>
      <sz val="12"/>
      <color rgb="FF000000"/>
      <name val="Arial"/>
      <family val="2"/>
    </font>
    <font>
      <b/>
      <sz val="12"/>
      <color theme="1"/>
      <name val="Arial"/>
    </font>
    <font>
      <b/>
      <sz val="12"/>
      <color theme="0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53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Continuous" vertical="center" wrapText="1"/>
    </xf>
    <xf numFmtId="0" fontId="13" fillId="0" borderId="0" xfId="0" applyFont="1" applyFill="1" applyAlignment="1">
      <alignment horizontal="centerContinuous"/>
    </xf>
    <xf numFmtId="0" fontId="13" fillId="0" borderId="0" xfId="0" applyFont="1" applyFill="1"/>
    <xf numFmtId="0" fontId="13" fillId="0" borderId="0" xfId="0" applyFont="1" applyFill="1" applyBorder="1"/>
    <xf numFmtId="0" fontId="13" fillId="0" borderId="0" xfId="1" applyFont="1" applyFill="1" applyBorder="1"/>
    <xf numFmtId="0" fontId="4" fillId="0" borderId="0" xfId="0" applyFont="1" applyFill="1" applyBorder="1"/>
    <xf numFmtId="0" fontId="13" fillId="2" borderId="0" xfId="0" applyFont="1" applyFill="1"/>
    <xf numFmtId="0" fontId="11" fillId="0" borderId="0" xfId="0" applyFont="1" applyFill="1" applyAlignment="1"/>
    <xf numFmtId="0" fontId="11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1" fillId="0" borderId="2" xfId="0" applyFont="1" applyFill="1" applyBorder="1"/>
    <xf numFmtId="0" fontId="16" fillId="0" borderId="0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1" fillId="0" borderId="0" xfId="0" applyFont="1" applyFill="1"/>
    <xf numFmtId="0" fontId="12" fillId="0" borderId="1" xfId="0" applyFont="1" applyFill="1" applyBorder="1"/>
    <xf numFmtId="0" fontId="17" fillId="0" borderId="2" xfId="0" applyFont="1" applyFill="1" applyBorder="1" applyAlignment="1">
      <alignment horizontal="center"/>
    </xf>
    <xf numFmtId="0" fontId="11" fillId="0" borderId="2" xfId="0" applyFont="1" applyFill="1" applyBorder="1" applyAlignment="1"/>
    <xf numFmtId="0" fontId="13" fillId="0" borderId="0" xfId="0" applyFont="1" applyFill="1" applyBorder="1" applyAlignment="1"/>
    <xf numFmtId="164" fontId="12" fillId="0" borderId="2" xfId="0" applyNumberFormat="1" applyFont="1" applyFill="1" applyBorder="1"/>
    <xf numFmtId="0" fontId="11" fillId="0" borderId="1" xfId="0" applyFont="1" applyFill="1" applyBorder="1"/>
    <xf numFmtId="0" fontId="20" fillId="0" borderId="0" xfId="0" applyFont="1"/>
    <xf numFmtId="6" fontId="13" fillId="0" borderId="0" xfId="0" applyNumberFormat="1" applyFont="1" applyFill="1" applyAlignment="1">
      <alignment horizontal="centerContinuous"/>
    </xf>
    <xf numFmtId="6" fontId="11" fillId="0" borderId="4" xfId="0" applyNumberFormat="1" applyFont="1" applyFill="1" applyBorder="1" applyAlignment="1">
      <alignment horizontal="center" vertical="center"/>
    </xf>
    <xf numFmtId="6" fontId="11" fillId="0" borderId="5" xfId="0" applyNumberFormat="1" applyFont="1" applyFill="1" applyBorder="1" applyAlignment="1">
      <alignment horizontal="center" vertical="center"/>
    </xf>
    <xf numFmtId="6" fontId="13" fillId="0" borderId="0" xfId="0" applyNumberFormat="1" applyFont="1" applyFill="1" applyBorder="1"/>
    <xf numFmtId="6" fontId="11" fillId="0" borderId="2" xfId="0" applyNumberFormat="1" applyFont="1" applyFill="1" applyBorder="1"/>
    <xf numFmtId="6" fontId="15" fillId="0" borderId="2" xfId="0" applyNumberFormat="1" applyFont="1" applyBorder="1"/>
    <xf numFmtId="6" fontId="13" fillId="0" borderId="0" xfId="0" applyNumberFormat="1" applyFont="1" applyFill="1"/>
    <xf numFmtId="6" fontId="13" fillId="2" borderId="0" xfId="0" applyNumberFormat="1" applyFont="1" applyFill="1"/>
    <xf numFmtId="0" fontId="22" fillId="0" borderId="0" xfId="0" applyFont="1"/>
    <xf numFmtId="6" fontId="22" fillId="0" borderId="0" xfId="0" applyNumberFormat="1" applyFont="1"/>
    <xf numFmtId="37" fontId="22" fillId="0" borderId="0" xfId="0" applyNumberFormat="1" applyFont="1"/>
    <xf numFmtId="6" fontId="15" fillId="0" borderId="1" xfId="0" applyNumberFormat="1" applyFont="1" applyBorder="1"/>
    <xf numFmtId="37" fontId="4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6" fontId="22" fillId="0" borderId="0" xfId="0" applyNumberFormat="1" applyFont="1" applyBorder="1"/>
    <xf numFmtId="37" fontId="4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6" fontId="15" fillId="0" borderId="5" xfId="0" applyNumberFormat="1" applyFont="1" applyFill="1" applyBorder="1" applyAlignment="1">
      <alignment horizontal="center" wrapText="1"/>
    </xf>
    <xf numFmtId="6" fontId="15" fillId="0" borderId="4" xfId="0" applyNumberFormat="1" applyFont="1" applyFill="1" applyBorder="1" applyAlignment="1">
      <alignment horizontal="center" wrapText="1"/>
    </xf>
    <xf numFmtId="6" fontId="15" fillId="0" borderId="4" xfId="2" applyNumberFormat="1" applyFont="1" applyFill="1" applyBorder="1" applyAlignment="1">
      <alignment horizontal="center" wrapText="1"/>
    </xf>
    <xf numFmtId="6" fontId="15" fillId="0" borderId="4" xfId="0" applyNumberFormat="1" applyFont="1" applyBorder="1" applyAlignment="1">
      <alignment horizontal="center" wrapText="1"/>
    </xf>
    <xf numFmtId="6" fontId="15" fillId="0" borderId="4" xfId="2" applyNumberFormat="1" applyFont="1" applyBorder="1" applyAlignment="1">
      <alignment horizontal="center" wrapText="1"/>
    </xf>
    <xf numFmtId="37" fontId="15" fillId="0" borderId="4" xfId="0" applyNumberFormat="1" applyFont="1" applyBorder="1" applyAlignment="1">
      <alignment horizontal="center" wrapText="1"/>
    </xf>
    <xf numFmtId="0" fontId="15" fillId="0" borderId="3" xfId="0" applyFont="1" applyBorder="1" applyAlignment="1">
      <alignment horizontal="center" wrapText="1"/>
    </xf>
    <xf numFmtId="6" fontId="15" fillId="0" borderId="0" xfId="0" applyNumberFormat="1" applyFont="1" applyBorder="1"/>
    <xf numFmtId="37" fontId="15" fillId="0" borderId="0" xfId="0" applyNumberFormat="1" applyFont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37" fontId="22" fillId="0" borderId="0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6" fontId="22" fillId="0" borderId="0" xfId="0" applyNumberFormat="1" applyFont="1" applyBorder="1" applyAlignment="1">
      <alignment vertical="center"/>
    </xf>
    <xf numFmtId="37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wrapText="1"/>
    </xf>
    <xf numFmtId="0" fontId="15" fillId="0" borderId="0" xfId="0" applyFont="1"/>
    <xf numFmtId="6" fontId="15" fillId="0" borderId="7" xfId="0" applyNumberFormat="1" applyFont="1" applyBorder="1"/>
    <xf numFmtId="0" fontId="15" fillId="0" borderId="6" xfId="0" applyFont="1" applyBorder="1" applyAlignment="1">
      <alignment horizontal="center"/>
    </xf>
    <xf numFmtId="6" fontId="15" fillId="0" borderId="9" xfId="0" applyNumberFormat="1" applyFont="1" applyBorder="1"/>
    <xf numFmtId="0" fontId="12" fillId="0" borderId="9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 wrapText="1"/>
    </xf>
    <xf numFmtId="6" fontId="15" fillId="0" borderId="1" xfId="0" applyNumberFormat="1" applyFont="1" applyBorder="1" applyAlignment="1">
      <alignment vertical="center"/>
    </xf>
    <xf numFmtId="37" fontId="12" fillId="0" borderId="1" xfId="0" applyNumberFormat="1" applyFont="1" applyBorder="1" applyAlignment="1">
      <alignment horizontal="center"/>
    </xf>
    <xf numFmtId="0" fontId="15" fillId="0" borderId="0" xfId="0" applyFont="1" applyBorder="1"/>
    <xf numFmtId="37" fontId="12" fillId="0" borderId="2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22" fillId="0" borderId="0" xfId="0" applyFont="1" applyAlignment="1">
      <alignment vertical="center"/>
    </xf>
    <xf numFmtId="6" fontId="22" fillId="0" borderId="2" xfId="0" applyNumberFormat="1" applyFont="1" applyBorder="1" applyAlignment="1">
      <alignment vertical="center"/>
    </xf>
    <xf numFmtId="37" fontId="22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wrapText="1"/>
    </xf>
    <xf numFmtId="6" fontId="15" fillId="0" borderId="0" xfId="0" applyNumberFormat="1" applyFont="1" applyAlignment="1">
      <alignment horizontal="center"/>
    </xf>
    <xf numFmtId="37" fontId="15" fillId="0" borderId="0" xfId="0" applyNumberFormat="1" applyFont="1" applyAlignment="1">
      <alignment horizontal="center"/>
    </xf>
    <xf numFmtId="37" fontId="4" fillId="0" borderId="9" xfId="0" applyNumberFormat="1" applyFont="1" applyBorder="1" applyAlignment="1">
      <alignment horizontal="center"/>
    </xf>
    <xf numFmtId="6" fontId="22" fillId="0" borderId="2" xfId="0" applyNumberFormat="1" applyFont="1" applyBorder="1"/>
    <xf numFmtId="37" fontId="22" fillId="0" borderId="2" xfId="0" applyNumberFormat="1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6" fontId="15" fillId="0" borderId="0" xfId="0" applyNumberFormat="1" applyFont="1" applyFill="1" applyBorder="1" applyAlignment="1">
      <alignment horizontal="centerContinuous" vertical="center" wrapText="1"/>
    </xf>
    <xf numFmtId="6" fontId="15" fillId="0" borderId="0" xfId="0" applyNumberFormat="1" applyFont="1" applyFill="1" applyBorder="1" applyAlignment="1">
      <alignment horizontal="centerContinuous" vertical="center"/>
    </xf>
    <xf numFmtId="6" fontId="15" fillId="0" borderId="0" xfId="0" applyNumberFormat="1" applyFont="1" applyBorder="1" applyAlignment="1">
      <alignment horizontal="centerContinuous" vertical="center"/>
    </xf>
    <xf numFmtId="6" fontId="15" fillId="0" borderId="0" xfId="2" applyNumberFormat="1" applyFont="1" applyBorder="1" applyAlignment="1">
      <alignment horizontal="centerContinuous" vertical="center" wrapText="1"/>
    </xf>
    <xf numFmtId="37" fontId="15" fillId="0" borderId="0" xfId="0" applyNumberFormat="1" applyFont="1" applyBorder="1" applyAlignment="1">
      <alignment horizontal="centerContinuous" vertical="center" wrapText="1"/>
    </xf>
    <xf numFmtId="0" fontId="15" fillId="0" borderId="0" xfId="0" applyFont="1" applyBorder="1" applyAlignment="1">
      <alignment horizontal="centerContinuous" vertical="center" wrapText="1"/>
    </xf>
    <xf numFmtId="0" fontId="22" fillId="0" borderId="0" xfId="0" applyFont="1" applyAlignment="1">
      <alignment horizontal="center" vertical="center"/>
    </xf>
    <xf numFmtId="6" fontId="22" fillId="0" borderId="0" xfId="0" applyNumberFormat="1" applyFont="1" applyAlignment="1">
      <alignment horizontal="right" vertical="center"/>
    </xf>
    <xf numFmtId="0" fontId="23" fillId="0" borderId="0" xfId="0" applyFont="1" applyFill="1" applyBorder="1"/>
    <xf numFmtId="6" fontId="1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6" fontId="22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6" fontId="24" fillId="0" borderId="5" xfId="0" applyNumberFormat="1" applyFont="1" applyFill="1" applyBorder="1" applyAlignment="1">
      <alignment horizontal="center" wrapText="1"/>
    </xf>
    <xf numFmtId="6" fontId="24" fillId="0" borderId="4" xfId="0" applyNumberFormat="1" applyFont="1" applyFill="1" applyBorder="1" applyAlignment="1">
      <alignment horizontal="center" wrapText="1"/>
    </xf>
    <xf numFmtId="6" fontId="24" fillId="0" borderId="4" xfId="2" applyNumberFormat="1" applyFont="1" applyFill="1" applyBorder="1" applyAlignment="1">
      <alignment horizontal="center" wrapText="1"/>
    </xf>
    <xf numFmtId="37" fontId="24" fillId="0" borderId="4" xfId="0" applyNumberFormat="1" applyFont="1" applyFill="1" applyBorder="1" applyAlignment="1">
      <alignment horizontal="center" wrapText="1"/>
    </xf>
    <xf numFmtId="0" fontId="24" fillId="0" borderId="3" xfId="0" applyFont="1" applyFill="1" applyBorder="1" applyAlignment="1">
      <alignment horizontal="center" wrapText="1"/>
    </xf>
    <xf numFmtId="6" fontId="15" fillId="0" borderId="0" xfId="0" applyNumberFormat="1" applyFont="1" applyAlignment="1">
      <alignment horizontal="right" vertical="center"/>
    </xf>
    <xf numFmtId="37" fontId="15" fillId="0" borderId="0" xfId="0" applyNumberFormat="1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6" fontId="15" fillId="0" borderId="7" xfId="0" applyNumberFormat="1" applyFont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6" fontId="15" fillId="0" borderId="1" xfId="0" applyNumberFormat="1" applyFont="1" applyBorder="1" applyAlignment="1">
      <alignment horizontal="right"/>
    </xf>
    <xf numFmtId="6" fontId="15" fillId="0" borderId="10" xfId="0" applyNumberFormat="1" applyFont="1" applyFill="1" applyBorder="1" applyAlignment="1">
      <alignment horizontal="centerContinuous" vertical="center" wrapText="1"/>
    </xf>
    <xf numFmtId="6" fontId="15" fillId="0" borderId="10" xfId="0" applyNumberFormat="1" applyFont="1" applyFill="1" applyBorder="1" applyAlignment="1">
      <alignment horizontal="centerContinuous" vertical="center"/>
    </xf>
    <xf numFmtId="6" fontId="15" fillId="0" borderId="10" xfId="0" applyNumberFormat="1" applyFont="1" applyBorder="1" applyAlignment="1">
      <alignment horizontal="centerContinuous" vertical="center"/>
    </xf>
    <xf numFmtId="6" fontId="15" fillId="0" borderId="10" xfId="2" applyNumberFormat="1" applyFont="1" applyBorder="1" applyAlignment="1">
      <alignment horizontal="centerContinuous" vertical="center" wrapText="1"/>
    </xf>
    <xf numFmtId="0" fontId="15" fillId="0" borderId="10" xfId="0" applyFont="1" applyBorder="1" applyAlignment="1">
      <alignment horizontal="centerContinuous" vertical="center" wrapText="1"/>
    </xf>
    <xf numFmtId="165" fontId="22" fillId="0" borderId="0" xfId="3" applyNumberFormat="1" applyFont="1"/>
    <xf numFmtId="6" fontId="22" fillId="0" borderId="0" xfId="3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37" fontId="4" fillId="0" borderId="0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6" fontId="22" fillId="0" borderId="0" xfId="3" applyNumberFormat="1" applyFont="1" applyBorder="1" applyAlignment="1">
      <alignment vertical="center"/>
    </xf>
    <xf numFmtId="165" fontId="22" fillId="0" borderId="0" xfId="3" applyNumberFormat="1" applyFont="1" applyBorder="1" applyAlignment="1">
      <alignment horizontal="center" vertical="center"/>
    </xf>
    <xf numFmtId="165" fontId="15" fillId="0" borderId="0" xfId="3" applyNumberFormat="1" applyFont="1"/>
    <xf numFmtId="6" fontId="15" fillId="0" borderId="1" xfId="0" applyNumberFormat="1" applyFont="1" applyFill="1" applyBorder="1" applyAlignment="1">
      <alignment vertical="center"/>
    </xf>
    <xf numFmtId="6" fontId="22" fillId="0" borderId="0" xfId="3" applyNumberFormat="1" applyFont="1" applyFill="1" applyBorder="1" applyAlignment="1">
      <alignment vertical="center"/>
    </xf>
    <xf numFmtId="0" fontId="22" fillId="0" borderId="0" xfId="0" applyFont="1" applyProtection="1">
      <protection locked="0"/>
    </xf>
    <xf numFmtId="165" fontId="22" fillId="0" borderId="0" xfId="3" applyNumberFormat="1" applyFont="1" applyProtection="1">
      <protection locked="0"/>
    </xf>
    <xf numFmtId="165" fontId="22" fillId="0" borderId="0" xfId="3" applyNumberFormat="1" applyFont="1" applyBorder="1" applyAlignment="1">
      <alignment horizontal="center" vertical="center" wrapText="1"/>
    </xf>
    <xf numFmtId="6" fontId="22" fillId="0" borderId="0" xfId="2" applyNumberFormat="1" applyFont="1" applyBorder="1" applyAlignment="1">
      <alignment horizontal="right" wrapText="1"/>
    </xf>
    <xf numFmtId="6" fontId="22" fillId="0" borderId="0" xfId="2" applyNumberFormat="1" applyFont="1" applyFill="1" applyBorder="1" applyAlignment="1">
      <alignment horizontal="right" wrapText="1"/>
    </xf>
    <xf numFmtId="6" fontId="22" fillId="0" borderId="0" xfId="0" applyNumberFormat="1" applyFont="1" applyBorder="1" applyAlignment="1">
      <alignment horizontal="right" wrapText="1"/>
    </xf>
    <xf numFmtId="6" fontId="22" fillId="0" borderId="0" xfId="0" applyNumberFormat="1" applyFont="1" applyFill="1" applyBorder="1" applyAlignment="1">
      <alignment horizontal="right" wrapText="1"/>
    </xf>
    <xf numFmtId="6" fontId="15" fillId="0" borderId="1" xfId="0" applyNumberFormat="1" applyFont="1" applyBorder="1" applyAlignment="1">
      <alignment horizontal="right" wrapText="1"/>
    </xf>
    <xf numFmtId="6" fontId="15" fillId="0" borderId="1" xfId="0" applyNumberFormat="1" applyFont="1" applyFill="1" applyBorder="1" applyAlignment="1">
      <alignment horizontal="right" wrapText="1"/>
    </xf>
    <xf numFmtId="0" fontId="25" fillId="0" borderId="1" xfId="0" applyFont="1" applyBorder="1" applyAlignment="1">
      <alignment horizontal="center" vertical="center"/>
    </xf>
    <xf numFmtId="37" fontId="26" fillId="0" borderId="1" xfId="0" applyNumberFormat="1" applyFont="1" applyBorder="1" applyAlignment="1">
      <alignment horizontal="center"/>
    </xf>
    <xf numFmtId="6" fontId="25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6" fontId="25" fillId="0" borderId="1" xfId="0" applyNumberFormat="1" applyFont="1" applyBorder="1" applyAlignment="1">
      <alignment vertical="center"/>
    </xf>
  </cellXfs>
  <cellStyles count="4">
    <cellStyle name="Comma" xfId="2" builtinId="3"/>
    <cellStyle name="Currency" xfId="3" builtinId="4"/>
    <cellStyle name="Hyperlink" xfId="1" builtinId="8"/>
    <cellStyle name="Normal" xfId="0" builtinId="0"/>
  </cellStyles>
  <dxfs count="9862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&quot;$&quot;* #,##0_);_(&quot;$&quot;* \(#,##0\);_(&quot;$&quot;* &quot;-&quot;??_);_(@_)"/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\$#,##0_);[Red]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\$#,##0_);[Red]\(\$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righ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7" formatCode="\$#,##0_);\(\$#,##0\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5" formatCode="#,##0_);\(#,##0\)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0" formatCode="&quot;$&quot;#,##0_);[Red]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5" formatCode="#,##0_);\(#,##0\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</font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0" formatCode="&quot;$&quot;#,##0_);[Red]\(&quot;$&quot;#,##0\)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10" formatCode="&quot;$&quot;#,##0_);[Red]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color rgb="FFFFFFFF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\$#,##0_);\(\$#,##0\)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\$#,##0_);\(\$#,##0\)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7" formatCode="\$#,##0_);\(\$#,##0\)"/>
      <fill>
        <patternFill patternType="none">
          <fgColor indexed="64"/>
          <bgColor indexed="65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6</xdr:row>
      <xdr:rowOff>144133</xdr:rowOff>
    </xdr:from>
    <xdr:to>
      <xdr:col>0</xdr:col>
      <xdr:colOff>5849257</xdr:colOff>
      <xdr:row>22</xdr:row>
      <xdr:rowOff>117121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42833"/>
          <a:ext cx="3200400" cy="31225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2" name="CurrentPeriodAdjustments" displayName="CurrentPeriodAdjustments" ref="A2:F6" totalsRowCount="1" headerRowDxfId="9861" dataDxfId="9859" totalsRowDxfId="9857" headerRowBorderDxfId="9860" tableBorderDxfId="9858" totalsRowBorderDxfId="9856">
  <autoFilter ref="A2:F5"/>
  <tableColumns count="6">
    <tableColumn id="1" name="Program Costs, Audit Adjustments and Balances" totalsRowLabel="Total Current Period Adjustments" dataDxfId="9855" totalsRowDxfId="23"/>
    <tableColumn id="2" name="Comments" totalsRowLabel="N/A" dataDxfId="9854" totalsRowDxfId="22"/>
    <tableColumn id="3" name="Local Agencies" totalsRowFunction="sum" dataDxfId="9853" totalsRowDxfId="21"/>
    <tableColumn id="4" name="School Districts" totalsRowFunction="sum" dataDxfId="9852" totalsRowDxfId="20"/>
    <tableColumn id="5" name="Community College Districts" totalsRowFunction="sum" dataDxfId="9851" totalsRowDxfId="19"/>
    <tableColumn id="6" name="Grand Total" totalsRowFunction="sum" dataDxfId="9850" totalsRowDxfId="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10.xml><?xml version="1.0" encoding="utf-8"?>
<table xmlns="http://schemas.openxmlformats.org/spreadsheetml/2006/main" id="10" name="Program246" displayName="Program246" ref="A48:N71" totalsRowCount="1" headerRowDxfId="9676" dataDxfId="9674" totalsRowDxfId="9672" headerRowBorderDxfId="9675" tableBorderDxfId="9673" totalsRowBorderDxfId="9671">
  <autoFilter ref="A48:N70"/>
  <tableColumns count="14">
    <tableColumn id="1" name="(A)_x000a_Program Name" totalsRowLabel="Total Program 246" dataDxfId="9670" totalsRowDxfId="9669"/>
    <tableColumn id="2" name="(B)_x000a_Fiscal _x000a_Year" totalsRowLabel="N/A" dataDxfId="9668" totalsRowDxfId="9667"/>
    <tableColumn id="3" name="(C)_x000a_Program_x000a_Costs" totalsRowFunction="sum" dataDxfId="9666" totalsRowDxfId="9665"/>
    <tableColumn id="4" name="(D)_x000a_Prior Period Adjustments" totalsRowFunction="sum" dataDxfId="9664" totalsRowDxfId="9663"/>
    <tableColumn id="5" name="(E)_x000a_Current Period Desk _x000a_Reviews" totalsRowFunction="sum" dataDxfId="9662" totalsRowDxfId="9661"/>
    <tableColumn id="6" name="(F)_x000a_Current Period _x000a_Final _x000a_Audits" totalsRowFunction="sum" dataDxfId="9660" totalsRowDxfId="9659"/>
    <tableColumn id="7" name="(G)_x000a_Current Period _x000a_Other Adjustments" totalsRowFunction="sum" dataDxfId="9658" totalsRowDxfId="9657"/>
    <tableColumn id="8" name="(H)_x000a_Net Program Costs_x000a_Sum (C through G)" totalsRowFunction="sum" dataDxfId="9656" totalsRowDxfId="9655"/>
    <tableColumn id="9" name="(I)_x000a_Payments_x000a_ and Offsets" totalsRowFunction="sum" dataDxfId="9654" totalsRowDxfId="9653"/>
    <tableColumn id="10" name="(J)_x000a_Accounts Payable Balance_x000a_(H + I)" totalsRowFunction="sum" dataDxfId="9652" totalsRowDxfId="9651"/>
    <tableColumn id="11" name="(K)_x000a_Established _x000a_Accounts Receivable" totalsRowFunction="sum" dataDxfId="9650" totalsRowDxfId="9649"/>
    <tableColumn id="12" name="(L)_x000a_Recovered_x000a_ Accounts Receivable" totalsRowFunction="sum" dataDxfId="9648" totalsRowDxfId="9647"/>
    <tableColumn id="13" name="(M)_x000a_Accounts Receivable Balance_x000a_(K + L)" totalsRowFunction="sum" dataDxfId="9646" totalsRowDxfId="9645"/>
    <tableColumn id="14" name="(N)_x000a_Net Balance_x000a_(J minus M)" totalsRowFunction="sum" dataDxfId="9644" totalsRowDxfId="96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0.xml><?xml version="1.0" encoding="utf-8"?>
<table xmlns="http://schemas.openxmlformats.org/spreadsheetml/2006/main" id="100" name="Program147" displayName="Program147" ref="A1140:N1163" totalsRowCount="1" headerRowDxfId="6619" dataDxfId="6617" totalsRowDxfId="6615" headerRowBorderDxfId="6618" tableBorderDxfId="6616" totalsRowBorderDxfId="6614">
  <autoFilter ref="A1140:N1162"/>
  <tableColumns count="14">
    <tableColumn id="1" name="(A)_x000a_Program Name" totalsRowLabel="Total Program 147" dataDxfId="6613" totalsRowDxfId="6612"/>
    <tableColumn id="2" name="(B)_x000a_Fiscal _x000a_Year" totalsRowLabel="N/A" dataDxfId="6611" totalsRowDxfId="6610"/>
    <tableColumn id="3" name="(C)_x000a_Program_x000a_Costs" totalsRowFunction="sum" dataDxfId="6609" totalsRowDxfId="6608"/>
    <tableColumn id="4" name="(D)_x000a_Prior Period Adjustments" totalsRowFunction="sum" dataDxfId="6607" totalsRowDxfId="6606"/>
    <tableColumn id="5" name="(E)_x000a_Current Period Desk _x000a_Reviews" totalsRowFunction="sum" dataDxfId="6605" totalsRowDxfId="6604"/>
    <tableColumn id="6" name="(F)_x000a_Current Period _x000a_Final _x000a_Audits" totalsRowFunction="sum" dataDxfId="6603" totalsRowDxfId="6602"/>
    <tableColumn id="7" name="(G)_x000a_Current Period _x000a_Other Adjustments" totalsRowFunction="sum" dataDxfId="6601" totalsRowDxfId="6600"/>
    <tableColumn id="8" name="(H)_x000a_Net Program Costs_x000a_Sum (C through G)" totalsRowFunction="sum" dataDxfId="6599" totalsRowDxfId="6598"/>
    <tableColumn id="9" name="(I)_x000a_Payments_x000a_ and Offsets" totalsRowFunction="sum" dataDxfId="6597" totalsRowDxfId="6596"/>
    <tableColumn id="10" name="(J)_x000a_Accounts Payable Balance_x000a_(H + I)" totalsRowFunction="sum" dataDxfId="6595" totalsRowDxfId="6594"/>
    <tableColumn id="11" name="(K)_x000a_Established _x000a_Accounts Receivable" totalsRowFunction="sum" dataDxfId="6593" totalsRowDxfId="6592"/>
    <tableColumn id="12" name="(L)_x000a_Recovered_x000a_ Accounts Receivable" totalsRowFunction="sum" dataDxfId="6591" totalsRowDxfId="6590"/>
    <tableColumn id="13" name="(M)_x000a_Accounts Receivable Balance_x000a_(K + L)" totalsRowFunction="sum" dataDxfId="6589" totalsRowDxfId="6588"/>
    <tableColumn id="14" name="(N)_x000a_Net Balance_x000a_(J minus M)" totalsRowFunction="sum" dataDxfId="6587" totalsRowDxfId="658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1.xml><?xml version="1.0" encoding="utf-8"?>
<table xmlns="http://schemas.openxmlformats.org/spreadsheetml/2006/main" id="101" name="Program314" displayName="Program314" ref="A1125:N1138" totalsRowCount="1" headerRowDxfId="6585" dataDxfId="6583" totalsRowDxfId="6581" headerRowBorderDxfId="6584" tableBorderDxfId="6582" totalsRowBorderDxfId="6580">
  <autoFilter ref="A1125:N1137"/>
  <tableColumns count="14">
    <tableColumn id="1" name="(A)_x000a_Program Name" totalsRowLabel="Total Program 314" dataDxfId="6579" totalsRowDxfId="6578"/>
    <tableColumn id="2" name="(B)_x000a_Fiscal _x000a_Year" totalsRowLabel="N/A" dataDxfId="6577" totalsRowDxfId="6576"/>
    <tableColumn id="3" name="(C)_x000a_Program_x000a_Costs" totalsRowFunction="sum" dataDxfId="6575" totalsRowDxfId="6574"/>
    <tableColumn id="4" name="(D)_x000a_Prior Period Adjustments" totalsRowFunction="sum" dataDxfId="6573" totalsRowDxfId="6572"/>
    <tableColumn id="5" name="(E)_x000a_Current Period Desk _x000a_Reviews" totalsRowFunction="sum" dataDxfId="6571" totalsRowDxfId="6570"/>
    <tableColumn id="6" name="(F)_x000a_Current Period _x000a_Final _x000a_Audits" totalsRowFunction="sum" dataDxfId="6569" totalsRowDxfId="6568"/>
    <tableColumn id="7" name="(G)_x000a_Current Period _x000a_Other Adjustments" totalsRowFunction="sum" dataDxfId="6567" totalsRowDxfId="6566"/>
    <tableColumn id="8" name="(H)_x000a_Net Program Costs_x000a_Sum (C through G)" totalsRowFunction="sum" dataDxfId="6565" totalsRowDxfId="6564"/>
    <tableColumn id="9" name="(I)_x000a_Payments_x000a_ and Offsets" totalsRowFunction="sum" dataDxfId="6563" totalsRowDxfId="6562"/>
    <tableColumn id="10" name="(J)_x000a_Accounts Payable Balance_x000a_(H + I)" totalsRowFunction="sum" dataDxfId="6561" totalsRowDxfId="6560"/>
    <tableColumn id="11" name="(K)_x000a_Established _x000a_Accounts Receivable" totalsRowFunction="sum" dataDxfId="6559" totalsRowDxfId="6558"/>
    <tableColumn id="12" name="(L)_x000a_Recovered_x000a_ Accounts Receivable" totalsRowFunction="sum" dataDxfId="6557" totalsRowDxfId="6556"/>
    <tableColumn id="13" name="(M)_x000a_Accounts Receivable Balance_x000a_(K + L)" totalsRowFunction="sum" dataDxfId="6555" totalsRowDxfId="6554"/>
    <tableColumn id="14" name="(N)_x000a_Net Balance_x000a_(J minus M)" totalsRowFunction="sum" dataDxfId="6553" totalsRowDxfId="655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2.xml><?xml version="1.0" encoding="utf-8"?>
<table xmlns="http://schemas.openxmlformats.org/spreadsheetml/2006/main" id="102" name="Program323" displayName="Program323" ref="A1115:N1123" totalsRowCount="1" headerRowDxfId="6551" dataDxfId="6549" totalsRowDxfId="6547" headerRowBorderDxfId="6550" tableBorderDxfId="6548" totalsRowBorderDxfId="6546">
  <autoFilter ref="A1115:N1122"/>
  <tableColumns count="14">
    <tableColumn id="1" name="(A)_x000a_Program Name" totalsRowLabel="Total Program 323" dataDxfId="6545" totalsRowDxfId="6544"/>
    <tableColumn id="2" name="(B)_x000a_Fiscal _x000a_Year" totalsRowLabel="N/A" dataDxfId="6543" totalsRowDxfId="6542"/>
    <tableColumn id="3" name="(C)_x000a_Program_x000a_Costs" totalsRowFunction="sum" dataDxfId="6541" totalsRowDxfId="6540"/>
    <tableColumn id="4" name="(D)_x000a_Prior Period Adjustments" totalsRowFunction="sum" dataDxfId="6539" totalsRowDxfId="6538"/>
    <tableColumn id="5" name="(E)_x000a_Current Period Desk _x000a_Reviews" totalsRowFunction="sum" dataDxfId="6537" totalsRowDxfId="6536"/>
    <tableColumn id="6" name="(F)_x000a_Current Period _x000a_Final _x000a_Audits" totalsRowFunction="sum" dataDxfId="6535" totalsRowDxfId="6534"/>
    <tableColumn id="7" name="(G)_x000a_Current Period _x000a_Other Adjustments" totalsRowFunction="sum" dataDxfId="6533" totalsRowDxfId="6532"/>
    <tableColumn id="8" name="(H)_x000a_Net Program Costs_x000a_Sum (C through G)" totalsRowFunction="sum" dataDxfId="6531" totalsRowDxfId="6530"/>
    <tableColumn id="9" name="(I)_x000a_Payments_x000a_ and Offsets" totalsRowFunction="sum" dataDxfId="6529" totalsRowDxfId="6528"/>
    <tableColumn id="10" name="(J)_x000a_Accounts Payable Balance_x000a_(H + I)" totalsRowFunction="sum" dataDxfId="6527" totalsRowDxfId="6526"/>
    <tableColumn id="11" name="(K)_x000a_Established _x000a_Accounts Receivable" totalsRowFunction="sum" dataDxfId="6525" totalsRowDxfId="6524"/>
    <tableColumn id="12" name="(L)_x000a_Recovered_x000a_ Accounts Receivable" totalsRowFunction="sum" dataDxfId="6523" totalsRowDxfId="6522"/>
    <tableColumn id="13" name="(M)_x000a_Accounts Receivable Balance_x000a_(K + L)" totalsRowFunction="sum" dataDxfId="6521" totalsRowDxfId="6520"/>
    <tableColumn id="14" name="(N)_x000a_Net Balance_x000a_(J minus M)" totalsRowFunction="sum" dataDxfId="6519" totalsRowDxfId="651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3.xml><?xml version="1.0" encoding="utf-8"?>
<table xmlns="http://schemas.openxmlformats.org/spreadsheetml/2006/main" id="103" name="Program112" displayName="Program112" ref="A1109:N1113" totalsRowCount="1" headerRowDxfId="6517" dataDxfId="6515" totalsRowDxfId="6513" headerRowBorderDxfId="6516" tableBorderDxfId="6514" totalsRowBorderDxfId="6512">
  <autoFilter ref="A1109:N1112"/>
  <tableColumns count="14">
    <tableColumn id="1" name="(A)_x000a_Program Name" totalsRowLabel="Total Program 112" dataDxfId="6511" totalsRowDxfId="6510"/>
    <tableColumn id="2" name="(B)_x000a_Fiscal _x000a_Year" totalsRowLabel="N/A" dataDxfId="6509" totalsRowDxfId="6508"/>
    <tableColumn id="3" name="(C)_x000a_Program_x000a_Costs" totalsRowFunction="sum" dataDxfId="6507" totalsRowDxfId="6506"/>
    <tableColumn id="4" name="(D)_x000a_Prior Period Adjustments" totalsRowFunction="sum" dataDxfId="6505" totalsRowDxfId="6504"/>
    <tableColumn id="5" name="(E)_x000a_Current Period Desk _x000a_Reviews" totalsRowFunction="sum" dataDxfId="6503" totalsRowDxfId="6502"/>
    <tableColumn id="6" name="(F)_x000a_Current Period _x000a_Final _x000a_Audits" totalsRowFunction="sum" dataDxfId="6501" totalsRowDxfId="6500"/>
    <tableColumn id="7" name="(G)_x000a_Current Period _x000a_Other Adjustments" totalsRowFunction="sum" dataDxfId="6499" totalsRowDxfId="6498"/>
    <tableColumn id="8" name="(H)_x000a_Net Program Costs_x000a_Sum (C through G)" totalsRowFunction="sum" dataDxfId="6497" totalsRowDxfId="6496"/>
    <tableColumn id="9" name="(I)_x000a_Payments_x000a_ and Offsets" totalsRowFunction="sum" dataDxfId="6495" totalsRowDxfId="6494"/>
    <tableColumn id="10" name="(J)_x000a_Accounts Payable Balance_x000a_(H + I)" totalsRowFunction="sum" dataDxfId="6493" totalsRowDxfId="6492"/>
    <tableColumn id="11" name="(K)_x000a_Established _x000a_Accounts Receivable" totalsRowFunction="sum" dataDxfId="6491" totalsRowDxfId="6490"/>
    <tableColumn id="12" name="(L)_x000a_Recovered_x000a_ Accounts Receivable" totalsRowFunction="sum" dataDxfId="6489" totalsRowDxfId="6488"/>
    <tableColumn id="13" name="(M)_x000a_Accounts Receivable Balance_x000a_(K + L)" totalsRowFunction="sum" dataDxfId="6487" totalsRowDxfId="6486"/>
    <tableColumn id="14" name="(N)_x000a_Net Balance_x000a_(J minus M)" totalsRowFunction="sum" dataDxfId="6485" totalsRowDxfId="648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4.xml><?xml version="1.0" encoding="utf-8"?>
<table xmlns="http://schemas.openxmlformats.org/spreadsheetml/2006/main" id="104" name="Program138" displayName="Program138" ref="A1095:N1107" totalsRowCount="1" headerRowDxfId="6483" dataDxfId="6481" totalsRowDxfId="6479" headerRowBorderDxfId="6482" tableBorderDxfId="6480" totalsRowBorderDxfId="6478">
  <autoFilter ref="A1095:N1106"/>
  <tableColumns count="14">
    <tableColumn id="1" name="(A)_x000a_Program Name" totalsRowLabel="Total Program 138" dataDxfId="6477" totalsRowDxfId="6476"/>
    <tableColumn id="2" name="(B)_x000a_Fiscal _x000a_Year" totalsRowLabel="N/A" dataDxfId="6475" totalsRowDxfId="6474"/>
    <tableColumn id="3" name="(C)_x000a_Program_x000a_Costs" totalsRowFunction="sum" dataDxfId="6473" totalsRowDxfId="6472"/>
    <tableColumn id="4" name="(D)_x000a_Prior Period Adjustments" totalsRowFunction="sum" dataDxfId="6471" totalsRowDxfId="6470"/>
    <tableColumn id="5" name="(E)_x000a_Current Period Desk _x000a_Reviews" totalsRowFunction="min" dataDxfId="6469" totalsRowDxfId="6468"/>
    <tableColumn id="6" name="(F)_x000a_Current Period _x000a_Final _x000a_Audits" totalsRowFunction="sum" dataDxfId="6467" totalsRowDxfId="6466"/>
    <tableColumn id="7" name="(G)_x000a_Current Period _x000a_Other Adjustments" totalsRowFunction="sum" dataDxfId="6465" totalsRowDxfId="6464"/>
    <tableColumn id="8" name="(H)_x000a_Net Program Costs_x000a_Sum (C through G)" totalsRowFunction="sum" dataDxfId="6463" totalsRowDxfId="6462"/>
    <tableColumn id="9" name="(I)_x000a_Payments_x000a_ and Offsets" totalsRowFunction="sum" dataDxfId="6461" totalsRowDxfId="6460"/>
    <tableColumn id="10" name="(J)_x000a_Accounts Payable Balance_x000a_(H + I)" totalsRowFunction="sum" dataDxfId="6459" totalsRowDxfId="6458"/>
    <tableColumn id="11" name="(K)_x000a_Established _x000a_Accounts Receivable" totalsRowFunction="sum" dataDxfId="6457" totalsRowDxfId="6456"/>
    <tableColumn id="12" name="(L)_x000a_Recovered_x000a_ Accounts Receivable" totalsRowFunction="sum" dataDxfId="6455" totalsRowDxfId="6454"/>
    <tableColumn id="13" name="(M)_x000a_Accounts Receivable Balance_x000a_(K + L)" totalsRowFunction="sum" dataDxfId="6453" totalsRowDxfId="6452"/>
    <tableColumn id="14" name="(N)_x000a_Net Balance_x000a_(J minus M)" totalsRowFunction="sum" dataDxfId="6451" totalsRowDxfId="645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5.xml><?xml version="1.0" encoding="utf-8"?>
<table xmlns="http://schemas.openxmlformats.org/spreadsheetml/2006/main" id="105" name="Program66" displayName="Program66" ref="A1073:N1093" totalsRowCount="1" headerRowDxfId="6449" dataDxfId="6447" totalsRowDxfId="6445" headerRowBorderDxfId="6448" tableBorderDxfId="6446" totalsRowBorderDxfId="6444">
  <autoFilter ref="A1073:N1092"/>
  <tableColumns count="14">
    <tableColumn id="1" name="(A)_x000a_Program Name" totalsRowLabel="Total Program 66" dataDxfId="6443" totalsRowDxfId="6442"/>
    <tableColumn id="2" name="(B)_x000a_Fiscal _x000a_Year" totalsRowLabel="N/A" dataDxfId="6441" totalsRowDxfId="6440"/>
    <tableColumn id="3" name="(C)_x000a_Program_x000a_Costs" totalsRowFunction="sum" dataDxfId="6439" totalsRowDxfId="6438"/>
    <tableColumn id="4" name="(D)_x000a_Prior Period Adjustments" totalsRowFunction="sum" dataDxfId="6437" totalsRowDxfId="6436"/>
    <tableColumn id="5" name="(E)_x000a_Current Period Desk _x000a_Reviews" totalsRowFunction="sum" dataDxfId="6435" totalsRowDxfId="6434"/>
    <tableColumn id="6" name="(F)_x000a_Current Period _x000a_Final _x000a_Audits" totalsRowFunction="sum" dataDxfId="6433" totalsRowDxfId="6432"/>
    <tableColumn id="7" name="(G)_x000a_Current Period _x000a_Other Adjustments" totalsRowFunction="sum" dataDxfId="6431" totalsRowDxfId="6430"/>
    <tableColumn id="8" name="(H)_x000a_Net Program Costs_x000a_Sum (C through G)" totalsRowFunction="sum" dataDxfId="6429" totalsRowDxfId="6428"/>
    <tableColumn id="9" name="(I)_x000a_Payments_x000a_ and Offsets" totalsRowFunction="sum" dataDxfId="6427" totalsRowDxfId="6426"/>
    <tableColumn id="10" name="(J)_x000a_Accounts Payable Balance_x000a_(H + I)" totalsRowFunction="sum" dataDxfId="6425" totalsRowDxfId="6424"/>
    <tableColumn id="11" name="(K)_x000a_Established _x000a_Accounts Receivable" totalsRowFunction="sum" dataDxfId="6423" totalsRowDxfId="6422"/>
    <tableColumn id="12" name="(L)_x000a_Recovered_x000a_ Accounts Receivable" totalsRowFunction="sum" dataDxfId="6421" totalsRowDxfId="6420"/>
    <tableColumn id="13" name="(M)_x000a_Accounts Receivable Balance_x000a_(K + L)" totalsRowFunction="sum" dataDxfId="6419" totalsRowDxfId="6418"/>
    <tableColumn id="14" name="(N)_x000a_Net Balance_x000a_(J minus M)" totalsRowFunction="sum" dataDxfId="6417" totalsRowDxfId="641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6.xml><?xml version="1.0" encoding="utf-8"?>
<table xmlns="http://schemas.openxmlformats.org/spreadsheetml/2006/main" id="106" name="Program39" displayName="Program39" ref="A1051:N1071" totalsRowCount="1" headerRowDxfId="6415" dataDxfId="6413" totalsRowDxfId="6411" headerRowBorderDxfId="6414" tableBorderDxfId="6412" totalsRowBorderDxfId="6410">
  <autoFilter ref="A1051:N1070"/>
  <tableColumns count="14">
    <tableColumn id="1" name="(A)_x000a_Program Name" totalsRowLabel="Total Program 39" dataDxfId="6409" totalsRowDxfId="6408"/>
    <tableColumn id="2" name="(B)_x000a_Fiscal _x000a_Year" totalsRowLabel="N/A" dataDxfId="6407" totalsRowDxfId="6406"/>
    <tableColumn id="3" name="(C)_x000a_Program_x000a_Costs" totalsRowFunction="sum" dataDxfId="6405" totalsRowDxfId="6404"/>
    <tableColumn id="4" name="(D)_x000a_Prior Period Adjustments" totalsRowFunction="sum" dataDxfId="6403" totalsRowDxfId="6402"/>
    <tableColumn id="5" name="(E)_x000a_Current Period Desk _x000a_Reviews" totalsRowFunction="sum" dataDxfId="6401" totalsRowDxfId="6400"/>
    <tableColumn id="6" name="(F)_x000a_Current Period _x000a_Final _x000a_Audits" totalsRowFunction="sum" dataDxfId="6399" totalsRowDxfId="6398"/>
    <tableColumn id="7" name="(G)_x000a_Current Period _x000a_Other Adjustments" totalsRowFunction="sum" dataDxfId="6397" totalsRowDxfId="6396"/>
    <tableColumn id="8" name="(H)_x000a_Net Program Costs_x000a_Sum (C through G)" totalsRowFunction="sum" dataDxfId="6395" totalsRowDxfId="6394"/>
    <tableColumn id="9" name="(I)_x000a_Payments_x000a_ and Offsets" totalsRowFunction="sum" dataDxfId="6393" totalsRowDxfId="6392"/>
    <tableColumn id="10" name="(J)_x000a_Accounts Payable Balance_x000a_(H + I)" totalsRowFunction="sum" dataDxfId="6391" totalsRowDxfId="6390"/>
    <tableColumn id="11" name="(K)_x000a_Established _x000a_Accounts Receivable" totalsRowFunction="sum" dataDxfId="6389" totalsRowDxfId="6388"/>
    <tableColumn id="12" name="(L)_x000a_Recovered_x000a_ Accounts Receivable" totalsRowFunction="sum" dataDxfId="6387" totalsRowDxfId="6386"/>
    <tableColumn id="13" name="(M)_x000a_Accounts Receivable Balance_x000a_(K + L)" totalsRowFunction="sum" dataDxfId="6385" totalsRowDxfId="6384"/>
    <tableColumn id="14" name="(N)_x000a_Net Balance_x000a_(J minus M)" totalsRowFunction="sum" dataDxfId="6383" totalsRowDxfId="638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7.xml><?xml version="1.0" encoding="utf-8"?>
<table xmlns="http://schemas.openxmlformats.org/spreadsheetml/2006/main" id="107" name="Program281" displayName="Program281" ref="A1038:N1049" totalsRowCount="1" headerRowDxfId="6381" dataDxfId="6379" totalsRowDxfId="6377" headerRowBorderDxfId="6380" tableBorderDxfId="6378" totalsRowBorderDxfId="6376">
  <autoFilter ref="A1038:N1048"/>
  <tableColumns count="14">
    <tableColumn id="1" name="(A)_x000a_Program Name" totalsRowLabel="Total Program 281" dataDxfId="6375" totalsRowDxfId="6374"/>
    <tableColumn id="2" name="(B)_x000a_Fiscal _x000a_Year" totalsRowLabel="N/A" dataDxfId="6373" totalsRowDxfId="6372"/>
    <tableColumn id="3" name="(C)_x000a_Program_x000a_Costs" totalsRowFunction="sum" dataDxfId="6371" totalsRowDxfId="6370"/>
    <tableColumn id="4" name="(D)_x000a_Prior Period Adjustments" totalsRowFunction="sum" dataDxfId="6369" totalsRowDxfId="6368"/>
    <tableColumn id="5" name="(E)_x000a_Current Period Desk _x000a_Reviews" totalsRowFunction="sum" dataDxfId="6367" totalsRowDxfId="6366"/>
    <tableColumn id="6" name="(F)_x000a_Current Period _x000a_Final _x000a_Audits" totalsRowFunction="sum" dataDxfId="6365" totalsRowDxfId="6364"/>
    <tableColumn id="7" name="(G)_x000a_Current Period _x000a_Other Adjustments" totalsRowFunction="sum" dataDxfId="6363" totalsRowDxfId="6362"/>
    <tableColumn id="8" name="(H)_x000a_Net Program Costs_x000a_Sum (C through G)" totalsRowFunction="sum" dataDxfId="6361" totalsRowDxfId="6360"/>
    <tableColumn id="9" name="(I)_x000a_Payments_x000a_ and Offsets" totalsRowFunction="sum" dataDxfId="6359" totalsRowDxfId="6358"/>
    <tableColumn id="10" name="(J)_x000a_Accounts Payable Balance_x000a_(H + I)" totalsRowFunction="sum" dataDxfId="6357" totalsRowDxfId="6356"/>
    <tableColumn id="11" name="(K)_x000a_Established _x000a_Accounts Receivable" totalsRowFunction="sum" dataDxfId="6355" totalsRowDxfId="6354"/>
    <tableColumn id="12" name="(L)_x000a_Recovered_x000a_ Accounts Receivable" totalsRowFunction="sum" dataDxfId="6353" totalsRowDxfId="6352"/>
    <tableColumn id="13" name="(M)_x000a_Accounts Receivable Balance_x000a_(K + L)" totalsRowFunction="sum" dataDxfId="6351" totalsRowDxfId="6350"/>
    <tableColumn id="14" name="(N)_x000a_Net Balance_x000a_(J minus M)" totalsRowFunction="sum" dataDxfId="6349" totalsRowDxfId="634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8.xml><?xml version="1.0" encoding="utf-8"?>
<table xmlns="http://schemas.openxmlformats.org/spreadsheetml/2006/main" id="108" name="Program203" displayName="Program203" ref="A1022:N1036" totalsRowCount="1" headerRowDxfId="6347" dataDxfId="6345" totalsRowDxfId="6343" headerRowBorderDxfId="6346" tableBorderDxfId="6344" totalsRowBorderDxfId="6342">
  <autoFilter ref="A1022:N1035"/>
  <tableColumns count="14">
    <tableColumn id="1" name="(A)_x000a_Program Name" totalsRowLabel="Total Program 203" dataDxfId="6341" totalsRowDxfId="6340"/>
    <tableColumn id="2" name="(B)_x000a_Fiscal _x000a_Year" totalsRowLabel="N/A" dataDxfId="6339" totalsRowDxfId="6338"/>
    <tableColumn id="3" name="(C)_x000a_Program_x000a_Costs" totalsRowFunction="sum" dataDxfId="6337" totalsRowDxfId="6336"/>
    <tableColumn id="4" name="(D)_x000a_Prior Period Adjustments" totalsRowFunction="sum" dataDxfId="6335" totalsRowDxfId="6334"/>
    <tableColumn id="5" name="(E)_x000a_Current Period Desk _x000a_Reviews" totalsRowFunction="sum" dataDxfId="6333" totalsRowDxfId="6332"/>
    <tableColumn id="6" name="(F)_x000a_Current Period _x000a_Final _x000a_Audits" totalsRowFunction="sum" dataDxfId="6331" totalsRowDxfId="6330"/>
    <tableColumn id="7" name="(G)_x000a_Current Period _x000a_Other Adjustments" totalsRowFunction="sum" dataDxfId="6329" totalsRowDxfId="6328"/>
    <tableColumn id="8" name="(H)_x000a_Net Program Costs_x000a_Sum (C through G)" totalsRowFunction="sum" dataDxfId="6327" totalsRowDxfId="6326"/>
    <tableColumn id="9" name="(I)_x000a_Payments_x000a_ and Offsets" totalsRowFunction="sum" dataDxfId="6325" totalsRowDxfId="6324"/>
    <tableColumn id="10" name="(J)_x000a_Accounts Payable Balance_x000a_(H + I)" totalsRowFunction="sum" dataDxfId="6323" totalsRowDxfId="6322"/>
    <tableColumn id="11" name="(K)_x000a_Established _x000a_Accounts Receivable" totalsRowFunction="sum" dataDxfId="6321" totalsRowDxfId="6320"/>
    <tableColumn id="12" name="(L)_x000a_Recovered_x000a_ Accounts Receivable" totalsRowFunction="sum" dataDxfId="6319" totalsRowDxfId="6318"/>
    <tableColumn id="13" name="(M)_x000a_Accounts Receivable Balance_x000a_(K + L)" totalsRowFunction="sum" dataDxfId="6317" totalsRowDxfId="6316"/>
    <tableColumn id="14" name="(N)_x000a_Net Balance_x000a_(J minus M)" totalsRowFunction="sum" dataDxfId="6315" totalsRowDxfId="631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09.xml><?xml version="1.0" encoding="utf-8"?>
<table xmlns="http://schemas.openxmlformats.org/spreadsheetml/2006/main" id="109" name="Program361" displayName="Program361" ref="A1007:N1020" totalsRowCount="1" headerRowDxfId="6313" dataDxfId="6311" totalsRowDxfId="6309" headerRowBorderDxfId="6312" tableBorderDxfId="6310" totalsRowBorderDxfId="6308">
  <autoFilter ref="A1007:N1019"/>
  <tableColumns count="14">
    <tableColumn id="1" name="(A)_x000a_Program Name" totalsRowLabel="Total Program 361" dataDxfId="6307" totalsRowDxfId="6306"/>
    <tableColumn id="2" name="(B)_x000a_Fiscal _x000a_Year" totalsRowLabel="N/A" dataDxfId="6305" totalsRowDxfId="6304"/>
    <tableColumn id="3" name="(C)_x000a_Program_x000a_Costs" totalsRowFunction="sum" dataDxfId="6303" totalsRowDxfId="6302"/>
    <tableColumn id="4" name="(D)_x000a_Prior Period Adjustments" totalsRowFunction="sum" dataDxfId="6301" totalsRowDxfId="6300"/>
    <tableColumn id="5" name="(E)_x000a_Current Period Desk _x000a_Reviews" totalsRowFunction="sum" dataDxfId="6299" totalsRowDxfId="6298"/>
    <tableColumn id="6" name="(F)_x000a_Current Period _x000a_Final _x000a_Audits" totalsRowFunction="min" dataDxfId="6297" totalsRowDxfId="6296"/>
    <tableColumn id="7" name="(G)_x000a_Current Period _x000a_Other Adjustments" totalsRowFunction="sum" dataDxfId="6295" totalsRowDxfId="6294"/>
    <tableColumn id="8" name="(H)_x000a_Net Program Costs_x000a_Sum (C through G)" totalsRowFunction="sum" dataDxfId="6293" totalsRowDxfId="6292"/>
    <tableColumn id="9" name="(I)_x000a_Payments_x000a_ and Offsets" totalsRowFunction="sum" dataDxfId="6291" totalsRowDxfId="6290"/>
    <tableColumn id="10" name="(J)_x000a_Accounts Payable Balance_x000a_(H + I)" totalsRowFunction="sum" dataDxfId="6289" totalsRowDxfId="6288"/>
    <tableColumn id="11" name="(K)_x000a_Established _x000a_Accounts Receivable" totalsRowFunction="sum" dataDxfId="6287" totalsRowDxfId="6286"/>
    <tableColumn id="12" name="(L)_x000a_Recovered_x000a_ Accounts Receivable" totalsRowFunction="sum" dataDxfId="6285" totalsRowDxfId="6284"/>
    <tableColumn id="13" name="(M)_x000a_Accounts Receivable Balance_x000a_(K + L)" totalsRowFunction="sum" dataDxfId="6283" totalsRowDxfId="6282"/>
    <tableColumn id="14" name="(N)_x000a_Net Balance_x000a_(J minus M)" totalsRowFunction="sum" dataDxfId="6281" totalsRowDxfId="628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.xml><?xml version="1.0" encoding="utf-8"?>
<table xmlns="http://schemas.openxmlformats.org/spreadsheetml/2006/main" id="11" name="Program3" displayName="Program3" ref="A73:N77" totalsRowCount="1" headerRowDxfId="9642" dataDxfId="9640" totalsRowDxfId="9638" headerRowBorderDxfId="9641" tableBorderDxfId="9639" totalsRowBorderDxfId="9637">
  <autoFilter ref="A73:N76"/>
  <tableColumns count="14">
    <tableColumn id="1" name="(A)_x000a_Program Name" totalsRowLabel="Total Program 3" dataDxfId="9636" totalsRowDxfId="9635"/>
    <tableColumn id="2" name="(B)_x000a_Fiscal _x000a_Year" totalsRowLabel="N/A" dataDxfId="9634" totalsRowDxfId="9633"/>
    <tableColumn id="3" name="(C)_x000a_Program_x000a_Costs" totalsRowFunction="sum" dataDxfId="9632" totalsRowDxfId="9631"/>
    <tableColumn id="4" name="(D)_x000a_Prior Period Adjustments" totalsRowFunction="sum" dataDxfId="9630" totalsRowDxfId="9629"/>
    <tableColumn id="5" name="(E)_x000a_Current Period Desk _x000a_Reviews" totalsRowFunction="sum" dataDxfId="9628" totalsRowDxfId="9627"/>
    <tableColumn id="6" name="(F)_x000a_Current Period _x000a_Final _x000a_Audits" totalsRowFunction="sum" dataDxfId="9626" totalsRowDxfId="9625"/>
    <tableColumn id="7" name="(G)_x000a_Current Period _x000a_Other Adjustments" totalsRowFunction="sum" dataDxfId="9624" totalsRowDxfId="9623"/>
    <tableColumn id="8" name="(H)_x000a_Net Program Costs_x000a_Sum (C through G)" totalsRowFunction="sum" dataDxfId="9622" totalsRowDxfId="9621"/>
    <tableColumn id="9" name="(I)_x000a_Payments_x000a_ and Offsets" totalsRowFunction="sum" dataDxfId="9620" totalsRowDxfId="9619"/>
    <tableColumn id="10" name="(J)_x000a_Accounts Payable Balance_x000a_(H + I)" totalsRowFunction="sum" dataDxfId="9618" totalsRowDxfId="9617"/>
    <tableColumn id="11" name="(K)_x000a_Established _x000a_Accounts Receivable" totalsRowFunction="sum" dataDxfId="9616" totalsRowDxfId="9615"/>
    <tableColumn id="12" name="(L)_x000a_Recovered_x000a_ Accounts Receivable" totalsRowFunction="sum" dataDxfId="9614" totalsRowDxfId="9613"/>
    <tableColumn id="13" name="(M)_x000a_Accounts Receivable Balance_x000a_(K + L)" totalsRowFunction="sum" dataDxfId="9612" totalsRowDxfId="9611"/>
    <tableColumn id="14" name="(N)_x000a_Net Balance_x000a_(J minus M)" totalsRowFunction="sum" dataDxfId="9610" totalsRowDxfId="96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0.xml><?xml version="1.0" encoding="utf-8"?>
<table xmlns="http://schemas.openxmlformats.org/spreadsheetml/2006/main" id="110" name="Program43" displayName="Program43" ref="A976:N1005" totalsRowCount="1" headerRowDxfId="6279" dataDxfId="6277" totalsRowDxfId="6275" headerRowBorderDxfId="6278" tableBorderDxfId="6276" totalsRowBorderDxfId="6274">
  <autoFilter ref="A976:N1004"/>
  <tableColumns count="14">
    <tableColumn id="1" name="(A)_x000a_Program Name" totalsRowLabel="Total Program 43" dataDxfId="6273" totalsRowDxfId="6272"/>
    <tableColumn id="2" name="(B)_x000a_Fiscal _x000a_Year" totalsRowLabel="N/A" dataDxfId="6271" totalsRowDxfId="6270"/>
    <tableColumn id="3" name="(C)_x000a_Program_x000a_Costs" totalsRowFunction="sum" dataDxfId="6269" totalsRowDxfId="6268"/>
    <tableColumn id="4" name="(D)_x000a_Prior Period Adjustments" totalsRowFunction="sum" dataDxfId="6267" totalsRowDxfId="6266"/>
    <tableColumn id="5" name="(E)_x000a_Current Period Desk _x000a_Reviews" totalsRowFunction="sum" dataDxfId="6265" totalsRowDxfId="6264"/>
    <tableColumn id="6" name="(F)_x000a_Current Period _x000a_Final _x000a_Audits" totalsRowFunction="sum" dataDxfId="6263" totalsRowDxfId="6262"/>
    <tableColumn id="7" name="(G)_x000a_Current Period _x000a_Other Adjustments" totalsRowFunction="sum" dataDxfId="6261" totalsRowDxfId="6260"/>
    <tableColumn id="8" name="(H)_x000a_Net Program Costs_x000a_Sum (C through G)" totalsRowFunction="sum" dataDxfId="6259" totalsRowDxfId="6258"/>
    <tableColumn id="9" name="(I)_x000a_Payments_x000a_ and Offsets" totalsRowFunction="sum" dataDxfId="6257" totalsRowDxfId="6256"/>
    <tableColumn id="10" name="(J)_x000a_Accounts Payable Balance_x000a_(H + I)" totalsRowFunction="sum" dataDxfId="6255" totalsRowDxfId="6254"/>
    <tableColumn id="11" name="(K)_x000a_Established _x000a_Accounts Receivable" totalsRowFunction="sum" dataDxfId="6253" totalsRowDxfId="6252"/>
    <tableColumn id="12" name="(L)_x000a_Recovered_x000a_ Accounts Receivable" totalsRowFunction="sum" dataDxfId="6251" totalsRowDxfId="6250"/>
    <tableColumn id="13" name="(M)_x000a_Accounts Receivable Balance_x000a_(K + L)" totalsRowFunction="sum" dataDxfId="6249" totalsRowDxfId="6248"/>
    <tableColumn id="14" name="(N)_x000a_Net Balance_x000a_(J minus M)" totalsRowFunction="sum" dataDxfId="6247" totalsRowDxfId="624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1.xml><?xml version="1.0" encoding="utf-8"?>
<table xmlns="http://schemas.openxmlformats.org/spreadsheetml/2006/main" id="111" name="Program315" displayName="Program315" ref="A969:N974" totalsRowCount="1" headerRowDxfId="6245" dataDxfId="6243" totalsRowDxfId="6241" headerRowBorderDxfId="6244" tableBorderDxfId="6242" totalsRowBorderDxfId="6240">
  <autoFilter ref="A969:N973"/>
  <tableColumns count="14">
    <tableColumn id="1" name="(A)_x000a_Program Name" totalsRowLabel="Total Program 315" dataDxfId="6239" totalsRowDxfId="6238"/>
    <tableColumn id="2" name="(B)_x000a_Fiscal _x000a_Year" totalsRowLabel="N/A" dataDxfId="6237" totalsRowDxfId="6236"/>
    <tableColumn id="3" name="(C)_x000a_Program_x000a_Costs" totalsRowFunction="sum" dataDxfId="6235" totalsRowDxfId="6234"/>
    <tableColumn id="4" name="(D)_x000a_Prior Period Adjustments" totalsRowFunction="sum" dataDxfId="6233" totalsRowDxfId="6232"/>
    <tableColumn id="5" name="(E)_x000a_Current Period Desk _x000a_Reviews" totalsRowFunction="sum" dataDxfId="6231" totalsRowDxfId="6230"/>
    <tableColumn id="6" name="(F)_x000a_Current Period _x000a_Final _x000a_Audits" totalsRowFunction="sum" dataDxfId="6229" totalsRowDxfId="6228"/>
    <tableColumn id="7" name="(G)_x000a_Current Period _x000a_Other Adjustments" totalsRowFunction="sum" dataDxfId="6227" totalsRowDxfId="6226"/>
    <tableColumn id="8" name="(H)_x000a_Net Program Costs_x000a_Sum (C through G)" totalsRowFunction="sum" dataDxfId="6225" totalsRowDxfId="6224"/>
    <tableColumn id="9" name="(I)_x000a_Payments_x000a_ and Offsets" totalsRowFunction="sum" dataDxfId="6223" totalsRowDxfId="6222"/>
    <tableColumn id="10" name="(J)_x000a_Accounts Payable Balance_x000a_(H + I)" totalsRowFunction="sum" dataDxfId="6221" totalsRowDxfId="6220"/>
    <tableColumn id="11" name="(K)_x000a_Established _x000a_Accounts Receivable" totalsRowFunction="sum" dataDxfId="6219" totalsRowDxfId="6218"/>
    <tableColumn id="12" name="(L)_x000a_Recovered_x000a_ Accounts Receivable" totalsRowFunction="sum" dataDxfId="6217" totalsRowDxfId="6216"/>
    <tableColumn id="13" name="(M)_x000a_Accounts Receivable Balance_x000a_(K + L)" totalsRowFunction="sum" dataDxfId="6215" totalsRowDxfId="6214"/>
    <tableColumn id="14" name="(N)_x000a_Net Balance_x000a_(J minus M)" totalsRowFunction="sum" dataDxfId="6213" totalsRowDxfId="62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2.xml><?xml version="1.0" encoding="utf-8"?>
<table xmlns="http://schemas.openxmlformats.org/spreadsheetml/2006/main" id="112" name="Program41" displayName="Program41" ref="A947:N967" totalsRowCount="1" headerRowDxfId="6211" dataDxfId="6209" totalsRowDxfId="6207" headerRowBorderDxfId="6210" tableBorderDxfId="6208" totalsRowBorderDxfId="6206">
  <autoFilter ref="A947:N966"/>
  <tableColumns count="14">
    <tableColumn id="1" name="(A)_x000a_Program Name" totalsRowLabel="Total Program 41" dataDxfId="6205" totalsRowDxfId="6204"/>
    <tableColumn id="2" name="(B)_x000a_Fiscal _x000a_Year" totalsRowLabel="N/A" dataDxfId="6203" totalsRowDxfId="6202"/>
    <tableColumn id="3" name="(C)_x000a_Program_x000a_Costs" totalsRowFunction="sum" dataDxfId="6201" totalsRowDxfId="6200"/>
    <tableColumn id="4" name="(D)_x000a_Prior Period Adjustments" totalsRowFunction="sum" dataDxfId="6199" totalsRowDxfId="6198"/>
    <tableColumn id="5" name="(E)_x000a_Current Period Desk _x000a_Reviews" totalsRowFunction="sum" dataDxfId="6197" totalsRowDxfId="6196"/>
    <tableColumn id="6" name="(F)_x000a_Current Period _x000a_Final _x000a_Audits" totalsRowFunction="sum" dataDxfId="6195" totalsRowDxfId="6194"/>
    <tableColumn id="7" name="(G)_x000a_Current Period _x000a_Other Adjustments" totalsRowFunction="sum" dataDxfId="6193" totalsRowDxfId="6192"/>
    <tableColumn id="8" name="(H)_x000a_Net Program Costs_x000a_Sum (C through G)" totalsRowFunction="sum" dataDxfId="6191" totalsRowDxfId="6190"/>
    <tableColumn id="9" name="(I)_x000a_Payments_x000a_ and Offsets" totalsRowFunction="sum" dataDxfId="6189" totalsRowDxfId="6188"/>
    <tableColumn id="10" name="(J)_x000a_Accounts Payable Balance_x000a_(H + I)" totalsRowFunction="sum" dataDxfId="6187" totalsRowDxfId="6186"/>
    <tableColumn id="11" name="(K)_x000a_Established _x000a_Accounts Receivable" totalsRowFunction="sum" dataDxfId="6185" totalsRowDxfId="6184"/>
    <tableColumn id="12" name="(L)_x000a_Recovered_x000a_ Accounts Receivable" totalsRowFunction="sum" dataDxfId="6183" totalsRowDxfId="6182"/>
    <tableColumn id="13" name="(M)_x000a_Accounts Receivable Balance_x000a_(K + L)" totalsRowFunction="sum" dataDxfId="6181" totalsRowDxfId="6180"/>
    <tableColumn id="14" name="(N)_x000a_Net Balance_x000a_(J minus M)" totalsRowFunction="sum" dataDxfId="6179" totalsRowDxfId="617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3.xml><?xml version="1.0" encoding="utf-8"?>
<table xmlns="http://schemas.openxmlformats.org/spreadsheetml/2006/main" id="113" name="Program285" displayName="Program285" ref="A934:N945" totalsRowCount="1" headerRowDxfId="6177" dataDxfId="6175" totalsRowDxfId="6173" headerRowBorderDxfId="6176" tableBorderDxfId="6174" totalsRowBorderDxfId="6172">
  <autoFilter ref="A934:N944"/>
  <tableColumns count="14">
    <tableColumn id="1" name="(A)_x000a_Program Name" totalsRowLabel="Total Program 285" dataDxfId="6171" totalsRowDxfId="6170"/>
    <tableColumn id="2" name="(B)_x000a_Fiscal _x000a_Year" totalsRowLabel="N/A" dataDxfId="6169" totalsRowDxfId="6168"/>
    <tableColumn id="3" name="(C)_x000a_Program_x000a_Costs" totalsRowFunction="sum" dataDxfId="6167" totalsRowDxfId="6166"/>
    <tableColumn id="4" name="(D)_x000a_Prior Period Adjustments" totalsRowFunction="sum" dataDxfId="6165" totalsRowDxfId="6164"/>
    <tableColumn id="5" name="(E)_x000a_Current Period Desk _x000a_Reviews" totalsRowFunction="sum" dataDxfId="6163" totalsRowDxfId="6162"/>
    <tableColumn id="6" name="(F)_x000a_Current Period _x000a_Final _x000a_Audits" totalsRowFunction="sum" dataDxfId="6161" totalsRowDxfId="6160"/>
    <tableColumn id="7" name="(G)_x000a_Current Period _x000a_Other Adjustments" totalsRowFunction="sum" dataDxfId="6159" totalsRowDxfId="6158"/>
    <tableColumn id="8" name="(H)_x000a_Net Program Costs_x000a_Sum (C through G)" totalsRowFunction="sum" dataDxfId="6157" totalsRowDxfId="6156"/>
    <tableColumn id="9" name="(I)_x000a_Payments_x000a_ and Offsets" totalsRowFunction="sum" dataDxfId="6155" totalsRowDxfId="6154"/>
    <tableColumn id="10" name="(J)_x000a_Accounts Payable Balance_x000a_(H + I)" totalsRowFunction="sum" dataDxfId="6153" totalsRowDxfId="6152"/>
    <tableColumn id="11" name="(K)_x000a_Established _x000a_Accounts Receivable" totalsRowFunction="sum" dataDxfId="6151" totalsRowDxfId="6150"/>
    <tableColumn id="12" name="(L)_x000a_Recovered_x000a_ Accounts Receivable" totalsRowFunction="sum" dataDxfId="6149" totalsRowDxfId="6148"/>
    <tableColumn id="13" name="(M)_x000a_Accounts Receivable Balance_x000a_(K + L)" totalsRowFunction="sum" dataDxfId="6147" totalsRowDxfId="6146"/>
    <tableColumn id="14" name="(N)_x000a_Net Balance_x000a_(J minus M)" totalsRowFunction="sum" dataDxfId="6145" totalsRowDxfId="61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4.xml><?xml version="1.0" encoding="utf-8"?>
<table xmlns="http://schemas.openxmlformats.org/spreadsheetml/2006/main" id="114" name="Program298" displayName="Program298" ref="A913:N932" totalsRowCount="1" headerRowDxfId="6143" dataDxfId="6141" totalsRowDxfId="6139" headerRowBorderDxfId="6142" tableBorderDxfId="6140" totalsRowBorderDxfId="6138">
  <autoFilter ref="A913:N931"/>
  <tableColumns count="14">
    <tableColumn id="1" name="(A)_x000a_Program Name" totalsRowLabel="Total Program 298" dataDxfId="6137" totalsRowDxfId="6136"/>
    <tableColumn id="2" name="(B)_x000a_Fiscal _x000a_Year" totalsRowLabel="N/A" dataDxfId="6135" totalsRowDxfId="6134"/>
    <tableColumn id="3" name="(C)_x000a_Program_x000a_Costs" totalsRowFunction="sum" dataDxfId="6133" totalsRowDxfId="6132"/>
    <tableColumn id="4" name="(D)_x000a_Prior Period Adjustments" totalsRowFunction="sum" dataDxfId="6131" totalsRowDxfId="6130"/>
    <tableColumn id="5" name="(E)_x000a_Current Period Desk _x000a_Reviews" totalsRowFunction="sum" dataDxfId="6129" totalsRowDxfId="6128"/>
    <tableColumn id="6" name="(F)_x000a_Current Period _x000a_Final _x000a_Audits" totalsRowFunction="sum" dataDxfId="6127" totalsRowDxfId="6126"/>
    <tableColumn id="7" name="(G)_x000a_Current Period _x000a_Other Adjustments" totalsRowFunction="sum" dataDxfId="6125" totalsRowDxfId="6124"/>
    <tableColumn id="8" name="(H)_x000a_Net Program Costs_x000a_Sum (C through G)" totalsRowFunction="sum" dataDxfId="6123" totalsRowDxfId="6122"/>
    <tableColumn id="9" name="(I)_x000a_Payments_x000a_ and Offsets" totalsRowFunction="sum" dataDxfId="6121" totalsRowDxfId="6120"/>
    <tableColumn id="10" name="(J)_x000a_Accounts Payable Balance_x000a_(H + I)" totalsRowFunction="sum" dataDxfId="6119" totalsRowDxfId="6118"/>
    <tableColumn id="11" name="(K)_x000a_Established _x000a_Accounts Receivable" totalsRowFunction="sum" dataDxfId="6117" totalsRowDxfId="6116"/>
    <tableColumn id="12" name="(L)_x000a_Recovered_x000a_ Accounts Receivable" totalsRowFunction="sum" dataDxfId="6115" totalsRowDxfId="6114"/>
    <tableColumn id="13" name="(M)_x000a_Accounts Receivable Balance_x000a_(K + L)" totalsRowFunction="sum" dataDxfId="6113" totalsRowDxfId="6112"/>
    <tableColumn id="14" name="(N)_x000a_Net Balance_x000a_(J minus M)" totalsRowFunction="sum" dataDxfId="6111" totalsRowDxfId="611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5.xml><?xml version="1.0" encoding="utf-8"?>
<table xmlns="http://schemas.openxmlformats.org/spreadsheetml/2006/main" id="115" name="Program259" displayName="Program259" ref="A907:N911" totalsRowCount="1" headerRowDxfId="6109" dataDxfId="6107" totalsRowDxfId="6105" headerRowBorderDxfId="6108" tableBorderDxfId="6106" totalsRowBorderDxfId="6104">
  <autoFilter ref="A907:N910"/>
  <tableColumns count="14">
    <tableColumn id="1" name="(A)_x000a_Program Name" totalsRowLabel="Total Program 259" dataDxfId="6103" totalsRowDxfId="6102"/>
    <tableColumn id="2" name="(B)_x000a_Fiscal _x000a_Year" totalsRowLabel="N/A" dataDxfId="6101" totalsRowDxfId="6100"/>
    <tableColumn id="3" name="(C)_x000a_Program_x000a_Costs" totalsRowFunction="sum" dataDxfId="6099" totalsRowDxfId="6098"/>
    <tableColumn id="4" name="(D)_x000a_Prior Period Adjustments" totalsRowFunction="sum" dataDxfId="6097" totalsRowDxfId="6096"/>
    <tableColumn id="5" name="(E)_x000a_Current Period Desk _x000a_Reviews" totalsRowFunction="sum" dataDxfId="6095" totalsRowDxfId="6094"/>
    <tableColumn id="6" name="(F)_x000a_Current Period _x000a_Final _x000a_Audits" totalsRowFunction="sum" dataDxfId="6093" totalsRowDxfId="6092"/>
    <tableColumn id="7" name="(G)_x000a_Current Period _x000a_Other Adjustments" totalsRowFunction="sum" dataDxfId="6091" totalsRowDxfId="6090"/>
    <tableColumn id="8" name="(H)_x000a_Net Program Costs_x000a_Sum (C through G)" totalsRowFunction="sum" dataDxfId="6089" totalsRowDxfId="6088"/>
    <tableColumn id="9" name="(I)_x000a_Payments_x000a_ and Offsets" totalsRowFunction="sum" dataDxfId="6087" totalsRowDxfId="6086"/>
    <tableColumn id="10" name="(J)_x000a_Accounts Payable Balance_x000a_(H + I)" totalsRowFunction="sum" dataDxfId="6085" totalsRowDxfId="6084"/>
    <tableColumn id="11" name="(K)_x000a_Established _x000a_Accounts Receivable" totalsRowFunction="sum" dataDxfId="6083" totalsRowDxfId="6082"/>
    <tableColumn id="12" name="(L)_x000a_Recovered_x000a_ Accounts Receivable" totalsRowFunction="sum" dataDxfId="6081" totalsRowDxfId="6080"/>
    <tableColumn id="13" name="(M)_x000a_Accounts Receivable Balance_x000a_(K + L)" totalsRowFunction="sum" dataDxfId="6079" totalsRowDxfId="6078"/>
    <tableColumn id="14" name="(N)_x000a_Net Balance_x000a_(J minus M)" totalsRowFunction="sum" dataDxfId="6077" totalsRowDxfId="607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6.xml><?xml version="1.0" encoding="utf-8"?>
<table xmlns="http://schemas.openxmlformats.org/spreadsheetml/2006/main" id="116" name="Program37" displayName="Program37" ref="A900:N905" totalsRowCount="1" headerRowDxfId="6075" dataDxfId="6073" totalsRowDxfId="6071" headerRowBorderDxfId="6074" tableBorderDxfId="6072" totalsRowBorderDxfId="6070">
  <autoFilter ref="A900:N904"/>
  <tableColumns count="14">
    <tableColumn id="1" name="(A)_x000a_Program Name" totalsRowLabel="Total Program 37" dataDxfId="6069" totalsRowDxfId="6068"/>
    <tableColumn id="2" name="(B)_x000a_Fiscal _x000a_Year" totalsRowLabel="N/A" dataDxfId="6067" totalsRowDxfId="6066"/>
    <tableColumn id="3" name="(C)_x000a_Program_x000a_Costs" totalsRowFunction="sum" dataDxfId="6065" totalsRowDxfId="6064"/>
    <tableColumn id="4" name="(D)_x000a_Prior Period Adjustments" totalsRowFunction="sum" dataDxfId="6063" totalsRowDxfId="6062"/>
    <tableColumn id="5" name="(E)_x000a_Current Period Desk _x000a_Reviews" totalsRowFunction="sum" dataDxfId="6061" totalsRowDxfId="6060"/>
    <tableColumn id="6" name="(F)_x000a_Current Period _x000a_Final _x000a_Audits" totalsRowFunction="sum" dataDxfId="6059" totalsRowDxfId="6058"/>
    <tableColumn id="7" name="(G)_x000a_Current Period _x000a_Other Adjustments" totalsRowFunction="sum" dataDxfId="6057" totalsRowDxfId="6056"/>
    <tableColumn id="8" name="(H)_x000a_Net Program Costs_x000a_Sum (C through G)" totalsRowFunction="sum" dataDxfId="6055" totalsRowDxfId="6054"/>
    <tableColumn id="9" name="(I)_x000a_Payments_x000a_ and Offsets" totalsRowFunction="sum" dataDxfId="6053" totalsRowDxfId="6052"/>
    <tableColumn id="10" name="(J)_x000a_Accounts Payable Balance_x000a_(H + I)" totalsRowFunction="sum" dataDxfId="6051" totalsRowDxfId="6050"/>
    <tableColumn id="11" name="(K)_x000a_Established _x000a_Accounts Receivable" totalsRowFunction="sum" dataDxfId="6049" totalsRowDxfId="6048"/>
    <tableColumn id="12" name="(L)_x000a_Recovered_x000a_ Accounts Receivable" totalsRowFunction="sum" dataDxfId="6047" totalsRowDxfId="6046"/>
    <tableColumn id="13" name="(M)_x000a_Accounts Receivable Balance_x000a_(K + L)" totalsRowFunction="sum" dataDxfId="6045" totalsRowDxfId="6044"/>
    <tableColumn id="14" name="(N)_x000a_Net Balance_x000a_(J minus M)" totalsRowFunction="sum" dataDxfId="6043" totalsRowDxfId="604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7.xml><?xml version="1.0" encoding="utf-8"?>
<table xmlns="http://schemas.openxmlformats.org/spreadsheetml/2006/main" id="117" name="Program300" displayName="Program300" ref="A889:N898" totalsRowCount="1" headerRowDxfId="6041" dataDxfId="6039" totalsRowDxfId="6037" headerRowBorderDxfId="6040" tableBorderDxfId="6038" totalsRowBorderDxfId="6036">
  <autoFilter ref="A889:N897"/>
  <tableColumns count="14">
    <tableColumn id="1" name="(A)_x000a_Program Name" totalsRowLabel="Total Program 300" dataDxfId="6035" totalsRowDxfId="6034"/>
    <tableColumn id="2" name="(B)_x000a_Fiscal _x000a_Year" totalsRowLabel="N/A" dataDxfId="6033" totalsRowDxfId="6032"/>
    <tableColumn id="3" name="(C)_x000a_Program_x000a_Costs" totalsRowFunction="sum" dataDxfId="6031" totalsRowDxfId="6030"/>
    <tableColumn id="4" name="(D)_x000a_Prior Period Adjustments" totalsRowFunction="sum" dataDxfId="6029" totalsRowDxfId="6028"/>
    <tableColumn id="5" name="(E)_x000a_Current Period Desk _x000a_Reviews" totalsRowFunction="sum" dataDxfId="6027" totalsRowDxfId="6026"/>
    <tableColumn id="6" name="(F)_x000a_Current Period _x000a_Final _x000a_Audits" totalsRowFunction="sum" dataDxfId="6025" totalsRowDxfId="6024"/>
    <tableColumn id="7" name="(G)_x000a_Current Period _x000a_Other Adjustments" totalsRowFunction="sum" dataDxfId="6023" totalsRowDxfId="6022"/>
    <tableColumn id="8" name="(H)_x000a_Net Program Costs_x000a_Sum (C through G)" totalsRowFunction="sum" dataDxfId="6021" totalsRowDxfId="6020"/>
    <tableColumn id="9" name="(I)_x000a_Payments_x000a_ and Offsets" totalsRowFunction="sum" dataDxfId="6019" totalsRowDxfId="6018"/>
    <tableColumn id="10" name="(J)_x000a_Accounts Payable Balance_x000a_(H + I)" totalsRowFunction="sum" dataDxfId="6017" totalsRowDxfId="6016"/>
    <tableColumn id="11" name="(K)_x000a_Established _x000a_Accounts Receivable" totalsRowFunction="sum" dataDxfId="6015" totalsRowDxfId="6014"/>
    <tableColumn id="12" name="(L)_x000a_Recovered_x000a_ Accounts Receivable" totalsRowFunction="sum" dataDxfId="6013" totalsRowDxfId="6012"/>
    <tableColumn id="13" name="(M)_x000a_Accounts Receivable Balance_x000a_(K + L)" totalsRowFunction="sum" dataDxfId="6011" totalsRowDxfId="6010"/>
    <tableColumn id="14" name="(N)_x000a_Net Balance_x000a_(J minus M)" totalsRowFunction="sum" dataDxfId="6009" totalsRowDxfId="600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8.xml><?xml version="1.0" encoding="utf-8"?>
<table xmlns="http://schemas.openxmlformats.org/spreadsheetml/2006/main" id="118" name="Program334" displayName="Program334" ref="A876:N887" totalsRowCount="1" headerRowDxfId="6007" dataDxfId="6005" totalsRowDxfId="6003" headerRowBorderDxfId="6006" tableBorderDxfId="6004" totalsRowBorderDxfId="6002">
  <autoFilter ref="A876:N886"/>
  <tableColumns count="14">
    <tableColumn id="1" name="(A)_x000a_Program Name" totalsRowLabel="Total Program 334" dataDxfId="6001" totalsRowDxfId="6000"/>
    <tableColumn id="2" name="(B)_x000a_Fiscal _x000a_Year" totalsRowLabel="N/A" dataDxfId="5999" totalsRowDxfId="5998"/>
    <tableColumn id="3" name="(C)_x000a_Program_x000a_Costs" totalsRowFunction="sum" dataDxfId="5997" totalsRowDxfId="5996"/>
    <tableColumn id="4" name="(D)_x000a_Prior Period Adjustments" totalsRowFunction="sum" dataDxfId="5995" totalsRowDxfId="5994"/>
    <tableColumn id="5" name="(E)_x000a_Current Period Desk _x000a_Reviews" totalsRowFunction="sum" dataDxfId="5993" totalsRowDxfId="5992"/>
    <tableColumn id="6" name="(F)_x000a_Current Period _x000a_Final _x000a_Audits" totalsRowFunction="sum" dataDxfId="5991" totalsRowDxfId="5990"/>
    <tableColumn id="7" name="(G)_x000a_Current Period _x000a_Other Adjustments" totalsRowFunction="sum" dataDxfId="5989" totalsRowDxfId="5988"/>
    <tableColumn id="8" name="(H)_x000a_Net Program Costs_x000a_Sum (C through G)" totalsRowFunction="sum" dataDxfId="5987" totalsRowDxfId="5986"/>
    <tableColumn id="9" name="(I)_x000a_Payments_x000a_ and Offsets" totalsRowFunction="sum" dataDxfId="5985" totalsRowDxfId="5984"/>
    <tableColumn id="10" name="(J)_x000a_Accounts Payable Balance_x000a_(H + I)" totalsRowFunction="sum" dataDxfId="5983" totalsRowDxfId="5982"/>
    <tableColumn id="11" name="(K)_x000a_Established _x000a_Accounts Receivable" totalsRowFunction="min" dataDxfId="5981" totalsRowDxfId="5980"/>
    <tableColumn id="12" name="(L)_x000a_Recovered_x000a_ Accounts Receivable" totalsRowFunction="min" dataDxfId="5979" totalsRowDxfId="5978"/>
    <tableColumn id="13" name="(M)_x000a_Accounts Receivable Balance_x000a_(K + L)" totalsRowFunction="sum" dataDxfId="5977" totalsRowDxfId="5976"/>
    <tableColumn id="14" name="(N)_x000a_Net Balance_x000a_(J minus M)" totalsRowFunction="sum" dataDxfId="5975" totalsRowDxfId="597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19.xml><?xml version="1.0" encoding="utf-8"?>
<table xmlns="http://schemas.openxmlformats.org/spreadsheetml/2006/main" id="119" name="Program371" displayName="Program371" ref="A869:N874" totalsRowCount="1" headerRowDxfId="5973" dataDxfId="5971" totalsRowDxfId="5969" headerRowBorderDxfId="5972" tableBorderDxfId="5970" totalsRowBorderDxfId="5968">
  <autoFilter ref="A869:N873"/>
  <tableColumns count="14">
    <tableColumn id="1" name="(A)_x000a_Program Name" totalsRowLabel="Total Program 371" dataDxfId="5967" totalsRowDxfId="5966"/>
    <tableColumn id="2" name="(B)_x000a_Fiscal _x000a_Year" totalsRowLabel="N/A" dataDxfId="5965" totalsRowDxfId="5964"/>
    <tableColumn id="3" name="(C)_x000a_Program_x000a_Costs" totalsRowFunction="sum" dataDxfId="5963" totalsRowDxfId="5962"/>
    <tableColumn id="4" name="(D)_x000a_Prior Period Adjustments" totalsRowFunction="sum" dataDxfId="5961" totalsRowDxfId="5960"/>
    <tableColumn id="5" name="(E)_x000a_Current Period Desk _x000a_Reviews" totalsRowFunction="sum" dataDxfId="5959" totalsRowDxfId="5958"/>
    <tableColumn id="6" name="(F)_x000a_Current Period _x000a_Final _x000a_Audits" totalsRowFunction="sum" dataDxfId="5957" totalsRowDxfId="5956"/>
    <tableColumn id="7" name="(G)_x000a_Current Period _x000a_Other Adjustments" totalsRowFunction="sum" dataDxfId="5955" totalsRowDxfId="5954"/>
    <tableColumn id="8" name="(H)_x000a_Net Program Costs_x000a_Sum (C through G)" totalsRowFunction="sum" dataDxfId="5953" totalsRowDxfId="5952"/>
    <tableColumn id="9" name="(I)_x000a_Payments_x000a_ and Offsets" totalsRowFunction="sum" dataDxfId="5951" totalsRowDxfId="5950"/>
    <tableColumn id="10" name="(J)_x000a_Accounts Payable Balance_x000a_(H + I)" totalsRowFunction="sum" dataDxfId="5949" totalsRowDxfId="5948"/>
    <tableColumn id="11" name="(K)_x000a_Established _x000a_Accounts Receivable" totalsRowFunction="sum" dataDxfId="5947" totalsRowDxfId="5946"/>
    <tableColumn id="12" name="(L)_x000a_Recovered_x000a_ Accounts Receivable" totalsRowFunction="sum" dataDxfId="5945" totalsRowDxfId="5944"/>
    <tableColumn id="13" name="(M)_x000a_Accounts Receivable Balance_x000a_(K + L)" totalsRowFunction="sum" dataDxfId="5943" totalsRowDxfId="5942"/>
    <tableColumn id="14" name="(N)_x000a_Net Balance_x000a_(J minus M)" totalsRowFunction="sum" dataDxfId="5941" totalsRowDxfId="594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.xml><?xml version="1.0" encoding="utf-8"?>
<table xmlns="http://schemas.openxmlformats.org/spreadsheetml/2006/main" id="12" name="Program1" displayName="Program1" ref="A79:N93" totalsRowCount="1" headerRowDxfId="9608" dataDxfId="9606" totalsRowDxfId="9604" headerRowBorderDxfId="9607" tableBorderDxfId="9605" totalsRowBorderDxfId="9603">
  <autoFilter ref="A79:N92"/>
  <tableColumns count="14">
    <tableColumn id="1" name="(A)_x000a_Program Name" totalsRowLabel="Total Program 1" dataDxfId="9602" totalsRowDxfId="9601"/>
    <tableColumn id="2" name="(B)_x000a_Fiscal _x000a_Year" totalsRowLabel="N/A" dataDxfId="9600" totalsRowDxfId="9599"/>
    <tableColumn id="3" name="(C)_x000a_Program_x000a_Costs" totalsRowFunction="sum" dataDxfId="9598" totalsRowDxfId="9597"/>
    <tableColumn id="4" name="(D)_x000a_Prior Period Adjustments" totalsRowFunction="sum" dataDxfId="9596" totalsRowDxfId="9595"/>
    <tableColumn id="5" name="(E)_x000a_Current Period Desk _x000a_Reviews" totalsRowFunction="sum" dataDxfId="9594" totalsRowDxfId="9593"/>
    <tableColumn id="6" name="(F)_x000a_Current Period _x000a_Final _x000a_Audits" totalsRowFunction="sum" dataDxfId="9592" totalsRowDxfId="9591"/>
    <tableColumn id="7" name="(G)_x000a_Current Period _x000a_Other Adjustments" totalsRowFunction="sum" dataDxfId="9590" totalsRowDxfId="9589"/>
    <tableColumn id="8" name="(H)_x000a_Net Program Costs_x000a_Sum (C through G)" totalsRowFunction="sum" dataDxfId="9588" totalsRowDxfId="9587"/>
    <tableColumn id="9" name="(I)_x000a_Payments_x000a_ and Offsets" totalsRowFunction="sum" dataDxfId="9586" totalsRowDxfId="9585"/>
    <tableColumn id="10" name="(J)_x000a_Accounts Payable Balance_x000a_(H + I)" totalsRowFunction="sum" dataDxfId="9584" totalsRowDxfId="9583"/>
    <tableColumn id="11" name="(K)_x000a_Established _x000a_Accounts Receivable" totalsRowFunction="sum" dataDxfId="9582" totalsRowDxfId="9581"/>
    <tableColumn id="12" name="(L)_x000a_Recovered_x000a_ Accounts Receivable" totalsRowFunction="sum" dataDxfId="9580" totalsRowDxfId="9579"/>
    <tableColumn id="13" name="(M)_x000a_Accounts Receivable Balance_x000a_(K + L)" totalsRowFunction="sum" dataDxfId="9578" totalsRowDxfId="9577"/>
    <tableColumn id="14" name="(N)_x000a_Net Balance_x000a_(J minus M)" totalsRowFunction="sum" dataDxfId="9576" totalsRowDxfId="95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0.xml><?xml version="1.0" encoding="utf-8"?>
<table xmlns="http://schemas.openxmlformats.org/spreadsheetml/2006/main" id="120" name="Program193" displayName="Program193" ref="A858:N867" totalsRowCount="1" headerRowDxfId="5939" dataDxfId="5937" totalsRowDxfId="5935" headerRowBorderDxfId="5938" tableBorderDxfId="5936" totalsRowBorderDxfId="5934">
  <autoFilter ref="A858:N866"/>
  <tableColumns count="14">
    <tableColumn id="1" name="(A)_x000a_Program Name" totalsRowLabel="Total Program 193" dataDxfId="5933" totalsRowDxfId="5932"/>
    <tableColumn id="2" name="(B)_x000a_Fiscal _x000a_Year" totalsRowLabel="N/A" dataDxfId="5931" totalsRowDxfId="5930"/>
    <tableColumn id="3" name="(C)_x000a_Program_x000a_Costs" totalsRowFunction="sum" dataDxfId="5929" totalsRowDxfId="5928"/>
    <tableColumn id="4" name="(D)_x000a_Prior Period Adjustments" totalsRowFunction="sum" dataDxfId="5927" totalsRowDxfId="5926"/>
    <tableColumn id="5" name="(E)_x000a_Current Period Desk _x000a_Reviews" totalsRowFunction="sum" dataDxfId="5925" totalsRowDxfId="5924"/>
    <tableColumn id="6" name="(F)_x000a_Current Period _x000a_Final _x000a_Audits" totalsRowFunction="sum" dataDxfId="5923" totalsRowDxfId="5922"/>
    <tableColumn id="7" name="(G)_x000a_Current Period _x000a_Other Adjustments" totalsRowFunction="sum" dataDxfId="5921" totalsRowDxfId="5920"/>
    <tableColumn id="8" name="(H)_x000a_Net Program Costs_x000a_Sum (C through G)" totalsRowFunction="sum" dataDxfId="5919" totalsRowDxfId="5918"/>
    <tableColumn id="9" name="(I)_x000a_Payments_x000a_ and Offsets" totalsRowFunction="sum" dataDxfId="5917" totalsRowDxfId="5916"/>
    <tableColumn id="10" name="(J)_x000a_Accounts Payable Balance_x000a_(H + I)" totalsRowFunction="sum" dataDxfId="5915" totalsRowDxfId="5914"/>
    <tableColumn id="11" name="(K)_x000a_Established _x000a_Accounts Receivable" totalsRowFunction="sum" dataDxfId="5913" totalsRowDxfId="5912"/>
    <tableColumn id="12" name="(L)_x000a_Recovered_x000a_ Accounts Receivable" totalsRowFunction="sum" dataDxfId="5911" totalsRowDxfId="5910"/>
    <tableColumn id="13" name="(M)_x000a_Accounts Receivable Balance_x000a_(K + L)" totalsRowFunction="sum" dataDxfId="5909" totalsRowDxfId="5908"/>
    <tableColumn id="14" name="(N)_x000a_Net Balance_x000a_(J minus M)" totalsRowFunction="sum" dataDxfId="5907" totalsRowDxfId="590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1.xml><?xml version="1.0" encoding="utf-8"?>
<table xmlns="http://schemas.openxmlformats.org/spreadsheetml/2006/main" id="121" name="Program35" displayName="Program35" ref="A837:N856" totalsRowCount="1" headerRowDxfId="5905" dataDxfId="5903" totalsRowDxfId="5901" headerRowBorderDxfId="5904" tableBorderDxfId="5902" totalsRowBorderDxfId="5900">
  <autoFilter ref="A837:N855"/>
  <tableColumns count="14">
    <tableColumn id="1" name="(A)_x000a_Program Name" totalsRowLabel="Total Program 35" dataDxfId="5899" totalsRowDxfId="5898"/>
    <tableColumn id="2" name="(B)_x000a_Fiscal _x000a_Year" totalsRowLabel="N/A" dataDxfId="5897" totalsRowDxfId="5896"/>
    <tableColumn id="3" name="(C)_x000a_Program_x000a_Costs" totalsRowFunction="sum" dataDxfId="5895" totalsRowDxfId="5894"/>
    <tableColumn id="4" name="(D)_x000a_Prior Period Adjustments" totalsRowFunction="sum" dataDxfId="5893" totalsRowDxfId="5892"/>
    <tableColumn id="5" name="(E)_x000a_Current Period Desk _x000a_Reviews" totalsRowFunction="sum" dataDxfId="5891" totalsRowDxfId="5890"/>
    <tableColumn id="6" name="(F)_x000a_Current Period _x000a_Final _x000a_Audits" totalsRowFunction="sum" dataDxfId="5889" totalsRowDxfId="5888"/>
    <tableColumn id="7" name="(G)_x000a_Current Period _x000a_Other Adjustments" totalsRowFunction="sum" dataDxfId="5887" totalsRowDxfId="5886"/>
    <tableColumn id="8" name="(H)_x000a_Net Program Costs_x000a_Sum (C through G)" totalsRowFunction="sum" dataDxfId="5885" totalsRowDxfId="5884"/>
    <tableColumn id="9" name="(I)_x000a_Payments_x000a_ and Offsets" totalsRowFunction="sum" dataDxfId="5883" totalsRowDxfId="5882"/>
    <tableColumn id="10" name="(J)_x000a_Accounts Payable Balance_x000a_(H + I)" totalsRowFunction="sum" dataDxfId="5881" totalsRowDxfId="5880"/>
    <tableColumn id="11" name="(K)_x000a_Established _x000a_Accounts Receivable" totalsRowFunction="sum" dataDxfId="5879" totalsRowDxfId="5878"/>
    <tableColumn id="12" name="(L)_x000a_Recovered_x000a_ Accounts Receivable" totalsRowFunction="sum" dataDxfId="5877" totalsRowDxfId="5876"/>
    <tableColumn id="13" name="(M)_x000a_Accounts Receivable Balance_x000a_(K + L)" totalsRowFunction="sum" dataDxfId="5875" totalsRowDxfId="5874"/>
    <tableColumn id="14" name="(N)_x000a_Net Balance_x000a_(J minus M)" totalsRowFunction="sum" dataDxfId="5873" totalsRowDxfId="587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2.xml><?xml version="1.0" encoding="utf-8"?>
<table xmlns="http://schemas.openxmlformats.org/spreadsheetml/2006/main" id="122" name="Program132" displayName="Program132" ref="A831:N835" totalsRowCount="1" headerRowDxfId="5871" dataDxfId="5869" totalsRowDxfId="5867" headerRowBorderDxfId="5870" tableBorderDxfId="5868" totalsRowBorderDxfId="5866">
  <autoFilter ref="A831:N834"/>
  <tableColumns count="14">
    <tableColumn id="1" name="(A)_x000a_Program Name" totalsRowLabel="Total Program 132" dataDxfId="5865" totalsRowDxfId="5864"/>
    <tableColumn id="2" name="(B)_x000a_Fiscal _x000a_Year" totalsRowLabel="N/A" dataDxfId="5863" totalsRowDxfId="5862"/>
    <tableColumn id="3" name="(C)_x000a_Program_x000a_Costs" totalsRowFunction="sum" dataDxfId="5861" totalsRowDxfId="5860"/>
    <tableColumn id="4" name="(D)_x000a_Prior Period Adjustments" totalsRowFunction="sum" dataDxfId="5859" totalsRowDxfId="5858"/>
    <tableColumn id="5" name="(E)_x000a_Current Period Desk _x000a_Reviews" totalsRowFunction="sum" dataDxfId="5857" totalsRowDxfId="5856"/>
    <tableColumn id="6" name="(F)_x000a_Current Period _x000a_Final _x000a_Audits" totalsRowFunction="sum" dataDxfId="5855" totalsRowDxfId="5854"/>
    <tableColumn id="7" name="(G)_x000a_Current Period _x000a_Other Adjustments" totalsRowFunction="sum" dataDxfId="5853" totalsRowDxfId="5852"/>
    <tableColumn id="8" name="(H)_x000a_Net Program Costs_x000a_Sum (C through G)" totalsRowFunction="sum" dataDxfId="5851" totalsRowDxfId="5850"/>
    <tableColumn id="9" name="(I)_x000a_Payments_x000a_ and Offsets" totalsRowFunction="sum" dataDxfId="5849" totalsRowDxfId="5848"/>
    <tableColumn id="10" name="(J)_x000a_Accounts Payable Balance_x000a_(H + I)" totalsRowFunction="sum" dataDxfId="5847" totalsRowDxfId="5846"/>
    <tableColumn id="11" name="(K)_x000a_Established _x000a_Accounts Receivable" totalsRowFunction="sum" dataDxfId="5845" totalsRowDxfId="5844"/>
    <tableColumn id="12" name="(L)_x000a_Recovered_x000a_ Accounts Receivable" totalsRowFunction="sum" dataDxfId="5843" totalsRowDxfId="5842"/>
    <tableColumn id="13" name="(M)_x000a_Accounts Receivable Balance_x000a_(K + L)" totalsRowFunction="sum" dataDxfId="5841" totalsRowDxfId="5840"/>
    <tableColumn id="14" name="(N)_x000a_Net Balance_x000a_(J minus M)" totalsRowFunction="sum" dataDxfId="5839" totalsRowDxfId="583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3.xml><?xml version="1.0" encoding="utf-8"?>
<table xmlns="http://schemas.openxmlformats.org/spreadsheetml/2006/main" id="123" name="Program161" displayName="Program161" ref="A820:N829" totalsRowCount="1" headerRowDxfId="5837" dataDxfId="5835" totalsRowDxfId="5833" headerRowBorderDxfId="5836" tableBorderDxfId="5834">
  <autoFilter ref="A820:N828"/>
  <tableColumns count="14">
    <tableColumn id="1" name="(A)_x000a_Program Name" totalsRowLabel="Total Program 161" dataDxfId="5832" totalsRowDxfId="5831"/>
    <tableColumn id="2" name="(B)_x000a_Fiscal _x000a_Year" totalsRowLabel="N/A" dataDxfId="5830" totalsRowDxfId="5829"/>
    <tableColumn id="3" name="(C)_x000a_Program_x000a_Costs" totalsRowFunction="sum" dataDxfId="5828" totalsRowDxfId="5827"/>
    <tableColumn id="4" name="(D)_x000a_Prior Period Adjustments" totalsRowFunction="sum" dataDxfId="5826" totalsRowDxfId="5825"/>
    <tableColumn id="5" name="(E)_x000a_Current Period Desk _x000a_Reviews" totalsRowFunction="sum" dataDxfId="5824" totalsRowDxfId="5823"/>
    <tableColumn id="6" name="(F)_x000a_Current Period _x000a_Final _x000a_Audits" totalsRowFunction="sum" dataDxfId="5822" totalsRowDxfId="5821"/>
    <tableColumn id="7" name="(G)_x000a_Current Period _x000a_Other Adjustments" totalsRowFunction="sum" dataDxfId="5820" totalsRowDxfId="5819"/>
    <tableColumn id="8" name="(H)_x000a_Net Program Costs_x000a_Sum (C through G)" totalsRowFunction="sum" dataDxfId="5818" totalsRowDxfId="5817"/>
    <tableColumn id="9" name="(I)_x000a_Payments_x000a_ and Offsets" totalsRowFunction="sum" dataDxfId="5816" totalsRowDxfId="5815"/>
    <tableColumn id="10" name="(J)_x000a_Accounts Payable Balance_x000a_(H + I)" totalsRowFunction="sum" dataDxfId="5814" totalsRowDxfId="5813"/>
    <tableColumn id="11" name="(K)_x000a_Established _x000a_Accounts Receivable" totalsRowFunction="sum" dataDxfId="5812" totalsRowDxfId="5811"/>
    <tableColumn id="12" name="(L)_x000a_Recovered_x000a_ Accounts Receivable" totalsRowFunction="sum" dataDxfId="5810" totalsRowDxfId="5809"/>
    <tableColumn id="13" name="(M)_x000a_Accounts Receivable Balance_x000a_(K + L)" totalsRowFunction="sum" dataDxfId="5808" totalsRowDxfId="5807"/>
    <tableColumn id="14" name="(N)_x000a_Net Balance_x000a_(J minus M)" totalsRowFunction="sum" dataDxfId="5806" totalsRowDxfId="58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4.xml><?xml version="1.0" encoding="utf-8"?>
<table xmlns="http://schemas.openxmlformats.org/spreadsheetml/2006/main" id="124" name="Program358" displayName="Program358" ref="A801:N818" totalsRowCount="1" headerRowDxfId="5804" dataDxfId="5802" totalsRowDxfId="5800" headerRowBorderDxfId="5803" tableBorderDxfId="5801" totalsRowBorderDxfId="5799">
  <autoFilter ref="A801:N817"/>
  <tableColumns count="14">
    <tableColumn id="1" name="(A)_x000a_Program Name" totalsRowLabel="Total Program 358" dataDxfId="5798" totalsRowDxfId="5797"/>
    <tableColumn id="2" name="(B)_x000a_Fiscal _x000a_Year" totalsRowLabel="N/A" dataDxfId="5796" totalsRowDxfId="5795"/>
    <tableColumn id="3" name="(C)_x000a_Program_x000a_Costs" totalsRowFunction="sum" dataDxfId="5794" totalsRowDxfId="5793"/>
    <tableColumn id="4" name="(D)_x000a_Prior Period Adjustments" totalsRowFunction="sum" dataDxfId="5792" totalsRowDxfId="5791"/>
    <tableColumn id="5" name="(E)_x000a_Current Period Desk _x000a_Reviews" totalsRowFunction="sum" dataDxfId="5790" totalsRowDxfId="5789"/>
    <tableColumn id="6" name="(F)_x000a_Current Period _x000a_Final _x000a_Audits" totalsRowFunction="sum" dataDxfId="5788" totalsRowDxfId="5787"/>
    <tableColumn id="7" name="(G)_x000a_Current Period _x000a_Other Adjustments" totalsRowFunction="sum" dataDxfId="5786" totalsRowDxfId="5785"/>
    <tableColumn id="8" name="(H)_x000a_Net Program Costs_x000a_Sum (C through G)" totalsRowFunction="sum" dataDxfId="5784" totalsRowDxfId="5783"/>
    <tableColumn id="9" name="(I)_x000a_Payments_x000a_ and Offsets" totalsRowFunction="sum" dataDxfId="5782" totalsRowDxfId="5781"/>
    <tableColumn id="10" name="(J)_x000a_Accounts Payable Balance_x000a_(H + I)" totalsRowFunction="sum" dataDxfId="5780" totalsRowDxfId="5779"/>
    <tableColumn id="11" name="(K)_x000a_Established _x000a_Accounts Receivable" totalsRowFunction="sum" dataDxfId="5778" totalsRowDxfId="5777"/>
    <tableColumn id="12" name="(L)_x000a_Recovered_x000a_ Accounts Receivable" totalsRowFunction="sum" dataDxfId="5776" totalsRowDxfId="5775"/>
    <tableColumn id="13" name="(M)_x000a_Accounts Receivable Balance_x000a_(K + L)" totalsRowFunction="sum" dataDxfId="5774" totalsRowDxfId="5773"/>
    <tableColumn id="14" name="(N)_x000a_Net Balance_x000a_(J minus M)" totalsRowFunction="sum" dataDxfId="5772" totalsRowDxfId="57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5.xml><?xml version="1.0" encoding="utf-8"?>
<table xmlns="http://schemas.openxmlformats.org/spreadsheetml/2006/main" id="125" name="Program126" displayName="Program126" ref="A792:N799" totalsRowCount="1" headerRowDxfId="5770" dataDxfId="5768" totalsRowDxfId="5766" headerRowBorderDxfId="5769" tableBorderDxfId="5767" totalsRowBorderDxfId="5765">
  <autoFilter ref="A792:N798"/>
  <tableColumns count="14">
    <tableColumn id="1" name="(A)_x000a_Program Name" totalsRowLabel="Total Program 126" dataDxfId="5764" totalsRowDxfId="5763"/>
    <tableColumn id="2" name="(B)_x000a_Fiscal _x000a_Year" totalsRowLabel="N/A" dataDxfId="5762" totalsRowDxfId="5761"/>
    <tableColumn id="3" name="(C)_x000a_Program_x000a_Costs" totalsRowFunction="sum" dataDxfId="5760" totalsRowDxfId="5759"/>
    <tableColumn id="4" name="(D)_x000a_Prior Period Adjustments" totalsRowFunction="sum" dataDxfId="5758" totalsRowDxfId="5757"/>
    <tableColumn id="5" name="(E)_x000a_Current Period Desk _x000a_Reviews" totalsRowFunction="sum" dataDxfId="5756" totalsRowDxfId="5755"/>
    <tableColumn id="6" name="(F)_x000a_Current Period _x000a_Final _x000a_Audits" totalsRowFunction="sum" dataDxfId="5754" totalsRowDxfId="5753"/>
    <tableColumn id="7" name="(G)_x000a_Current Period _x000a_Other Adjustments" totalsRowFunction="sum" dataDxfId="5752" totalsRowDxfId="5751"/>
    <tableColumn id="8" name="(H)_x000a_Net Program Costs_x000a_Sum (C through G)" totalsRowFunction="sum" dataDxfId="5750" totalsRowDxfId="5749"/>
    <tableColumn id="9" name="(I)_x000a_Payments_x000a_ and Offsets" totalsRowFunction="sum" dataDxfId="5748" totalsRowDxfId="5747"/>
    <tableColumn id="10" name="(J)_x000a_Accounts Payable Balance_x000a_(H + I)" totalsRowFunction="sum" dataDxfId="5746" totalsRowDxfId="5745"/>
    <tableColumn id="11" name="(K)_x000a_Established _x000a_Accounts Receivable" totalsRowFunction="sum" dataDxfId="5744" totalsRowDxfId="5743"/>
    <tableColumn id="12" name="(L)_x000a_Recovered_x000a_ Accounts Receivable" totalsRowFunction="sum" dataDxfId="5742" totalsRowDxfId="5741"/>
    <tableColumn id="13" name="(M)_x000a_Accounts Receivable Balance_x000a_(K + L)" totalsRowFunction="sum" dataDxfId="5740" totalsRowDxfId="5739"/>
    <tableColumn id="14" name="(N)_x000a_Net Balance_x000a_(J minus M)" totalsRowFunction="sum" dataDxfId="5738" totalsRowDxfId="57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6.xml><?xml version="1.0" encoding="utf-8"?>
<table xmlns="http://schemas.openxmlformats.org/spreadsheetml/2006/main" id="126" name="Program289" displayName="Program289" ref="A777:N790" totalsRowCount="1" headerRowDxfId="5736" dataDxfId="5734" totalsRowDxfId="5732" headerRowBorderDxfId="5735" tableBorderDxfId="5733" totalsRowBorderDxfId="5731">
  <autoFilter ref="A777:N789"/>
  <tableColumns count="14">
    <tableColumn id="1" name="(A)_x000a_Program Name" totalsRowLabel="Total Program 289" dataDxfId="5730" totalsRowDxfId="5729"/>
    <tableColumn id="2" name="(B)_x000a_Fiscal _x000a_Year" totalsRowLabel="N/A" dataDxfId="5728" totalsRowDxfId="5727"/>
    <tableColumn id="3" name="(C)_x000a_Program_x000a_Costs" totalsRowFunction="sum" dataDxfId="5726" totalsRowDxfId="5725"/>
    <tableColumn id="4" name="(D)_x000a_Prior Period Adjustments" totalsRowFunction="sum" dataDxfId="5724" totalsRowDxfId="5723"/>
    <tableColumn id="5" name="(E)_x000a_Current Period Desk _x000a_Reviews" totalsRowFunction="sum" dataDxfId="5722" totalsRowDxfId="5721"/>
    <tableColumn id="6" name="(F)_x000a_Current Period _x000a_Final _x000a_Audits" totalsRowFunction="sum" dataDxfId="5720" totalsRowDxfId="5719"/>
    <tableColumn id="7" name="(G)_x000a_Current Period _x000a_Other Adjustments" totalsRowFunction="sum" dataDxfId="5718" totalsRowDxfId="5717"/>
    <tableColumn id="8" name="(H)_x000a_Net Program Costs_x000a_Sum (C through G)" totalsRowFunction="sum" dataDxfId="5716" totalsRowDxfId="5715"/>
    <tableColumn id="9" name="(I)_x000a_Payments_x000a_ and Offsets" totalsRowFunction="sum" dataDxfId="5714" totalsRowDxfId="5713"/>
    <tableColumn id="10" name="(J)_x000a_Accounts Payable Balance_x000a_(H + I)" totalsRowFunction="sum" dataDxfId="5712" totalsRowDxfId="5711"/>
    <tableColumn id="11" name="(K)_x000a_Established _x000a_Accounts Receivable" totalsRowFunction="sum" dataDxfId="5710" totalsRowDxfId="5709"/>
    <tableColumn id="12" name="(L)_x000a_Recovered_x000a_ Accounts Receivable" totalsRowFunction="sum" dataDxfId="5708" totalsRowDxfId="5707"/>
    <tableColumn id="13" name="(M)_x000a_Accounts Receivable Balance_x000a_(K + L)" totalsRowFunction="sum" dataDxfId="5706" totalsRowDxfId="5705"/>
    <tableColumn id="14" name="(N)_x000a_Net Balance_x000a_(J minus M)" totalsRowFunction="sum" dataDxfId="5704" totalsRowDxfId="57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7.xml><?xml version="1.0" encoding="utf-8"?>
<table xmlns="http://schemas.openxmlformats.org/spreadsheetml/2006/main" id="127" name="Program321" displayName="Program321" ref="A763:N775" totalsRowCount="1" headerRowDxfId="5702" dataDxfId="5700" totalsRowDxfId="5698" headerRowBorderDxfId="5701" tableBorderDxfId="5699" totalsRowBorderDxfId="5697">
  <autoFilter ref="A763:N774"/>
  <tableColumns count="14">
    <tableColumn id="1" name="(A)_x000a_Program Name" totalsRowLabel="Total Program 321" dataDxfId="5696" totalsRowDxfId="5695"/>
    <tableColumn id="2" name="(B)_x000a_Fiscal _x000a_Year" totalsRowLabel="N/A" dataDxfId="5694" totalsRowDxfId="5693"/>
    <tableColumn id="3" name="(C)_x000a_Program_x000a_Costs" totalsRowFunction="sum" dataDxfId="5692" totalsRowDxfId="5691"/>
    <tableColumn id="4" name="(D)_x000a_Prior Period Adjustments" totalsRowFunction="sum" dataDxfId="5690" totalsRowDxfId="5689"/>
    <tableColumn id="5" name="(E)_x000a_Current Period Desk _x000a_Reviews" totalsRowFunction="sum" dataDxfId="5688" totalsRowDxfId="5687"/>
    <tableColumn id="6" name="(F)_x000a_Current Period _x000a_Final _x000a_Audits" totalsRowFunction="sum" dataDxfId="5686" totalsRowDxfId="5685"/>
    <tableColumn id="7" name="(G)_x000a_Current Period _x000a_Other Adjustments" totalsRowFunction="sum" dataDxfId="5684" totalsRowDxfId="5683"/>
    <tableColumn id="8" name="(H)_x000a_Net Program Costs_x000a_Sum (C through G)" totalsRowFunction="sum" dataDxfId="5682" totalsRowDxfId="5681"/>
    <tableColumn id="9" name="(I)_x000a_Payments_x000a_ and Offsets" totalsRowFunction="sum" dataDxfId="5680" totalsRowDxfId="5679"/>
    <tableColumn id="10" name="(J)_x000a_Accounts Payable Balance_x000a_(H + I)" totalsRowFunction="sum" dataDxfId="5678" totalsRowDxfId="5677"/>
    <tableColumn id="11" name="(K)_x000a_Established _x000a_Accounts Receivable" totalsRowFunction="sum" dataDxfId="5676" totalsRowDxfId="5675"/>
    <tableColumn id="12" name="(L)_x000a_Recovered_x000a_ Accounts Receivable" totalsRowFunction="sum" dataDxfId="5674" totalsRowDxfId="5673"/>
    <tableColumn id="13" name="(M)_x000a_Accounts Receivable Balance_x000a_(K + L)" totalsRowFunction="sum" dataDxfId="5672" totalsRowDxfId="5671"/>
    <tableColumn id="14" name="(N)_x000a_Net Balance_x000a_(J minus M)" totalsRowFunction="sum" dataDxfId="5670" totalsRowDxfId="56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8.xml><?xml version="1.0" encoding="utf-8"?>
<table xmlns="http://schemas.openxmlformats.org/spreadsheetml/2006/main" id="128" name="Program197" displayName="Program197" ref="A738:N761" totalsRowCount="1" headerRowDxfId="5668" dataDxfId="5666" totalsRowDxfId="5664" headerRowBorderDxfId="5667" tableBorderDxfId="5665" totalsRowBorderDxfId="5663">
  <autoFilter ref="A738:N760"/>
  <tableColumns count="14">
    <tableColumn id="1" name="(A)_x000a_Program Name" totalsRowLabel="Total Program 197" dataDxfId="5662" totalsRowDxfId="5661"/>
    <tableColumn id="2" name="(B)_x000a_Fiscal _x000a_Year" totalsRowLabel="N/A" dataDxfId="5660" totalsRowDxfId="5659"/>
    <tableColumn id="3" name="(C)_x000a_Program_x000a_Costs" totalsRowFunction="sum" dataDxfId="5658" totalsRowDxfId="5657"/>
    <tableColumn id="4" name="(D)_x000a_Prior Period Adjustments" totalsRowFunction="sum" dataDxfId="5656" totalsRowDxfId="5655"/>
    <tableColumn id="5" name="(E)_x000a_Current Period Desk _x000a_Reviews" totalsRowFunction="sum" dataDxfId="5654" totalsRowDxfId="5653"/>
    <tableColumn id="6" name="(F)_x000a_Current Period _x000a_Final _x000a_Audits" totalsRowFunction="sum" dataDxfId="5652" totalsRowDxfId="5651"/>
    <tableColumn id="7" name="(G)_x000a_Current Period _x000a_Other Adjustments" totalsRowFunction="sum" dataDxfId="5650" totalsRowDxfId="5649"/>
    <tableColumn id="8" name="(H)_x000a_Net Program Costs_x000a_Sum (C through G)" totalsRowFunction="sum" dataDxfId="5648" totalsRowDxfId="5647"/>
    <tableColumn id="9" name="(I)_x000a_Payments_x000a_ and Offsets" totalsRowFunction="sum" dataDxfId="5646" totalsRowDxfId="5645"/>
    <tableColumn id="10" name="(J)_x000a_Accounts Payable Balance_x000a_(H + I)" totalsRowFunction="sum" dataDxfId="5644" totalsRowDxfId="5643"/>
    <tableColumn id="11" name="(K)_x000a_Established _x000a_Accounts Receivable" totalsRowFunction="sum" dataDxfId="5642" totalsRowDxfId="5641"/>
    <tableColumn id="12" name="(L)_x000a_Recovered_x000a_ Accounts Receivable" totalsRowFunction="sum" dataDxfId="5640" totalsRowDxfId="5639"/>
    <tableColumn id="13" name="(M)_x000a_Accounts Receivable Balance_x000a_(K + L)" totalsRowFunction="sum" dataDxfId="5638" totalsRowDxfId="5637"/>
    <tableColumn id="14" name="(N)_x000a_Net Balance_x000a_(J minus M)" totalsRowFunction="sum" dataDxfId="5636" totalsRowDxfId="56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29.xml><?xml version="1.0" encoding="utf-8"?>
<table xmlns="http://schemas.openxmlformats.org/spreadsheetml/2006/main" id="129" name="Program273" displayName="Program273" ref="A730:N736" totalsRowCount="1" headerRowDxfId="5634" dataDxfId="5632" totalsRowDxfId="5630" headerRowBorderDxfId="5633" tableBorderDxfId="5631" totalsRowBorderDxfId="5629">
  <autoFilter ref="A730:N735"/>
  <tableColumns count="14">
    <tableColumn id="1" name="(A)_x000a_Program Name" totalsRowLabel="Total Program 273" dataDxfId="5628" totalsRowDxfId="5627"/>
    <tableColumn id="2" name="(B)_x000a_Fiscal _x000a_Year" totalsRowLabel="N/A" dataDxfId="5626" totalsRowDxfId="5625"/>
    <tableColumn id="3" name="(C)_x000a_Program_x000a_Costs" totalsRowFunction="sum" dataDxfId="5624" totalsRowDxfId="5623"/>
    <tableColumn id="4" name="(D)_x000a_Prior Period Adjustments" totalsRowFunction="sum" dataDxfId="5622" totalsRowDxfId="5621"/>
    <tableColumn id="5" name="(E)_x000a_Current Period Desk _x000a_Reviews" totalsRowFunction="sum" dataDxfId="5620" totalsRowDxfId="5619"/>
    <tableColumn id="6" name="(F)_x000a_Current Period _x000a_Final _x000a_Audits" totalsRowFunction="sum" dataDxfId="5618" totalsRowDxfId="5617"/>
    <tableColumn id="7" name="(G)_x000a_Current Period _x000a_Other Adjustments" totalsRowFunction="sum" dataDxfId="5616" totalsRowDxfId="5615"/>
    <tableColumn id="8" name="(H)_x000a_Net Program Costs_x000a_Sum (C through G)" totalsRowFunction="sum" dataDxfId="5614" totalsRowDxfId="5613"/>
    <tableColumn id="9" name="(I)_x000a_Payments_x000a_ and Offsets" totalsRowFunction="sum" dataDxfId="5612" totalsRowDxfId="5611"/>
    <tableColumn id="10" name="(J)_x000a_Accounts Payable Balance_x000a_(H + I)" totalsRowFunction="sum" dataDxfId="5610" totalsRowDxfId="5609"/>
    <tableColumn id="11" name="(K)_x000a_Established _x000a_Accounts Receivable" totalsRowFunction="sum" dataDxfId="5608" totalsRowDxfId="5607"/>
    <tableColumn id="12" name="(L)_x000a_Recovered_x000a_ Accounts Receivable" totalsRowFunction="sum" dataDxfId="5606" totalsRowDxfId="5605"/>
    <tableColumn id="13" name="(M)_x000a_Accounts Receivable Balance_x000a_(K + L)" totalsRowFunction="sum" dataDxfId="5604" totalsRowDxfId="5603"/>
    <tableColumn id="14" name="(N)_x000a_Net Balance_x000a_(J minus M)" totalsRowFunction="sum" dataDxfId="5602" totalsRowDxfId="56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.xml><?xml version="1.0" encoding="utf-8"?>
<table xmlns="http://schemas.openxmlformats.org/spreadsheetml/2006/main" id="13" name="Program178" displayName="Program178" ref="A95:N106" totalsRowCount="1" headerRowDxfId="9574" dataDxfId="9572" totalsRowDxfId="9570" headerRowBorderDxfId="9573" tableBorderDxfId="9571" totalsRowBorderDxfId="9569">
  <autoFilter ref="A95:N105"/>
  <tableColumns count="14">
    <tableColumn id="1" name="(A)_x000a_Program Name" totalsRowLabel="Total Program 178" dataDxfId="9568" totalsRowDxfId="9567"/>
    <tableColumn id="2" name="(B)_x000a_Fiscal _x000a_Year" totalsRowLabel="N/A" dataDxfId="9566" totalsRowDxfId="9565"/>
    <tableColumn id="3" name="(C)_x000a_Program_x000a_Costs" totalsRowFunction="sum" dataDxfId="9564" totalsRowDxfId="9563"/>
    <tableColumn id="4" name="(D)_x000a_Prior Period Adjustments" totalsRowFunction="sum" dataDxfId="9562" totalsRowDxfId="9561"/>
    <tableColumn id="5" name="(E)_x000a_Current Period Desk _x000a_Reviews" totalsRowFunction="sum" dataDxfId="9560" totalsRowDxfId="9559"/>
    <tableColumn id="6" name="(F)_x000a_Current Period _x000a_Final _x000a_Audits" totalsRowFunction="sum" dataDxfId="9558" totalsRowDxfId="9557"/>
    <tableColumn id="7" name="(G)_x000a_Current Period _x000a_Other Adjustments" totalsRowFunction="sum" dataDxfId="9556" totalsRowDxfId="9555"/>
    <tableColumn id="8" name="(H)_x000a_Net Program Costs_x000a_Sum (C through G)" totalsRowFunction="sum" dataDxfId="9554" totalsRowDxfId="9553"/>
    <tableColumn id="9" name="(I)_x000a_Payments_x000a_ and Offsets" totalsRowFunction="sum" dataDxfId="9552" totalsRowDxfId="9551"/>
    <tableColumn id="10" name="(J)_x000a_Accounts Payable Balance_x000a_(H + I)" totalsRowFunction="sum" dataDxfId="9550" totalsRowDxfId="9549"/>
    <tableColumn id="11" name="(K)_x000a_Established _x000a_Accounts Receivable" totalsRowFunction="sum" dataDxfId="9548" totalsRowDxfId="9547"/>
    <tableColumn id="12" name="(L)_x000a_Recovered_x000a_ Accounts Receivable" totalsRowFunction="sum" dataDxfId="9546" totalsRowDxfId="9545"/>
    <tableColumn id="13" name="(M)_x000a_Accounts Receivable Balance_x000a_(K + L)" totalsRowFunction="sum" dataDxfId="9544" totalsRowDxfId="9543"/>
    <tableColumn id="14" name="(N)_x000a_Net Balance_x000a_(J minus M)" totalsRowFunction="sum" dataDxfId="9542" totalsRowDxfId="95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0.xml><?xml version="1.0" encoding="utf-8"?>
<table xmlns="http://schemas.openxmlformats.org/spreadsheetml/2006/main" id="130" name="Program263" displayName="Program263" ref="A722:N728" totalsRowCount="1" headerRowDxfId="5600" dataDxfId="5598" totalsRowDxfId="5596" headerRowBorderDxfId="5599" tableBorderDxfId="5597" totalsRowBorderDxfId="5595">
  <autoFilter ref="A722:N727"/>
  <tableColumns count="14">
    <tableColumn id="1" name="(A)_x000a_Program Name" totalsRowLabel="Total Program 263" dataDxfId="5594" totalsRowDxfId="5593"/>
    <tableColumn id="2" name="(B)_x000a_Fiscal _x000a_Year" totalsRowLabel="N/A" dataDxfId="5592" totalsRowDxfId="5591"/>
    <tableColumn id="3" name="(C)_x000a_Program_x000a_Costs" totalsRowFunction="sum" dataDxfId="5590" totalsRowDxfId="5589"/>
    <tableColumn id="4" name="(D)_x000a_Prior Period Adjustments" totalsRowFunction="sum" dataDxfId="5588" totalsRowDxfId="5587"/>
    <tableColumn id="5" name="(E)_x000a_Current Period Desk _x000a_Reviews" totalsRowFunction="sum" dataDxfId="5586" totalsRowDxfId="5585"/>
    <tableColumn id="6" name="(F)_x000a_Current Period _x000a_Final _x000a_Audits" totalsRowFunction="sum" dataDxfId="5584" totalsRowDxfId="5583"/>
    <tableColumn id="7" name="(G)_x000a_Current Period _x000a_Other Adjustments" totalsRowFunction="sum" dataDxfId="5582" totalsRowDxfId="5581"/>
    <tableColumn id="8" name="(H)_x000a_Net Program Costs_x000a_Sum (C through G)" totalsRowFunction="sum" dataDxfId="5580" totalsRowDxfId="5579"/>
    <tableColumn id="9" name="(I)_x000a_Payments_x000a_ and Offsets" totalsRowFunction="sum" dataDxfId="5578" totalsRowDxfId="5577"/>
    <tableColumn id="10" name="(J)_x000a_Accounts Payable Balance_x000a_(H + I)" totalsRowFunction="sum" dataDxfId="5576" totalsRowDxfId="5575"/>
    <tableColumn id="11" name="(K)_x000a_Established _x000a_Accounts Receivable" totalsRowFunction="sum" dataDxfId="5574" totalsRowDxfId="5573"/>
    <tableColumn id="12" name="(L)_x000a_Recovered_x000a_ Accounts Receivable" totalsRowFunction="sum" dataDxfId="5572" totalsRowDxfId="5571"/>
    <tableColumn id="13" name="(M)_x000a_Accounts Receivable Balance_x000a_(K + L)" totalsRowFunction="sum" dataDxfId="5570" totalsRowDxfId="5569"/>
    <tableColumn id="14" name="(N)_x000a_Net Balance_x000a_(J minus M)" totalsRowFunction="sum" dataDxfId="5568" totalsRowDxfId="55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1.xml><?xml version="1.0" encoding="utf-8"?>
<table xmlns="http://schemas.openxmlformats.org/spreadsheetml/2006/main" id="131" name="Program111" displayName="Program111" ref="A699:N720" totalsRowCount="1" headerRowDxfId="5566" dataDxfId="5564" totalsRowDxfId="5562" headerRowBorderDxfId="5565" tableBorderDxfId="5563" totalsRowBorderDxfId="5561">
  <autoFilter ref="A699:N719"/>
  <tableColumns count="14">
    <tableColumn id="1" name="(A)_x000a_Program Name" totalsRowLabel="Total Program 111" dataDxfId="5560" totalsRowDxfId="5559"/>
    <tableColumn id="2" name="(B)_x000a_Fiscal _x000a_Year" totalsRowLabel="N/A" dataDxfId="5558" totalsRowDxfId="5557"/>
    <tableColumn id="3" name="(C)_x000a_Program_x000a_Costs" totalsRowFunction="sum" dataDxfId="5556" totalsRowDxfId="5555"/>
    <tableColumn id="4" name="(D)_x000a_Prior Period Adjustments" totalsRowFunction="sum" dataDxfId="5554" totalsRowDxfId="5553"/>
    <tableColumn id="5" name="(E)_x000a_Current Period Desk _x000a_Reviews" totalsRowFunction="sum" dataDxfId="5552" totalsRowDxfId="5551"/>
    <tableColumn id="6" name="(F)_x000a_Current Period _x000a_Final _x000a_Audits" totalsRowFunction="sum" dataDxfId="5550" totalsRowDxfId="5549"/>
    <tableColumn id="7" name="(G)_x000a_Current Period _x000a_Other Adjustments" totalsRowFunction="sum" dataDxfId="5548" totalsRowDxfId="5547"/>
    <tableColumn id="8" name="(H)_x000a_Net Program Costs_x000a_Sum (C through G)" totalsRowFunction="sum" dataDxfId="5546" totalsRowDxfId="5545"/>
    <tableColumn id="9" name="(I)_x000a_Payments_x000a_ and Offsets" totalsRowFunction="sum" dataDxfId="5544" totalsRowDxfId="5543"/>
    <tableColumn id="10" name="(J)_x000a_Accounts Payable Balance_x000a_(H + I)" totalsRowFunction="sum" dataDxfId="5542" totalsRowDxfId="5541"/>
    <tableColumn id="11" name="(K)_x000a_Established _x000a_Accounts Receivable" totalsRowFunction="sum" dataDxfId="5540" totalsRowDxfId="5539"/>
    <tableColumn id="12" name="(L)_x000a_Recovered_x000a_ Accounts Receivable" totalsRowFunction="sum" dataDxfId="5538" totalsRowDxfId="5537"/>
    <tableColumn id="13" name="(M)_x000a_Accounts Receivable Balance_x000a_(K + L)" totalsRowFunction="sum" dataDxfId="5536" totalsRowDxfId="5535"/>
    <tableColumn id="14" name="(N)_x000a_Net Balance_x000a_(J minus M)" totalsRowFunction="sum" dataDxfId="5534" totalsRowDxfId="55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2.xml><?xml version="1.0" encoding="utf-8"?>
<table xmlns="http://schemas.openxmlformats.org/spreadsheetml/2006/main" id="132" name="Program27" displayName="Program27" ref="A689:N697" totalsRowCount="1" headerRowDxfId="5532" dataDxfId="5530" totalsRowDxfId="5528" headerRowBorderDxfId="5531" tableBorderDxfId="5529" totalsRowBorderDxfId="5527">
  <autoFilter ref="A689:N696"/>
  <tableColumns count="14">
    <tableColumn id="1" name="(A)_x000a_Program Name" totalsRowLabel="Total Program 27" dataDxfId="5526" totalsRowDxfId="5525"/>
    <tableColumn id="2" name="(B)_x000a_Fiscal _x000a_Year" totalsRowLabel="N/A" dataDxfId="5524" totalsRowDxfId="5523"/>
    <tableColumn id="3" name="(C)_x000a_Program_x000a_Costs" totalsRowFunction="sum" dataDxfId="5522" totalsRowDxfId="5521"/>
    <tableColumn id="4" name="(D)_x000a_Prior Period Adjustments" totalsRowFunction="sum" dataDxfId="5520" totalsRowDxfId="5519"/>
    <tableColumn id="5" name="(E)_x000a_Current Period Desk _x000a_Reviews" totalsRowFunction="sum" dataDxfId="5518" totalsRowDxfId="5517"/>
    <tableColumn id="6" name="(F)_x000a_Current Period _x000a_Final _x000a_Audits" totalsRowFunction="sum" dataDxfId="5516" totalsRowDxfId="5515"/>
    <tableColumn id="7" name="(G)_x000a_Current Period _x000a_Other Adjustments" totalsRowFunction="sum" dataDxfId="5514" totalsRowDxfId="5513"/>
    <tableColumn id="8" name="(H)_x000a_Net Program Costs_x000a_Sum (C through G)" totalsRowFunction="sum" dataDxfId="5512" totalsRowDxfId="5511"/>
    <tableColumn id="9" name="(I)_x000a_Payments_x000a_ and Offsets" totalsRowFunction="sum" dataDxfId="5510" totalsRowDxfId="5509"/>
    <tableColumn id="10" name="(J)_x000a_Accounts Payable Balance_x000a_(H + I)" totalsRowFunction="sum" dataDxfId="5508" totalsRowDxfId="5507"/>
    <tableColumn id="11" name="(K)_x000a_Established _x000a_Accounts Receivable" totalsRowFunction="sum" dataDxfId="5506" totalsRowDxfId="5505"/>
    <tableColumn id="12" name="(L)_x000a_Recovered_x000a_ Accounts Receivable" totalsRowFunction="sum" dataDxfId="5504" totalsRowDxfId="5503"/>
    <tableColumn id="13" name="(M)_x000a_Accounts Receivable Balance_x000a_(K + L)" totalsRowFunction="sum" dataDxfId="5502" totalsRowDxfId="5501"/>
    <tableColumn id="14" name="(N)_x000a_Net Balance_x000a_(J minus M)" totalsRowFunction="sum" dataDxfId="5500" totalsRowDxfId="54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3.xml><?xml version="1.0" encoding="utf-8"?>
<table xmlns="http://schemas.openxmlformats.org/spreadsheetml/2006/main" id="133" name="Program227" displayName="Program227" ref="A678:N687" totalsRowCount="1" headerRowDxfId="5498" dataDxfId="5496" totalsRowDxfId="5494" headerRowBorderDxfId="5497" tableBorderDxfId="5495" totalsRowBorderDxfId="5493">
  <autoFilter ref="A678:N686"/>
  <tableColumns count="14">
    <tableColumn id="1" name="(A)_x000a_Program Name" totalsRowLabel="Total Program 227" dataDxfId="5492" totalsRowDxfId="5491"/>
    <tableColumn id="2" name="(B)_x000a_Fiscal _x000a_Year" totalsRowLabel="N/A" dataDxfId="5490" totalsRowDxfId="5489"/>
    <tableColumn id="3" name="(C)_x000a_Program_x000a_Costs" totalsRowFunction="sum" dataDxfId="5488" totalsRowDxfId="5487"/>
    <tableColumn id="4" name="(D)_x000a_Prior Period Adjustments" totalsRowFunction="sum" dataDxfId="5486" totalsRowDxfId="5485"/>
    <tableColumn id="5" name="(E)_x000a_Current Period Desk _x000a_Reviews" totalsRowFunction="sum" dataDxfId="5484" totalsRowDxfId="5483"/>
    <tableColumn id="6" name="(F)_x000a_Current Period _x000a_Final _x000a_Audits" totalsRowFunction="sum" dataDxfId="5482" totalsRowDxfId="5481"/>
    <tableColumn id="7" name="(G)_x000a_Current Period _x000a_Other Adjustments" totalsRowFunction="sum" dataDxfId="5480" totalsRowDxfId="5479"/>
    <tableColumn id="8" name="(H)_x000a_Net Program Costs_x000a_Sum (C through G)" totalsRowFunction="sum" dataDxfId="5478" totalsRowDxfId="5477"/>
    <tableColumn id="9" name="(I)_x000a_Payments_x000a_ and Offsets" totalsRowFunction="sum" dataDxfId="5476" totalsRowDxfId="5475"/>
    <tableColumn id="10" name="(J)_x000a_Accounts Payable Balance_x000a_(H + I)" totalsRowFunction="sum" dataDxfId="5474" totalsRowDxfId="5473"/>
    <tableColumn id="11" name="(K)_x000a_Established _x000a_Accounts Receivable" totalsRowFunction="sum" dataDxfId="5472" totalsRowDxfId="5471"/>
    <tableColumn id="12" name="(L)_x000a_Recovered_x000a_ Accounts Receivable" totalsRowFunction="sum" dataDxfId="5470" totalsRowDxfId="5469"/>
    <tableColumn id="13" name="(M)_x000a_Accounts Receivable Balance_x000a_(K + L)" totalsRowFunction="sum" dataDxfId="5468" totalsRowDxfId="5467"/>
    <tableColumn id="14" name="(N)_x000a_Net Balance_x000a_(J minus M)" totalsRowFunction="sum" dataDxfId="5466" totalsRowDxfId="54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4.xml><?xml version="1.0" encoding="utf-8"?>
<table xmlns="http://schemas.openxmlformats.org/spreadsheetml/2006/main" id="134" name="Program23" displayName="Program23" ref="A656:N676" totalsRowCount="1" headerRowDxfId="5464" dataDxfId="5462" totalsRowDxfId="5460" headerRowBorderDxfId="5463" tableBorderDxfId="5461" totalsRowBorderDxfId="5459">
  <autoFilter ref="A656:N675"/>
  <tableColumns count="14">
    <tableColumn id="1" name="(A)_x000a_Program Name" totalsRowLabel="Total Program 23" dataDxfId="5458" totalsRowDxfId="5457"/>
    <tableColumn id="2" name="(B)_x000a_Fiscal _x000a_Year" totalsRowLabel="N/A" dataDxfId="5456" totalsRowDxfId="5455"/>
    <tableColumn id="3" name="(C)_x000a_Program_x000a_Costs" totalsRowFunction="sum" dataDxfId="5454" totalsRowDxfId="5453"/>
    <tableColumn id="4" name="(D)_x000a_Prior Period Adjustments" totalsRowFunction="sum" dataDxfId="5452" totalsRowDxfId="5451"/>
    <tableColumn id="5" name="(E)_x000a_Current Period Desk _x000a_Reviews" totalsRowFunction="stdDev" dataDxfId="5450" totalsRowDxfId="5449"/>
    <tableColumn id="6" name="(F)_x000a_Current Period _x000a_Final _x000a_Audits" totalsRowFunction="sum" dataDxfId="5448" totalsRowDxfId="5447"/>
    <tableColumn id="7" name="(G)_x000a_Current Period _x000a_Other Adjustments" totalsRowFunction="sum" dataDxfId="5446" totalsRowDxfId="5445"/>
    <tableColumn id="8" name="(H)_x000a_Net Program Costs_x000a_Sum (C through G)" totalsRowFunction="sum" dataDxfId="5444" totalsRowDxfId="5443"/>
    <tableColumn id="9" name="(I)_x000a_Payments_x000a_ and Offsets" totalsRowFunction="sum" dataDxfId="5442" totalsRowDxfId="5441"/>
    <tableColumn id="10" name="(J)_x000a_Accounts Payable Balance_x000a_(H + I)" totalsRowFunction="sum" dataDxfId="5440" totalsRowDxfId="5439"/>
    <tableColumn id="11" name="(K)_x000a_Established _x000a_Accounts Receivable" totalsRowFunction="sum" dataDxfId="5438" totalsRowDxfId="5437"/>
    <tableColumn id="12" name="(L)_x000a_Recovered_x000a_ Accounts Receivable" totalsRowFunction="sum" dataDxfId="5436" totalsRowDxfId="5435"/>
    <tableColumn id="13" name="(M)_x000a_Accounts Receivable Balance_x000a_(K + L)" totalsRowFunction="sum" dataDxfId="5434" totalsRowDxfId="5433"/>
    <tableColumn id="14" name="(N)_x000a_Net Balance_x000a_(J minus M)" totalsRowFunction="sum" dataDxfId="5432" totalsRowDxfId="54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5.xml><?xml version="1.0" encoding="utf-8"?>
<table xmlns="http://schemas.openxmlformats.org/spreadsheetml/2006/main" id="135" name="Program293" displayName="Program293" ref="A643:N654" totalsRowCount="1" headerRowDxfId="5430" dataDxfId="5428" totalsRowDxfId="5426" headerRowBorderDxfId="5429" tableBorderDxfId="5427" totalsRowBorderDxfId="5425">
  <autoFilter ref="A643:N653"/>
  <tableColumns count="14">
    <tableColumn id="1" name="(A)_x000a_Program Name" totalsRowLabel="Total Program 293" dataDxfId="5424" totalsRowDxfId="5423"/>
    <tableColumn id="2" name="(B)_x000a_Fiscal _x000a_Year" totalsRowLabel="N/A" dataDxfId="5422" totalsRowDxfId="5421"/>
    <tableColumn id="3" name="(C)_x000a_Program_x000a_Costs" totalsRowFunction="sum" dataDxfId="5420" totalsRowDxfId="5419"/>
    <tableColumn id="4" name="(D)_x000a_Prior Period Adjustments" totalsRowFunction="sum" dataDxfId="5418" totalsRowDxfId="5417"/>
    <tableColumn id="5" name="(E)_x000a_Current Period Desk _x000a_Reviews" totalsRowFunction="sum" dataDxfId="5416" totalsRowDxfId="5415"/>
    <tableColumn id="6" name="(F)_x000a_Current Period _x000a_Final _x000a_Audits" totalsRowFunction="sum" dataDxfId="5414" totalsRowDxfId="5413"/>
    <tableColumn id="7" name="(G)_x000a_Current Period _x000a_Other Adjustments" totalsRowFunction="min" dataDxfId="5412" totalsRowDxfId="5411"/>
    <tableColumn id="8" name="(H)_x000a_Net Program Costs_x000a_Sum (C through G)" totalsRowFunction="sum" dataDxfId="5410" totalsRowDxfId="5409"/>
    <tableColumn id="9" name="(I)_x000a_Payments_x000a_ and Offsets" totalsRowFunction="sum" dataDxfId="5408" totalsRowDxfId="5407"/>
    <tableColumn id="10" name="(J)_x000a_Accounts Payable Balance_x000a_(H + I)" totalsRowFunction="sum" dataDxfId="5406" totalsRowDxfId="5405"/>
    <tableColumn id="11" name="(K)_x000a_Established _x000a_Accounts Receivable" totalsRowFunction="sum" dataDxfId="5404" totalsRowDxfId="5403"/>
    <tableColumn id="12" name="(L)_x000a_Recovered_x000a_ Accounts Receivable" totalsRowFunction="sum" dataDxfId="5402" totalsRowDxfId="5401"/>
    <tableColumn id="13" name="(M)_x000a_Accounts Receivable Balance_x000a_(K + L)" totalsRowFunction="sum" dataDxfId="5400" totalsRowDxfId="5399"/>
    <tableColumn id="14" name="(N)_x000a_Net Balance_x000a_(J minus M)" totalsRowFunction="sum" dataDxfId="5398" totalsRowDxfId="53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6.xml><?xml version="1.0" encoding="utf-8"?>
<table xmlns="http://schemas.openxmlformats.org/spreadsheetml/2006/main" id="136" name="Program283" displayName="Program283" ref="A631:N641" totalsRowCount="1" headerRowDxfId="5396" dataDxfId="5394" totalsRowDxfId="5392" headerRowBorderDxfId="5395" tableBorderDxfId="5393" totalsRowBorderDxfId="5391">
  <autoFilter ref="A631:N640"/>
  <tableColumns count="14">
    <tableColumn id="1" name="(A)_x000a_Program Name" totalsRowLabel="Total Program 283" dataDxfId="5390" totalsRowDxfId="5389"/>
    <tableColumn id="2" name="(B)_x000a_Fiscal _x000a_Year" totalsRowLabel="N/A" dataDxfId="5388" totalsRowDxfId="5387"/>
    <tableColumn id="3" name="(C)_x000a_Program_x000a_Costs" totalsRowFunction="sum" dataDxfId="5386" totalsRowDxfId="5385"/>
    <tableColumn id="4" name="(D)_x000a_Prior Period Adjustments" totalsRowFunction="sum" dataDxfId="5384" totalsRowDxfId="5383"/>
    <tableColumn id="5" name="(E)_x000a_Current Period Desk _x000a_Reviews" totalsRowFunction="sum" dataDxfId="5382" totalsRowDxfId="5381"/>
    <tableColumn id="6" name="(F)_x000a_Current Period _x000a_Final _x000a_Audits" totalsRowFunction="sum" dataDxfId="5380" totalsRowDxfId="5379"/>
    <tableColumn id="7" name="(G)_x000a_Current Period _x000a_Other Adjustments" totalsRowFunction="sum" dataDxfId="5378" totalsRowDxfId="5377"/>
    <tableColumn id="8" name="(H)_x000a_Net Program Costs_x000a_Sum (C through G)" totalsRowFunction="sum" dataDxfId="5376" totalsRowDxfId="5375"/>
    <tableColumn id="9" name="(I)_x000a_Payments_x000a_ and Offsets" totalsRowFunction="sum" dataDxfId="5374" totalsRowDxfId="5373"/>
    <tableColumn id="10" name="(J)_x000a_Accounts Payable Balance_x000a_(H + I)" totalsRowFunction="sum" dataDxfId="5372" totalsRowDxfId="5371"/>
    <tableColumn id="11" name="(K)_x000a_Established _x000a_Accounts Receivable" totalsRowFunction="sum" dataDxfId="5370" totalsRowDxfId="5369"/>
    <tableColumn id="12" name="(L)_x000a_Recovered_x000a_ Accounts Receivable" totalsRowFunction="sum" dataDxfId="5368" totalsRowDxfId="5367"/>
    <tableColumn id="13" name="(M)_x000a_Accounts Receivable Balance_x000a_(K + L)" totalsRowFunction="sum" dataDxfId="5366" totalsRowDxfId="5365"/>
    <tableColumn id="14" name="(N)_x000a_Net Balance_x000a_(J minus M)" totalsRowFunction="sum" dataDxfId="5364" totalsRowDxfId="53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7.xml><?xml version="1.0" encoding="utf-8"?>
<table xmlns="http://schemas.openxmlformats.org/spreadsheetml/2006/main" id="137" name="GrandTotalLocalAgencies" displayName="GrandTotalLocalAgencies" ref="A1931:N2062" totalsRowCount="1" headerRowDxfId="5362" dataDxfId="5360" totalsRowDxfId="5358" headerRowBorderDxfId="5361" tableBorderDxfId="5359" totalsRowBorderDxfId="5357">
  <autoFilter ref="A1931:N2061"/>
  <tableColumns count="14">
    <tableColumn id="1" name="(A)_x000a_Program Name" totalsRowLabel="Grand Total Local Agencies" dataDxfId="5356" totalsRowDxfId="5355"/>
    <tableColumn id="2" name="(B)_x000a_Fiscal _x000a_Year" totalsRowLabel="N/A" dataDxfId="5354" totalsRowDxfId="5353"/>
    <tableColumn id="3" name="(C)_x000a_Program_x000a_Costs" totalsRowFunction="sum" dataDxfId="5352" totalsRowDxfId="5351"/>
    <tableColumn id="4" name="(D)_x000a_Prior Period Adjustments" totalsRowFunction="sum" dataDxfId="5350" totalsRowDxfId="5349"/>
    <tableColumn id="5" name="(E)_x000a_Current Period Desk _x000a_Reviews" totalsRowFunction="sum" dataDxfId="5348" totalsRowDxfId="5347"/>
    <tableColumn id="6" name="(F)_x000a_Current Period _x000a_Final _x000a_Audits" totalsRowFunction="sum" dataDxfId="5346" totalsRowDxfId="5345"/>
    <tableColumn id="7" name="(G)_x000a_Current Period _x000a_Other Adjustments" totalsRowFunction="sum" dataDxfId="5344" totalsRowDxfId="5343"/>
    <tableColumn id="8" name="(H)_x000a_Net Program Costs_x000a_Sum (C through G)" totalsRowFunction="sum" dataDxfId="5342" totalsRowDxfId="5341"/>
    <tableColumn id="9" name="(I)_x000a_Payments_x000a_ and Offsets" totalsRowFunction="sum" dataDxfId="5340" totalsRowDxfId="5339"/>
    <tableColumn id="10" name="(J)_x000a_Accounts Payable Balance_x000a_(H + I)" totalsRowFunction="sum" dataDxfId="5338" totalsRowDxfId="5337"/>
    <tableColumn id="11" name="(K)_x000a_Established _x000a_Accounts Receivable" totalsRowFunction="sum" dataDxfId="5336" totalsRowDxfId="5335"/>
    <tableColumn id="12" name="(L)_x000a_Recovered_x000a_ Accounts Receivable" totalsRowFunction="sum" dataDxfId="5334" totalsRowDxfId="5333"/>
    <tableColumn id="13" name="(M)_x000a_Accounts Receivable Balance_x000a_(K + L)" totalsRowFunction="sum" dataDxfId="5332" totalsRowDxfId="5331"/>
    <tableColumn id="14" name="(N)_x000a_Net Balance_x000a_(J minus M)" totalsRowFunction="sum" dataDxfId="5330" totalsRowDxfId="53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8.xml><?xml version="1.0" encoding="utf-8"?>
<table xmlns="http://schemas.openxmlformats.org/spreadsheetml/2006/main" id="138" name="Program170" displayName="Program170" ref="A2:N12" totalsRowCount="1" headerRowDxfId="5328" dataDxfId="5326" totalsRowDxfId="5324" headerRowBorderDxfId="5327" tableBorderDxfId="5325" totalsRowBorderDxfId="5323">
  <autoFilter ref="A2:N11"/>
  <tableColumns count="14">
    <tableColumn id="1" name="(A)_x000a_Program Name" totalsRowLabel="Total Program 170" dataDxfId="5322" totalsRowDxfId="5321"/>
    <tableColumn id="2" name="(B)_x000a_Fiscal _x000a_Year" totalsRowLabel="N/A" dataDxfId="5320" totalsRowDxfId="5319"/>
    <tableColumn id="3" name="(C)_x000a_Program_x000a_Costs" totalsRowFunction="sum" dataDxfId="5318" totalsRowDxfId="5317"/>
    <tableColumn id="4" name="(D)_x000a_Prior Period Adjustments" totalsRowFunction="sum" dataDxfId="5316" totalsRowDxfId="5315"/>
    <tableColumn id="5" name="(E)_x000a_Current Period Desk _x000a_Reviews" totalsRowFunction="sum" dataDxfId="5314" totalsRowDxfId="5313"/>
    <tableColumn id="6" name="(F)_x000a_Current Period _x000a_Final _x000a_Audits" totalsRowFunction="sum" dataDxfId="5312" totalsRowDxfId="5311"/>
    <tableColumn id="7" name="(G)_x000a_Current Period _x000a_Other Adjustments" totalsRowFunction="sum" dataDxfId="5310" totalsRowDxfId="5309"/>
    <tableColumn id="8" name="(H)_x000a_Net Program Costs_x000a_Sum (C through G)" totalsRowFunction="sum" dataDxfId="5308" totalsRowDxfId="5307"/>
    <tableColumn id="9" name="(I)_x000a_Payments_x000a_ and Offsets" totalsRowFunction="sum" dataDxfId="5306" totalsRowDxfId="5305"/>
    <tableColumn id="10" name="(J)_x000a_Accounts Payable Balance_x000a_(H + I)" totalsRowFunction="sum" dataDxfId="5304" totalsRowDxfId="5303"/>
    <tableColumn id="11" name="(K)_x000a_Established _x000a_Accounts Receivable" totalsRowFunction="sum" dataDxfId="5302" totalsRowDxfId="5301"/>
    <tableColumn id="12" name="(L)_x000a_Recovered_x000a_ Accounts Receivable" totalsRowFunction="sum" dataDxfId="5300" totalsRowDxfId="5299"/>
    <tableColumn id="13" name="(M)_x000a_Accounts Receivable Balance_x000a_(K + L)" totalsRowFunction="sum" dataDxfId="5298" totalsRowDxfId="5297"/>
    <tableColumn id="14" name="(N)_x000a_Net Balance_x000a_(J minus M)" totalsRowFunction="sum" dataDxfId="5296" totalsRowDxfId="52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39.xml><?xml version="1.0" encoding="utf-8"?>
<table xmlns="http://schemas.openxmlformats.org/spreadsheetml/2006/main" id="139" name="Program305" displayName="Program305" ref="A14:N33" totalsRowCount="1" headerRowDxfId="5294" dataDxfId="5292" totalsRowDxfId="5290" headerRowBorderDxfId="5293" tableBorderDxfId="5291" totalsRowBorderDxfId="5289">
  <autoFilter ref="A14:N32"/>
  <tableColumns count="14">
    <tableColumn id="1" name="(A)_x000a_Program Name" totalsRowLabel="Total Program 305" dataDxfId="5288" totalsRowDxfId="5287"/>
    <tableColumn id="2" name="(B)_x000a_Fiscal _x000a_Year" totalsRowLabel="N/A" dataDxfId="5286" totalsRowDxfId="5285"/>
    <tableColumn id="3" name="(C)_x000a_Program_x000a_Costs" totalsRowFunction="sum" dataDxfId="5284" totalsRowDxfId="5283"/>
    <tableColumn id="4" name="(D)_x000a_Prior Period Adjustments" totalsRowFunction="sum" dataDxfId="5282" totalsRowDxfId="5281"/>
    <tableColumn id="5" name="(E)_x000a_Current Period Desk _x000a_Reviews" totalsRowFunction="sum" dataDxfId="5280" totalsRowDxfId="5279"/>
    <tableColumn id="6" name="(F)_x000a_Current Period _x000a_Final _x000a_Audits" totalsRowFunction="sum" dataDxfId="5278" totalsRowDxfId="5277"/>
    <tableColumn id="7" name="(G)_x000a_Current Period _x000a_Other Adjustments" totalsRowFunction="sum" dataDxfId="5276" totalsRowDxfId="5275"/>
    <tableColumn id="8" name="(H)_x000a_Net Program Costs_x000a_Sum (C through G)" totalsRowFunction="sum" dataDxfId="5274" totalsRowDxfId="5273"/>
    <tableColumn id="9" name="(I)_x000a_Payments_x000a_ and Offsets" totalsRowFunction="sum" dataDxfId="5272" totalsRowDxfId="5271"/>
    <tableColumn id="10" name="(J)_x000a_Accounts Payable Balance_x000a_(H + I)" totalsRowFunction="sum" dataDxfId="5270" totalsRowDxfId="5269"/>
    <tableColumn id="11" name="(K)_x000a_Established _x000a_Accounts Receivable" totalsRowFunction="sum" dataDxfId="5268" totalsRowDxfId="5267"/>
    <tableColumn id="12" name="(L)_x000a_Recovered_x000a_ Accounts Receivable" totalsRowFunction="sum" dataDxfId="5266" totalsRowDxfId="5265"/>
    <tableColumn id="13" name="(M)_x000a_Accounts Receivable Balance_x000a_(K + L)" totalsRowFunction="sum" dataDxfId="5264" totalsRowDxfId="5263"/>
    <tableColumn id="14" name="(N)_x000a_Net Balance_x000a_(J minus M)" totalsRowFunction="sum" dataDxfId="5262" totalsRowDxfId="52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.xml><?xml version="1.0" encoding="utf-8"?>
<table xmlns="http://schemas.openxmlformats.org/spreadsheetml/2006/main" id="14" name="Program152" displayName="Program152" ref="A108:N136" totalsRowCount="1" headerRowDxfId="9540" dataDxfId="9538" totalsRowDxfId="9536" headerRowBorderDxfId="9539" tableBorderDxfId="9537" totalsRowBorderDxfId="9535">
  <autoFilter ref="A108:N135"/>
  <tableColumns count="14">
    <tableColumn id="1" name="(A)_x000a_Program Name" totalsRowLabel="Total Program 152" dataDxfId="9534" totalsRowDxfId="9533"/>
    <tableColumn id="2" name="(B)_x000a_Fiscal _x000a_Year" totalsRowLabel="N/A" dataDxfId="9532" totalsRowDxfId="9531"/>
    <tableColumn id="3" name="(C)_x000a_Program_x000a_Costs" totalsRowFunction="sum" dataDxfId="9530" totalsRowDxfId="9529"/>
    <tableColumn id="4" name="(D)_x000a_Prior Period Adjustments" totalsRowFunction="sum" dataDxfId="9528" totalsRowDxfId="9527"/>
    <tableColumn id="5" name="(E)_x000a_Current Period Desk _x000a_Reviews" totalsRowFunction="sum" dataDxfId="9526" totalsRowDxfId="9525"/>
    <tableColumn id="6" name="(F)_x000a_Current Period _x000a_Final _x000a_Audits" totalsRowFunction="sum" dataDxfId="9524" totalsRowDxfId="9523"/>
    <tableColumn id="7" name="(G)_x000a_Current Period _x000a_Other Adjustments" totalsRowFunction="sum" dataDxfId="9522" totalsRowDxfId="9521"/>
    <tableColumn id="8" name="(H)_x000a_Net Program Costs_x000a_Sum (C through G)" totalsRowFunction="sum" dataDxfId="9520" totalsRowDxfId="9519"/>
    <tableColumn id="9" name="(I)_x000a_Payments_x000a_ and Offsets" totalsRowFunction="sum" dataDxfId="9518" totalsRowDxfId="9517"/>
    <tableColumn id="10" name="(J)_x000a_Accounts Payable Balance_x000a_(H + I)" totalsRowFunction="sum" dataDxfId="9516" totalsRowDxfId="9515"/>
    <tableColumn id="11" name="(K)_x000a_Established _x000a_Accounts Receivable" totalsRowFunction="sum" dataDxfId="9514" totalsRowDxfId="9513"/>
    <tableColumn id="12" name="(L)_x000a_Recovered_x000a_ Accounts Receivable" totalsRowFunction="sum" dataDxfId="9512" totalsRowDxfId="9511"/>
    <tableColumn id="13" name="(M)_x000a_Accounts Receivable Balance_x000a_(K + L)" totalsRowFunction="sum" dataDxfId="9510" totalsRowDxfId="9509"/>
    <tableColumn id="14" name="(N)_x000a_Net Balance_x000a_(J minus M)" totalsRowFunction="sum" dataDxfId="9508" totalsRowDxfId="95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0.xml><?xml version="1.0" encoding="utf-8"?>
<table xmlns="http://schemas.openxmlformats.org/spreadsheetml/2006/main" id="140" name="Program269" displayName="Program269" ref="A35:N48" totalsRowCount="1" headerRowDxfId="5260" dataDxfId="5258" totalsRowDxfId="5256" headerRowBorderDxfId="5259" tableBorderDxfId="5257" totalsRowBorderDxfId="5255">
  <autoFilter ref="A35:N47"/>
  <tableColumns count="14">
    <tableColumn id="1" name="(A)_x000a_Program Name" totalsRowLabel="Total Program 269" dataDxfId="5254" totalsRowDxfId="5253"/>
    <tableColumn id="2" name="(B)_x000a_Fiscal _x000a_Year" totalsRowLabel="N/A" dataDxfId="5252" totalsRowDxfId="5251"/>
    <tableColumn id="3" name="(C)_x000a_Program_x000a_Costs" totalsRowFunction="sum" dataDxfId="5250" totalsRowDxfId="5249"/>
    <tableColumn id="4" name="(D)_x000a_Prior Period Adjustments" totalsRowFunction="sum" dataDxfId="5248" totalsRowDxfId="5247"/>
    <tableColumn id="5" name="(E)_x000a_Current Period Desk _x000a_Reviews" totalsRowFunction="sum" dataDxfId="5246" totalsRowDxfId="5245"/>
    <tableColumn id="6" name="(F)_x000a_Current Period _x000a_Final _x000a_Audits" totalsRowFunction="sum" dataDxfId="5244" totalsRowDxfId="5243"/>
    <tableColumn id="7" name="(G)_x000a_Current Period _x000a_Other Adjustments" totalsRowFunction="sum" dataDxfId="5242" totalsRowDxfId="5241"/>
    <tableColumn id="8" name="(H)_x000a_Net Program Costs_x000a_Sum (C through G)" totalsRowFunction="sum" dataDxfId="5240" totalsRowDxfId="5239"/>
    <tableColumn id="9" name="(I)_x000a_Payments_x000a_ and Offsets" totalsRowFunction="sum" dataDxfId="5238" totalsRowDxfId="5237"/>
    <tableColumn id="10" name="(J)_x000a_Accounts Payable Balance_x000a_(H + I)" totalsRowFunction="sum" dataDxfId="5236" totalsRowDxfId="5235"/>
    <tableColumn id="11" name="(K)_x000a_Established _x000a_Accounts Receivable" totalsRowFunction="sum" dataDxfId="5234" totalsRowDxfId="5233"/>
    <tableColumn id="12" name="(L)_x000a_Recovered_x000a_ Accounts Receivable" totalsRowFunction="sum" dataDxfId="5232" totalsRowDxfId="5231"/>
    <tableColumn id="13" name="(M)_x000a_Accounts Receivable Balance_x000a_(K + L)" totalsRowFunction="sum" dataDxfId="5230" totalsRowDxfId="5229"/>
    <tableColumn id="14" name="(N)_x000a_Net Balance_x000a_(J minus M)" totalsRowFunction="sum" dataDxfId="5228" totalsRowDxfId="52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1.xml><?xml version="1.0" encoding="utf-8"?>
<table xmlns="http://schemas.openxmlformats.org/spreadsheetml/2006/main" id="141" name="Program123" displayName="Program123" ref="A50:N63" totalsRowCount="1" headerRowDxfId="5226" dataDxfId="5224" totalsRowDxfId="5222" headerRowBorderDxfId="5225" tableBorderDxfId="5223" totalsRowBorderDxfId="5221">
  <autoFilter ref="A50:N62"/>
  <tableColumns count="14">
    <tableColumn id="1" name="(A)_x000a_Program Name" totalsRowLabel="Total Program 123" dataDxfId="5220" totalsRowDxfId="5219"/>
    <tableColumn id="2" name="(B)_x000a_Fiscal _x000a_Year" totalsRowLabel="N/A" dataDxfId="5218" totalsRowDxfId="5217"/>
    <tableColumn id="3" name="(C)_x000a_Program_x000a_Costs" totalsRowFunction="sum" dataDxfId="5216" totalsRowDxfId="5215"/>
    <tableColumn id="4" name="(D)_x000a_Prior Period Adjustments" totalsRowFunction="sum" dataDxfId="5214" totalsRowDxfId="5213"/>
    <tableColumn id="5" name="(E)_x000a_Current Period Desk _x000a_Reviews" totalsRowFunction="sum" dataDxfId="5212" totalsRowDxfId="5211"/>
    <tableColumn id="6" name="(F)_x000a_Current Period _x000a_Final _x000a_Audits" totalsRowFunction="sum" dataDxfId="5210" totalsRowDxfId="5209"/>
    <tableColumn id="7" name="(G)_x000a_Current Period _x000a_Other Adjustments" totalsRowFunction="sum" dataDxfId="5208" totalsRowDxfId="5207"/>
    <tableColumn id="8" name="(H)_x000a_Net Program Costs_x000a_Sum (C through G)" totalsRowFunction="sum" dataDxfId="5206" totalsRowDxfId="5205"/>
    <tableColumn id="9" name="(I)_x000a_Payments_x000a_ and Offsets" totalsRowFunction="sum" dataDxfId="5204" totalsRowDxfId="5203"/>
    <tableColumn id="10" name="(J)_x000a_Accounts Payable Balance_x000a_(H + I)" totalsRowFunction="sum" dataDxfId="5202" totalsRowDxfId="5201"/>
    <tableColumn id="11" name="(K)_x000a_Established _x000a_Accounts Receivable" totalsRowFunction="sum" dataDxfId="5200" totalsRowDxfId="5199"/>
    <tableColumn id="12" name="(L)_x000a_Recovered_x000a_ Accounts Receivable" totalsRowFunction="sum" dataDxfId="5198" totalsRowDxfId="5197"/>
    <tableColumn id="13" name="(M)_x000a_Accounts Receivable Balance_x000a_(K + L)" totalsRowFunction="sum" dataDxfId="5196" totalsRowDxfId="5195"/>
    <tableColumn id="14" name="(N)_x000a_Net Balance_x000a_(J minus M)" totalsRowFunction="sum" dataDxfId="5194" totalsRowDxfId="51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2.xml><?xml version="1.0" encoding="utf-8"?>
<table xmlns="http://schemas.openxmlformats.org/spreadsheetml/2006/main" id="142" name="Program250" displayName="Program250" ref="A65:N87" totalsRowCount="1" headerRowDxfId="5192" dataDxfId="5190" totalsRowDxfId="5188" headerRowBorderDxfId="5191" tableBorderDxfId="5189" totalsRowBorderDxfId="5187">
  <autoFilter ref="A65:N86"/>
  <tableColumns count="14">
    <tableColumn id="1" name="(A)_x000a_Program Name" totalsRowLabel="Total Program 250" dataDxfId="5186" totalsRowDxfId="5185"/>
    <tableColumn id="2" name="(B)_x000a_Fiscal _x000a_Year" totalsRowLabel="N/A" dataDxfId="5184" totalsRowDxfId="5183"/>
    <tableColumn id="3" name="(C)_x000a_Program_x000a_Costs" totalsRowFunction="sum" dataDxfId="5182" totalsRowDxfId="5181"/>
    <tableColumn id="4" name="(D)_x000a_Prior Period Adjustments" totalsRowFunction="sum" dataDxfId="5180" totalsRowDxfId="5179"/>
    <tableColumn id="5" name="(E)_x000a_Current Period Desk _x000a_Reviews" totalsRowFunction="sum" dataDxfId="5178" totalsRowDxfId="5177"/>
    <tableColumn id="6" name="(F)_x000a_Current Period _x000a_Final _x000a_Audits" totalsRowFunction="sum" dataDxfId="5176" totalsRowDxfId="5175"/>
    <tableColumn id="7" name="(G)_x000a_Current Period _x000a_Other Adjustments" totalsRowFunction="sum" dataDxfId="5174" totalsRowDxfId="5173"/>
    <tableColumn id="8" name="(H)_x000a_Net Program Costs_x000a_Sum (C through G)" totalsRowFunction="sum" dataDxfId="5172" totalsRowDxfId="5171"/>
    <tableColumn id="9" name="(I)_x000a_Payments_x000a_ and Offsets" totalsRowFunction="sum" dataDxfId="5170" totalsRowDxfId="5169"/>
    <tableColumn id="10" name="(J)_x000a_Accounts Payable Balance_x000a_(H + I)" totalsRowFunction="sum" dataDxfId="5168" totalsRowDxfId="5167"/>
    <tableColumn id="11" name="(K)_x000a_Established _x000a_Accounts Receivable" totalsRowFunction="sum" dataDxfId="5166" totalsRowDxfId="5165"/>
    <tableColumn id="12" name="(L)_x000a_Recovered_x000a_ Accounts Receivable" totalsRowFunction="sum" dataDxfId="5164" totalsRowDxfId="5163"/>
    <tableColumn id="13" name="(M)_x000a_Accounts Receivable Balance_x000a_(K + L)" totalsRowFunction="sum" dataDxfId="5162" totalsRowDxfId="5161"/>
    <tableColumn id="14" name="(N)_x000a_Net Balance_x000a_(J minus M)" totalsRowFunction="sum" dataDxfId="5160" totalsRowDxfId="51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3.xml><?xml version="1.0" encoding="utf-8"?>
<table xmlns="http://schemas.openxmlformats.org/spreadsheetml/2006/main" id="143" name="Program179" displayName="Program179" ref="A89:N99" totalsRowCount="1" headerRowDxfId="5158" dataDxfId="5156" totalsRowDxfId="5154" headerRowBorderDxfId="5157" tableBorderDxfId="5155" totalsRowBorderDxfId="5153">
  <autoFilter ref="A89:N98"/>
  <tableColumns count="14">
    <tableColumn id="1" name="(A)_x000a_Program Name" totalsRowLabel="Total Program 179" dataDxfId="5152" totalsRowDxfId="5151"/>
    <tableColumn id="2" name="(B)_x000a_Fiscal _x000a_Year" totalsRowLabel="N/A" dataDxfId="5150" totalsRowDxfId="5149"/>
    <tableColumn id="3" name="(C)_x000a_Program_x000a_Costs" totalsRowFunction="sum" dataDxfId="5148" totalsRowDxfId="5147"/>
    <tableColumn id="4" name="(D)_x000a_Prior Period Adjustments" totalsRowFunction="sum" dataDxfId="5146" totalsRowDxfId="5145"/>
    <tableColumn id="5" name="(E)_x000a_Current Period Desk _x000a_Reviews" totalsRowFunction="sum" dataDxfId="5144" totalsRowDxfId="5143"/>
    <tableColumn id="6" name="(F)_x000a_Current Period _x000a_Final _x000a_Audits" totalsRowFunction="sum" dataDxfId="5142" totalsRowDxfId="5141"/>
    <tableColumn id="7" name="(G)_x000a_Current Period _x000a_Other Adjustments" totalsRowFunction="sum" dataDxfId="5140" totalsRowDxfId="5139"/>
    <tableColumn id="8" name="(H)_x000a_Net Program Costs_x000a_Sum (C through G)" totalsRowFunction="sum" dataDxfId="5138" totalsRowDxfId="5137"/>
    <tableColumn id="9" name="(I)_x000a_Payments_x000a_ and Offsets" totalsRowFunction="sum" dataDxfId="5136" totalsRowDxfId="5135"/>
    <tableColumn id="10" name="(J)_x000a_Accounts Payable Balance_x000a_(H + I)" totalsRowFunction="sum" dataDxfId="5134" totalsRowDxfId="5133"/>
    <tableColumn id="11" name="(K)_x000a_Established _x000a_Accounts Receivable" totalsRowFunction="sum" dataDxfId="5132" totalsRowDxfId="5131"/>
    <tableColumn id="12" name="(L)_x000a_Recovered_x000a_ Accounts Receivable" totalsRowFunction="sum" dataDxfId="5130" totalsRowDxfId="5129"/>
    <tableColumn id="13" name="(M)_x000a_Accounts Receivable Balance_x000a_(K + L)" totalsRowFunction="sum" dataDxfId="5128" totalsRowDxfId="5127"/>
    <tableColumn id="14" name="(N)_x000a_Net Balance_x000a_(J minus M)" totalsRowFunction="sum" dataDxfId="5126" totalsRowDxfId="51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4.xml><?xml version="1.0" encoding="utf-8"?>
<table xmlns="http://schemas.openxmlformats.org/spreadsheetml/2006/main" id="144" name="Program145" displayName="Program145" ref="A101:N110" totalsRowCount="1" headerRowDxfId="5124" dataDxfId="5122" totalsRowDxfId="5120" headerRowBorderDxfId="5123" tableBorderDxfId="5121" totalsRowBorderDxfId="5119">
  <autoFilter ref="A101:N109"/>
  <tableColumns count="14">
    <tableColumn id="1" name="(A)_x000a_Program Name" totalsRowLabel="Total Program 145" dataDxfId="5118" totalsRowDxfId="5117"/>
    <tableColumn id="2" name="(B)_x000a_Fiscal _x000a_Year" totalsRowLabel="N/A" dataDxfId="5116" totalsRowDxfId="5115"/>
    <tableColumn id="3" name="(C)_x000a_Program_x000a_Costs" totalsRowFunction="sum" dataDxfId="5114" totalsRowDxfId="5113"/>
    <tableColumn id="4" name="(D)_x000a_Prior Period Adjustments" totalsRowFunction="sum" dataDxfId="5112" totalsRowDxfId="5111"/>
    <tableColumn id="5" name="(E)_x000a_Current Period Desk _x000a_Reviews" totalsRowFunction="sum" dataDxfId="5110" totalsRowDxfId="5109"/>
    <tableColumn id="6" name="(F)_x000a_Current Period _x000a_Final _x000a_Audits" totalsRowFunction="sum" dataDxfId="5108" totalsRowDxfId="5107"/>
    <tableColumn id="7" name="(G)_x000a_Current Period _x000a_Other Adjustments" totalsRowFunction="sum" dataDxfId="5106" totalsRowDxfId="5105"/>
    <tableColumn id="8" name="(H)_x000a_Net Program Costs_x000a_Sum (C through G)" totalsRowFunction="sum" dataDxfId="5104" totalsRowDxfId="5103"/>
    <tableColumn id="9" name="(I)_x000a_Payments_x000a_ and Offsets" totalsRowFunction="sum" dataDxfId="5102" totalsRowDxfId="5101"/>
    <tableColumn id="10" name="(J)_x000a_Accounts Payable Balance_x000a_(H + I)" totalsRowFunction="sum" dataDxfId="5100" totalsRowDxfId="5099"/>
    <tableColumn id="11" name="(K)_x000a_Established _x000a_Accounts Receivable" totalsRowFunction="sum" dataDxfId="5098" totalsRowDxfId="5097"/>
    <tableColumn id="12" name="(L)_x000a_Recovered_x000a_ Accounts Receivable" totalsRowFunction="sum" dataDxfId="5096" totalsRowDxfId="5095"/>
    <tableColumn id="13" name="(M)_x000a_Accounts Receivable Balance_x000a_(K + L)" totalsRowFunction="sum" dataDxfId="5094" totalsRowDxfId="5093"/>
    <tableColumn id="14" name="(N)_x000a_Net Balance_x000a_(J minus M)" totalsRowFunction="sum" dataDxfId="5092" totalsRowDxfId="50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5.xml><?xml version="1.0" encoding="utf-8"?>
<table xmlns="http://schemas.openxmlformats.org/spreadsheetml/2006/main" id="145" name="Program189" displayName="Program189" ref="A112:N117" totalsRowCount="1" headerRowDxfId="5090" dataDxfId="5088" totalsRowDxfId="5086" headerRowBorderDxfId="5089" tableBorderDxfId="5087" totalsRowBorderDxfId="5085">
  <autoFilter ref="A112:N116"/>
  <tableColumns count="14">
    <tableColumn id="1" name="(A)_x000a_Program Name" totalsRowLabel="Total Program 189" dataDxfId="5084" totalsRowDxfId="5083"/>
    <tableColumn id="2" name="(B)_x000a_Fiscal _x000a_Year" totalsRowLabel="N/A" dataDxfId="5082" totalsRowDxfId="5081"/>
    <tableColumn id="3" name="(C)_x000a_Program_x000a_Costs" totalsRowFunction="sum" dataDxfId="5080" totalsRowDxfId="5079"/>
    <tableColumn id="4" name="(D)_x000a_Prior Period Adjustments" totalsRowFunction="sum" dataDxfId="5078" totalsRowDxfId="5077"/>
    <tableColumn id="5" name="(E)_x000a_Current Period Desk _x000a_Reviews" totalsRowFunction="sum" dataDxfId="5076" totalsRowDxfId="5075"/>
    <tableColumn id="6" name="(F)_x000a_Current Period _x000a_Final _x000a_Audits" totalsRowFunction="sum" dataDxfId="5074" totalsRowDxfId="5073"/>
    <tableColumn id="7" name="(G)_x000a_Current Period _x000a_Other Adjustments" totalsRowFunction="sum" dataDxfId="5072" totalsRowDxfId="5071"/>
    <tableColumn id="8" name="(H)_x000a_Net Program Costs_x000a_Sum (C through G)" totalsRowFunction="sum" dataDxfId="5070" totalsRowDxfId="5069"/>
    <tableColumn id="9" name="(I)_x000a_Payments_x000a_ and Offsets" totalsRowFunction="sum" dataDxfId="5068" totalsRowDxfId="5067"/>
    <tableColumn id="10" name="(J)_x000a_Accounts Payable Balance_x000a_(H + I)" totalsRowFunction="sum" dataDxfId="5066" totalsRowDxfId="5065"/>
    <tableColumn id="11" name="(K)_x000a_Established _x000a_Accounts Receivable" totalsRowFunction="sum" dataDxfId="5064" totalsRowDxfId="5063"/>
    <tableColumn id="12" name="(L)_x000a_Recovered_x000a_ Accounts Receivable" totalsRowFunction="sum" dataDxfId="5062" totalsRowDxfId="5061"/>
    <tableColumn id="13" name="(M)_x000a_Accounts Receivable Balance_x000a_(K + L)" totalsRowFunction="sum" dataDxfId="5060" totalsRowDxfId="5059"/>
    <tableColumn id="14" name="(N)_x000a_Net Balance_x000a_(J minus M)" totalsRowFunction="sum" dataDxfId="5058" totalsRowDxfId="50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6.xml><?xml version="1.0" encoding="utf-8"?>
<table xmlns="http://schemas.openxmlformats.org/spreadsheetml/2006/main" id="146" name="Program221" displayName="Program221" ref="A119:N126" totalsRowCount="1" headerRowDxfId="5056" dataDxfId="5054" totalsRowDxfId="5052" headerRowBorderDxfId="5055" tableBorderDxfId="5053" totalsRowBorderDxfId="5051">
  <autoFilter ref="A119:N125"/>
  <tableColumns count="14">
    <tableColumn id="1" name="(A)_x000a_Program Name" totalsRowLabel="Total Program 221" dataDxfId="5050" totalsRowDxfId="5049"/>
    <tableColumn id="2" name="(B)_x000a_Fiscal _x000a_Year" totalsRowLabel="N/A" dataDxfId="5048" totalsRowDxfId="5047"/>
    <tableColumn id="3" name="(C)_x000a_Program_x000a_Costs" totalsRowFunction="sum" dataDxfId="5046" totalsRowDxfId="5045"/>
    <tableColumn id="4" name="(D)_x000a_Prior Period Adjustments" totalsRowFunction="sum" dataDxfId="5044" totalsRowDxfId="5043"/>
    <tableColumn id="5" name="(E)_x000a_Current Period Desk _x000a_Reviews" totalsRowFunction="sum" dataDxfId="5042" totalsRowDxfId="5041"/>
    <tableColumn id="6" name="(F)_x000a_Current Period _x000a_Final _x000a_Audits" totalsRowFunction="sum" dataDxfId="5040" totalsRowDxfId="5039"/>
    <tableColumn id="7" name="(G)_x000a_Current Period _x000a_Other Adjustments" totalsRowFunction="sum" dataDxfId="5038" totalsRowDxfId="5037"/>
    <tableColumn id="8" name="(H)_x000a_Net Program Costs_x000a_Sum (C through G)" totalsRowFunction="sum" dataDxfId="5036" totalsRowDxfId="5035"/>
    <tableColumn id="9" name="(I)_x000a_Payments_x000a_ and Offsets" totalsRowFunction="sum" dataDxfId="5034" totalsRowDxfId="5033"/>
    <tableColumn id="10" name="(J)_x000a_Accounts Payable Balance_x000a_(H + I)" totalsRowFunction="sum" dataDxfId="5032" totalsRowDxfId="5031"/>
    <tableColumn id="11" name="(K)_x000a_Established _x000a_Accounts Receivable" totalsRowFunction="sum" dataDxfId="5030" totalsRowDxfId="5029"/>
    <tableColumn id="12" name="(L)_x000a_Recovered_x000a_ Accounts Receivable" totalsRowFunction="sum" dataDxfId="5028" totalsRowDxfId="5027"/>
    <tableColumn id="13" name="(M)_x000a_Accounts Receivable Balance_x000a_(K + L)" totalsRowFunction="sum" dataDxfId="5026" totalsRowDxfId="5025"/>
    <tableColumn id="14" name="(N)_x000a_Net Balance_x000a_(J minus M)" totalsRowFunction="sum" dataDxfId="5024" totalsRowDxfId="50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7.xml><?xml version="1.0" encoding="utf-8"?>
<table xmlns="http://schemas.openxmlformats.org/spreadsheetml/2006/main" id="147" name="Program229" displayName="Program229" ref="A128:N130" totalsRowCount="1" headerRowDxfId="5022" dataDxfId="5020" totalsRowDxfId="5018" headerRowBorderDxfId="5021" tableBorderDxfId="5019" totalsRowBorderDxfId="5017">
  <autoFilter ref="A128:N129"/>
  <tableColumns count="14">
    <tableColumn id="1" name="(A)_x000a_Program Name" totalsRowLabel="Total Program 229" dataDxfId="5016" totalsRowDxfId="5015"/>
    <tableColumn id="2" name="(B)_x000a_Fiscal _x000a_Year" totalsRowLabel="N/A" dataDxfId="5014" totalsRowDxfId="5013"/>
    <tableColumn id="3" name="(C)_x000a_Program_x000a_Costs" totalsRowFunction="sum" dataDxfId="5012" totalsRowDxfId="5011">
      <calculatedColumnFormula>SUBTOTAL(9,C128:C128)</calculatedColumnFormula>
    </tableColumn>
    <tableColumn id="4" name="(D)_x000a_Prior Period Adjustments" totalsRowFunction="sum" dataDxfId="5010" totalsRowDxfId="5009">
      <calculatedColumnFormula>SUBTOTAL(9,D128:D128)</calculatedColumnFormula>
    </tableColumn>
    <tableColumn id="5" name="(E)_x000a_Current Period Desk _x000a_Reviews" totalsRowFunction="sum" dataDxfId="5008" totalsRowDxfId="5007">
      <calculatedColumnFormula>SUBTOTAL(9,E128:E128)</calculatedColumnFormula>
    </tableColumn>
    <tableColumn id="6" name="(F)_x000a_Current Period _x000a_Final _x000a_Audits" totalsRowFunction="sum" dataDxfId="5006" totalsRowDxfId="5005">
      <calculatedColumnFormula>SUBTOTAL(9,F128:F128)</calculatedColumnFormula>
    </tableColumn>
    <tableColumn id="7" name="(G)_x000a_Current Period _x000a_Other Adjustments" totalsRowFunction="sum" dataDxfId="5004" totalsRowDxfId="5003">
      <calculatedColumnFormula>SUBTOTAL(9,G128:G128)</calculatedColumnFormula>
    </tableColumn>
    <tableColumn id="8" name="(H)_x000a_Net Program Costs_x000a_Sum (C through G)" totalsRowFunction="sum" dataDxfId="5002" totalsRowDxfId="5001">
      <calculatedColumnFormula>SUBTOTAL(9,H128:H128)</calculatedColumnFormula>
    </tableColumn>
    <tableColumn id="9" name="(I)_x000a_Payments_x000a_ and Offsets" totalsRowFunction="sum" dataDxfId="5000" totalsRowDxfId="4999">
      <calculatedColumnFormula>SUBTOTAL(9,I128:I128)</calculatedColumnFormula>
    </tableColumn>
    <tableColumn id="10" name="(J)_x000a_Accounts Payable Balance_x000a_(H + I)" totalsRowFunction="sum" dataDxfId="4998" totalsRowDxfId="4997">
      <calculatedColumnFormula>SUBTOTAL(9,J128:J128)</calculatedColumnFormula>
    </tableColumn>
    <tableColumn id="11" name="(K)_x000a_Established _x000a_Accounts Receivable" totalsRowFunction="sum" dataDxfId="4996" totalsRowDxfId="4995">
      <calculatedColumnFormula>SUBTOTAL(9,K128:K128)</calculatedColumnFormula>
    </tableColumn>
    <tableColumn id="12" name="(L)_x000a_Recovered_x000a_ Accounts Receivable" totalsRowFunction="sum" dataDxfId="4994" totalsRowDxfId="4993">
      <calculatedColumnFormula>SUBTOTAL(9,L128:L128)</calculatedColumnFormula>
    </tableColumn>
    <tableColumn id="13" name="(M)_x000a_Accounts Receivable Balance_x000a_(K + L)" totalsRowFunction="sum" dataDxfId="4992" totalsRowDxfId="4991">
      <calculatedColumnFormula>SUBTOTAL(9,M128:M128)</calculatedColumnFormula>
    </tableColumn>
    <tableColumn id="14" name="(N)_x000a_Net Balance_x000a_(J minus M)" totalsRowFunction="sum" dataDxfId="4990" totalsRowDxfId="4989">
      <calculatedColumnFormula>SUBTOTAL(9,N128:N128)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8.xml><?xml version="1.0" encoding="utf-8"?>
<table xmlns="http://schemas.openxmlformats.org/spreadsheetml/2006/main" id="148" name="Program348" displayName="Program348" ref="A132:N152" totalsRowCount="1" headerRowDxfId="4988" dataDxfId="4986" totalsRowDxfId="4984" headerRowBorderDxfId="4987" tableBorderDxfId="4985" totalsRowBorderDxfId="4983">
  <autoFilter ref="A132:N151"/>
  <tableColumns count="14">
    <tableColumn id="1" name="(A)_x000a_Program Name" totalsRowLabel="Total Program 348" dataDxfId="4982" totalsRowDxfId="4981"/>
    <tableColumn id="2" name="(B)_x000a_Fiscal _x000a_Year" totalsRowLabel="N/A" dataDxfId="4980" totalsRowDxfId="4979"/>
    <tableColumn id="3" name="(C)_x000a_Program_x000a_Costs" totalsRowFunction="sum" dataDxfId="4978" totalsRowDxfId="4977"/>
    <tableColumn id="4" name="(D)_x000a_Prior Period Adjustments" totalsRowFunction="sum" dataDxfId="4976" totalsRowDxfId="4975"/>
    <tableColumn id="5" name="(E)_x000a_Current Period Desk _x000a_Reviews" totalsRowFunction="sum" dataDxfId="4974" totalsRowDxfId="4973"/>
    <tableColumn id="6" name="(F)_x000a_Current Period _x000a_Final _x000a_Audits" totalsRowFunction="sum" dataDxfId="4972" totalsRowDxfId="4971"/>
    <tableColumn id="7" name="(G)_x000a_Current Period _x000a_Other Adjustments" totalsRowFunction="sum" dataDxfId="4970" totalsRowDxfId="4969"/>
    <tableColumn id="8" name="(H)_x000a_Net Program Costs_x000a_Sum (C through G)" totalsRowFunction="sum" dataDxfId="4968" totalsRowDxfId="4967"/>
    <tableColumn id="9" name="(I)_x000a_Payments_x000a_ and Offsets" totalsRowFunction="sum" dataDxfId="4966" totalsRowDxfId="4965"/>
    <tableColumn id="10" name="(J)_x000a_Accounts Payable Balance_x000a_(H + I)" totalsRowFunction="sum" dataDxfId="4964" totalsRowDxfId="4963"/>
    <tableColumn id="11" name="(K)_x000a_Established _x000a_Accounts Receivable" totalsRowFunction="sum" dataDxfId="4962" totalsRowDxfId="4961"/>
    <tableColumn id="12" name="(L)_x000a_Recovered_x000a_ Accounts Receivable" totalsRowFunction="sum" dataDxfId="4960" totalsRowDxfId="4959"/>
    <tableColumn id="13" name="(M)_x000a_Accounts Receivable Balance_x000a_(K + L)" totalsRowFunction="sum" dataDxfId="4958" totalsRowDxfId="4957"/>
    <tableColumn id="14" name="(N)_x000a_Net Balance_x000a_(J minus M)" totalsRowFunction="sum" dataDxfId="4956" totalsRowDxfId="49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49.xml><?xml version="1.0" encoding="utf-8"?>
<table xmlns="http://schemas.openxmlformats.org/spreadsheetml/2006/main" id="149" name="Program349" displayName="Program349" ref="A154:N157" totalsRowCount="1" headerRowDxfId="4954" dataDxfId="4952" totalsRowDxfId="4950" headerRowBorderDxfId="4953" tableBorderDxfId="4951" totalsRowBorderDxfId="4949">
  <autoFilter ref="A154:N156"/>
  <tableColumns count="14">
    <tableColumn id="1" name="(A)_x000a_Program Name" totalsRowLabel="Total Program 349" dataDxfId="4948" totalsRowDxfId="4947"/>
    <tableColumn id="2" name="(B)_x000a_Fiscal _x000a_Year" totalsRowLabel="N/A" dataDxfId="4946" totalsRowDxfId="4945"/>
    <tableColumn id="3" name="(C)_x000a_Program_x000a_Costs" totalsRowFunction="sum" dataDxfId="4944" totalsRowDxfId="4943"/>
    <tableColumn id="4" name="(D)_x000a_Prior Period Adjustments" totalsRowFunction="sum" dataDxfId="4942" totalsRowDxfId="4941"/>
    <tableColumn id="5" name="(E)_x000a_Current Period Desk _x000a_Reviews" totalsRowFunction="sum" dataDxfId="4940" totalsRowDxfId="4939"/>
    <tableColumn id="6" name="(F)_x000a_Current Period _x000a_Final _x000a_Audits" totalsRowFunction="sum" dataDxfId="4938" totalsRowDxfId="4937"/>
    <tableColumn id="7" name="(G)_x000a_Current Period _x000a_Other Adjustments" totalsRowFunction="sum" dataDxfId="4936" totalsRowDxfId="4935"/>
    <tableColumn id="8" name="(H)_x000a_Net Program Costs_x000a_Sum (C through G)" totalsRowFunction="sum" dataDxfId="4934" totalsRowDxfId="4933"/>
    <tableColumn id="9" name="(I)_x000a_Payments_x000a_ and Offsets" totalsRowFunction="sum" dataDxfId="4932" totalsRowDxfId="4931"/>
    <tableColumn id="10" name="(J)_x000a_Accounts Payable Balance_x000a_(H + I)" totalsRowFunction="sum" dataDxfId="4930" totalsRowDxfId="4929"/>
    <tableColumn id="11" name="(K)_x000a_Established _x000a_Accounts Receivable" totalsRowFunction="sum" dataDxfId="4928" totalsRowDxfId="4927"/>
    <tableColumn id="12" name="(L)_x000a_Recovered_x000a_ Accounts Receivable" totalsRowFunction="sum" dataDxfId="4926" totalsRowDxfId="4925"/>
    <tableColumn id="13" name="(M)_x000a_Accounts Receivable Balance_x000a_(K + L)" totalsRowFunction="sum" dataDxfId="4924" totalsRowDxfId="4923"/>
    <tableColumn id="14" name="(N)_x000a_Net Balance_x000a_(J minus M)" totalsRowFunction="sum" dataDxfId="4922" totalsRowDxfId="49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.xml><?xml version="1.0" encoding="utf-8"?>
<table xmlns="http://schemas.openxmlformats.org/spreadsheetml/2006/main" id="15" name="Program213" displayName="Program213" ref="A138:N150" totalsRowCount="1" headerRowDxfId="9506" dataDxfId="9504" totalsRowDxfId="9502" headerRowBorderDxfId="9505" tableBorderDxfId="9503" totalsRowBorderDxfId="9501">
  <autoFilter ref="A138:N149"/>
  <tableColumns count="14">
    <tableColumn id="1" name="(A)_x000a_Program Name" totalsRowLabel="Total Program 213" dataDxfId="9500" totalsRowDxfId="9499"/>
    <tableColumn id="2" name="(B)_x000a_Fiscal _x000a_Year" totalsRowLabel="N/A" dataDxfId="9498" totalsRowDxfId="9497"/>
    <tableColumn id="3" name="(C)_x000a_Program_x000a_Costs" totalsRowFunction="sum" dataDxfId="9496" totalsRowDxfId="9495"/>
    <tableColumn id="4" name="(D)_x000a_Prior Period Adjustments" totalsRowFunction="sum" dataDxfId="9494" totalsRowDxfId="9493"/>
    <tableColumn id="5" name="(E)_x000a_Current Period Desk _x000a_Reviews" totalsRowFunction="sum" dataDxfId="9492" totalsRowDxfId="9491"/>
    <tableColumn id="6" name="(F)_x000a_Current Period _x000a_Final _x000a_Audits" totalsRowFunction="sum" dataDxfId="9490" totalsRowDxfId="9489"/>
    <tableColumn id="7" name="(G)_x000a_Current Period _x000a_Other Adjustments" totalsRowFunction="sum" dataDxfId="9488" totalsRowDxfId="9487"/>
    <tableColumn id="8" name="(H)_x000a_Net Program Costs_x000a_Sum (C through G)" totalsRowFunction="sum" dataDxfId="9486" totalsRowDxfId="9485"/>
    <tableColumn id="9" name="(I)_x000a_Payments_x000a_ and Offsets" totalsRowFunction="sum" dataDxfId="9484" totalsRowDxfId="9483"/>
    <tableColumn id="10" name="(J)_x000a_Accounts Payable Balance_x000a_(H + I)" totalsRowFunction="sum" dataDxfId="9482" totalsRowDxfId="9481"/>
    <tableColumn id="11" name="(K)_x000a_Established _x000a_Accounts Receivable" totalsRowFunction="sum" dataDxfId="9480" totalsRowDxfId="9479"/>
    <tableColumn id="12" name="(L)_x000a_Recovered_x000a_ Accounts Receivable" totalsRowFunction="sum" dataDxfId="9478" totalsRowDxfId="9477"/>
    <tableColumn id="13" name="(M)_x000a_Accounts Receivable Balance_x000a_(K + L)" totalsRowFunction="sum" dataDxfId="9476" totalsRowDxfId="9475"/>
    <tableColumn id="14" name="(N)_x000a_Net Balance_x000a_(J minus M)" totalsRowFunction="sum" dataDxfId="9474" totalsRowDxfId="94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0.xml><?xml version="1.0" encoding="utf-8"?>
<table xmlns="http://schemas.openxmlformats.org/spreadsheetml/2006/main" id="150" name="Program370" displayName="Program370" ref="A159:N164" totalsRowCount="1" headerRowDxfId="4920" dataDxfId="4918" totalsRowDxfId="4916" headerRowBorderDxfId="4919" tableBorderDxfId="4917" totalsRowBorderDxfId="4915">
  <autoFilter ref="A159:N163"/>
  <tableColumns count="14">
    <tableColumn id="1" name="(A)_x000a_Program Name" totalsRowLabel="Total Program 370" dataDxfId="4914" totalsRowDxfId="4913"/>
    <tableColumn id="2" name="(B)_x000a_Fiscal _x000a_Year" totalsRowLabel="N/A" dataDxfId="4912" totalsRowDxfId="4911"/>
    <tableColumn id="3" name="(C)_x000a_Program_x000a_Costs" totalsRowFunction="sum" dataDxfId="4910" totalsRowDxfId="4909"/>
    <tableColumn id="4" name="(D)_x000a_Prior Period Adjustments" totalsRowFunction="sum" dataDxfId="4908" totalsRowDxfId="4907"/>
    <tableColumn id="5" name="(E)_x000a_Current Period Desk _x000a_Reviews" totalsRowFunction="sum" dataDxfId="4906" totalsRowDxfId="4905"/>
    <tableColumn id="6" name="(F)_x000a_Current Period _x000a_Final _x000a_Audits" totalsRowFunction="sum" dataDxfId="4904" totalsRowDxfId="4903"/>
    <tableColumn id="7" name="(G)_x000a_Current Period _x000a_Other Adjustments" totalsRowFunction="sum" dataDxfId="4902" totalsRowDxfId="4901"/>
    <tableColumn id="8" name="(H)_x000a_Net Program Costs_x000a_Sum (C through G)" totalsRowFunction="sum" dataDxfId="4900" totalsRowDxfId="4899"/>
    <tableColumn id="9" name="(I)_x000a_Payments_x000a_ and Offsets" totalsRowFunction="sum" dataDxfId="4898" totalsRowDxfId="4897"/>
    <tableColumn id="10" name="(J)_x000a_Accounts Payable Balance_x000a_(H + I)" totalsRowFunction="sum" dataDxfId="4896" totalsRowDxfId="4895"/>
    <tableColumn id="11" name="(K)_x000a_Established _x000a_Accounts Receivable" totalsRowFunction="sum" dataDxfId="4894" totalsRowDxfId="4893"/>
    <tableColumn id="12" name="(L)_x000a_Recovered_x000a_ Accounts Receivable" totalsRowFunction="sum" dataDxfId="4892" totalsRowDxfId="4891"/>
    <tableColumn id="13" name="(M)_x000a_Accounts Receivable Balance_x000a_(K + L)" totalsRowFunction="sum" dataDxfId="4890" totalsRowDxfId="4889"/>
    <tableColumn id="14" name="(N)_x000a_Net Balance_x000a_(J minus M)" totalsRowFunction="sum" dataDxfId="4888" totalsRowDxfId="48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1.xml><?xml version="1.0" encoding="utf-8"?>
<table xmlns="http://schemas.openxmlformats.org/spreadsheetml/2006/main" id="151" name="Program369" displayName="Program369" ref="A166:N173" totalsRowCount="1" headerRowDxfId="4886" dataDxfId="4884" totalsRowDxfId="4882" headerRowBorderDxfId="4885" tableBorderDxfId="4883" totalsRowBorderDxfId="4881">
  <autoFilter ref="A166:N172"/>
  <tableColumns count="14">
    <tableColumn id="1" name="(A)_x000a_Program Name" totalsRowLabel="Total Program 369" dataDxfId="4880" totalsRowDxfId="4879"/>
    <tableColumn id="2" name="(B)_x000a_Fiscal _x000a_Year" totalsRowLabel="N/A" dataDxfId="4878" totalsRowDxfId="4877"/>
    <tableColumn id="3" name="(C)_x000a_Program_x000a_Costs" totalsRowFunction="sum" dataDxfId="4876" totalsRowDxfId="4875"/>
    <tableColumn id="4" name="(D)_x000a_Prior Period Adjustments" totalsRowFunction="sum" dataDxfId="4874" totalsRowDxfId="4873"/>
    <tableColumn id="5" name="(E)_x000a_Current Period Desk _x000a_Reviews" totalsRowFunction="sum" dataDxfId="4872" totalsRowDxfId="4871"/>
    <tableColumn id="6" name="(F)_x000a_Current Period _x000a_Final _x000a_Audits" totalsRowFunction="sum" dataDxfId="4870" totalsRowDxfId="4869"/>
    <tableColumn id="7" name="(G)_x000a_Current Period _x000a_Other Adjustments" totalsRowFunction="sum" dataDxfId="4868" totalsRowDxfId="4867"/>
    <tableColumn id="8" name="(H)_x000a_Net Program Costs_x000a_Sum (C through G)" totalsRowFunction="sum" dataDxfId="4866" totalsRowDxfId="4865"/>
    <tableColumn id="9" name="(I)_x000a_Payments_x000a_ and Offsets" totalsRowFunction="sum" dataDxfId="4864" totalsRowDxfId="4863"/>
    <tableColumn id="10" name="(J)_x000a_Accounts Payable Balance_x000a_(H + I)" totalsRowFunction="sum" dataDxfId="4862" totalsRowDxfId="4861"/>
    <tableColumn id="11" name="(K)_x000a_Established _x000a_Accounts Receivable" totalsRowFunction="sum" dataDxfId="4860" totalsRowDxfId="4859"/>
    <tableColumn id="12" name="(L)_x000a_Recovered_x000a_ Accounts Receivable" totalsRowFunction="sum" dataDxfId="4858" totalsRowDxfId="4857"/>
    <tableColumn id="13" name="(M)_x000a_Accounts Receivable Balance_x000a_(K + L)" totalsRowFunction="sum" dataDxfId="4856" totalsRowDxfId="4855"/>
    <tableColumn id="14" name="(N)_x000a_Net Balance_x000a_(J minus M)" totalsRowFunction="sum" dataDxfId="4854" totalsRowDxfId="48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2.xml><?xml version="1.0" encoding="utf-8"?>
<table xmlns="http://schemas.openxmlformats.org/spreadsheetml/2006/main" id="152" name="Program354" displayName="Program354" ref="A175:N189" totalsRowCount="1" headerRowDxfId="4852" dataDxfId="4850" totalsRowDxfId="4848" headerRowBorderDxfId="4851" tableBorderDxfId="4849" totalsRowBorderDxfId="4847">
  <autoFilter ref="A175:N188"/>
  <tableColumns count="14">
    <tableColumn id="1" name="(A)_x000a_Program Name" totalsRowLabel="Total Program 354" dataDxfId="4846" totalsRowDxfId="4845"/>
    <tableColumn id="2" name="(B)_x000a_Fiscal _x000a_Year" totalsRowLabel="N/A" dataDxfId="4844" totalsRowDxfId="4843"/>
    <tableColumn id="3" name="(C)_x000a_Program_x000a_Costs" totalsRowFunction="sum" dataDxfId="4842" totalsRowDxfId="4841"/>
    <tableColumn id="4" name="(D)_x000a_Prior Period Adjustments" totalsRowFunction="sum" dataDxfId="4840" totalsRowDxfId="4839"/>
    <tableColumn id="5" name="(E)_x000a_Current Period Desk _x000a_Reviews" totalsRowFunction="sum" dataDxfId="4838" totalsRowDxfId="4837"/>
    <tableColumn id="6" name="(F)_x000a_Current Period _x000a_Final _x000a_Audits" totalsRowFunction="sum" dataDxfId="4836" totalsRowDxfId="4835"/>
    <tableColumn id="7" name="(G)_x000a_Current Period _x000a_Other Adjustments" totalsRowFunction="sum" dataDxfId="4834" totalsRowDxfId="4833"/>
    <tableColumn id="8" name="(H)_x000a_Net Program Costs_x000a_Sum (C through G)" totalsRowFunction="sum" dataDxfId="4832" totalsRowDxfId="4831"/>
    <tableColumn id="9" name="(I)_x000a_Payments_x000a_ and Offsets" totalsRowFunction="sum" dataDxfId="4830" totalsRowDxfId="4829"/>
    <tableColumn id="10" name="(J)_x000a_Accounts Payable Balance_x000a_(H + I)" totalsRowFunction="sum" dataDxfId="4828" totalsRowDxfId="4827"/>
    <tableColumn id="11" name="(K)_x000a_Established _x000a_Accounts Receivable" totalsRowFunction="sum" dataDxfId="4826" totalsRowDxfId="4825"/>
    <tableColumn id="12" name="(L)_x000a_Recovered_x000a_ Accounts Receivable" totalsRowFunction="sum" dataDxfId="4824" totalsRowDxfId="4823"/>
    <tableColumn id="13" name="(M)_x000a_Accounts Receivable Balance_x000a_(K + L)" totalsRowFunction="sum" dataDxfId="4822" totalsRowDxfId="4821"/>
    <tableColumn id="14" name="(N)_x000a_Net Balance_x000a_(J minus M)" totalsRowFunction="sum" dataDxfId="4820" totalsRowDxfId="48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3.xml><?xml version="1.0" encoding="utf-8"?>
<table xmlns="http://schemas.openxmlformats.org/spreadsheetml/2006/main" id="153" name="Program286" displayName="Program286" ref="A191:N207" totalsRowCount="1" headerRowDxfId="4818" dataDxfId="4816" totalsRowDxfId="4814" headerRowBorderDxfId="4817" tableBorderDxfId="4815" totalsRowBorderDxfId="4813">
  <autoFilter ref="A191:N206"/>
  <tableColumns count="14">
    <tableColumn id="1" name="(A)_x000a_Program Name" totalsRowLabel="Total Program 286" dataDxfId="4812" totalsRowDxfId="4811"/>
    <tableColumn id="2" name="(B)_x000a_Fiscal _x000a_Year" totalsRowLabel="N/A" dataDxfId="4810" totalsRowDxfId="4809"/>
    <tableColumn id="3" name="(C)_x000a_Program_x000a_Costs" totalsRowFunction="sum" dataDxfId="4808" totalsRowDxfId="4807"/>
    <tableColumn id="4" name="(D)_x000a_Prior Period Adjustments" totalsRowFunction="sum" dataDxfId="4806" totalsRowDxfId="4805"/>
    <tableColumn id="5" name="(E)_x000a_Current Period Desk _x000a_Reviews" totalsRowFunction="sum" dataDxfId="4804" totalsRowDxfId="4803"/>
    <tableColumn id="6" name="(F)_x000a_Current Period _x000a_Final _x000a_Audits" totalsRowFunction="sum" dataDxfId="4802" totalsRowDxfId="4801"/>
    <tableColumn id="7" name="(G)_x000a_Current Period _x000a_Other Adjustments" totalsRowFunction="sum" dataDxfId="4800" totalsRowDxfId="4799"/>
    <tableColumn id="8" name="(H)_x000a_Net Program Costs_x000a_Sum (C through G)" totalsRowFunction="sum" dataDxfId="4798" totalsRowDxfId="4797"/>
    <tableColumn id="9" name="(I)_x000a_Payments_x000a_ and Offsets" totalsRowFunction="sum" dataDxfId="4796" totalsRowDxfId="4795"/>
    <tableColumn id="10" name="(J)_x000a_Accounts Payable Balance_x000a_(H + I)" totalsRowFunction="sum" dataDxfId="4794" totalsRowDxfId="4793"/>
    <tableColumn id="11" name="(K)_x000a_Established _x000a_Accounts Receivable" totalsRowFunction="sum" dataDxfId="4792" totalsRowDxfId="4791"/>
    <tableColumn id="12" name="(L)_x000a_Recovered_x000a_ Accounts Receivable" totalsRowFunction="sum" dataDxfId="4790" totalsRowDxfId="4789"/>
    <tableColumn id="13" name="(M)_x000a_Accounts Receivable Balance_x000a_(K + L)" totalsRowFunction="sum" dataDxfId="4788" totalsRowDxfId="4787"/>
    <tableColumn id="14" name="(N)_x000a_Net Balance_x000a_(J minus M)" totalsRowFunction="sum" dataDxfId="4786" totalsRowDxfId="47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4.xml><?xml version="1.0" encoding="utf-8"?>
<table xmlns="http://schemas.openxmlformats.org/spreadsheetml/2006/main" id="154" name="Program172" displayName="Program172" ref="A209:N235" totalsRowCount="1" headerRowDxfId="4784" dataDxfId="4782" totalsRowDxfId="4780" headerRowBorderDxfId="4783" tableBorderDxfId="4781" totalsRowBorderDxfId="4779">
  <autoFilter ref="A209:N234"/>
  <tableColumns count="14">
    <tableColumn id="1" name="(A)_x000a_Program Name" totalsRowLabel="Total Program 172" dataDxfId="4778" totalsRowDxfId="4777"/>
    <tableColumn id="2" name="(B)_x000a_Fiscal _x000a_Year" totalsRowLabel="N/A" dataDxfId="4776" totalsRowDxfId="4775"/>
    <tableColumn id="3" name="(C)_x000a_Program_x000a_Costs" totalsRowFunction="sum" dataDxfId="4774" totalsRowDxfId="4773"/>
    <tableColumn id="4" name="(D)_x000a_Prior Period Adjustments" totalsRowFunction="sum" dataDxfId="4772" totalsRowDxfId="4771"/>
    <tableColumn id="5" name="(E)_x000a_Current Period Desk _x000a_Reviews" totalsRowFunction="sum" dataDxfId="4770" totalsRowDxfId="4769"/>
    <tableColumn id="6" name="(F)_x000a_Current Period _x000a_Final _x000a_Audits" totalsRowFunction="sum" dataDxfId="4768" totalsRowDxfId="4767"/>
    <tableColumn id="7" name="(G)_x000a_Current Period _x000a_Other Adjustments" totalsRowFunction="sum" dataDxfId="4766" totalsRowDxfId="4765"/>
    <tableColumn id="8" name="(H)_x000a_Net Program Costs_x000a_Sum (C through G)" totalsRowFunction="sum" dataDxfId="4764" totalsRowDxfId="4763"/>
    <tableColumn id="9" name="(I)_x000a_Payments_x000a_ and Offsets" totalsRowFunction="sum" dataDxfId="4762" totalsRowDxfId="4761"/>
    <tableColumn id="10" name="(J)_x000a_Accounts Payable Balance_x000a_(H + I)" totalsRowFunction="sum" dataDxfId="4760" totalsRowDxfId="4759"/>
    <tableColumn id="11" name="(K)_x000a_Established _x000a_Accounts Receivable" totalsRowFunction="sum" dataDxfId="4758" totalsRowDxfId="4757"/>
    <tableColumn id="12" name="(L)_x000a_Recovered_x000a_ Accounts Receivable" totalsRowFunction="sum" dataDxfId="4756" totalsRowDxfId="4755"/>
    <tableColumn id="13" name="(M)_x000a_Accounts Receivable Balance_x000a_(K + L)" totalsRowFunction="sum" dataDxfId="4754" totalsRowDxfId="4753"/>
    <tableColumn id="14" name="(N)_x000a_Net Balance_x000a_(J minus M)" totalsRowFunction="sum" dataDxfId="4752" totalsRowDxfId="47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5.xml><?xml version="1.0" encoding="utf-8"?>
<table xmlns="http://schemas.openxmlformats.org/spreadsheetml/2006/main" id="155" name="Program9" displayName="Program9" ref="A237:N248" totalsRowCount="1" headerRowDxfId="4750" dataDxfId="4748" totalsRowDxfId="4746" headerRowBorderDxfId="4749" tableBorderDxfId="4747" totalsRowBorderDxfId="4745">
  <autoFilter ref="A237:N247"/>
  <tableColumns count="14">
    <tableColumn id="1" name="(A)_x000a_Program Name" totalsRowLabel="Total Program 9" dataDxfId="4744" totalsRowDxfId="4743"/>
    <tableColumn id="2" name="(B)_x000a_Fiscal _x000a_Year" totalsRowLabel="N/A" dataDxfId="4742" totalsRowDxfId="4741"/>
    <tableColumn id="3" name="(C)_x000a_Program_x000a_Costs" totalsRowFunction="sum" dataDxfId="4740" totalsRowDxfId="4739"/>
    <tableColumn id="4" name="(D)_x000a_Prior Period Adjustments" totalsRowFunction="sum" dataDxfId="4738" totalsRowDxfId="4737"/>
    <tableColumn id="5" name="(E)_x000a_Current Period Desk _x000a_Reviews" totalsRowFunction="sum" dataDxfId="4736" totalsRowDxfId="4735"/>
    <tableColumn id="6" name="(F)_x000a_Current Period _x000a_Final _x000a_Audits" totalsRowFunction="sum" dataDxfId="4734" totalsRowDxfId="4733"/>
    <tableColumn id="7" name="(G)_x000a_Current Period _x000a_Other Adjustments" totalsRowFunction="sum" dataDxfId="4732" totalsRowDxfId="4731"/>
    <tableColumn id="8" name="(H)_x000a_Net Program Costs_x000a_Sum (C through G)" totalsRowFunction="sum" dataDxfId="4730" totalsRowDxfId="4729"/>
    <tableColumn id="9" name="(I)_x000a_Payments_x000a_ and Offsets" totalsRowFunction="sum" dataDxfId="4728" totalsRowDxfId="4727"/>
    <tableColumn id="10" name="(J)_x000a_Accounts Payable Balance_x000a_(H + I)" totalsRowFunction="sum" dataDxfId="4726" totalsRowDxfId="4725"/>
    <tableColumn id="11" name="(K)_x000a_Established _x000a_Accounts Receivable" totalsRowFunction="sum" dataDxfId="4724" totalsRowDxfId="4723"/>
    <tableColumn id="12" name="(L)_x000a_Recovered_x000a_ Accounts Receivable" totalsRowFunction="sum" dataDxfId="4722" totalsRowDxfId="4721"/>
    <tableColumn id="13" name="(M)_x000a_Accounts Receivable Balance_x000a_(K + L)" totalsRowFunction="sum" dataDxfId="4720" totalsRowDxfId="4719"/>
    <tableColumn id="14" name="(N)_x000a_Net Balance_x000a_(J minus M)" totalsRowFunction="sum" dataDxfId="4718" totalsRowDxfId="47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6.xml><?xml version="1.0" encoding="utf-8"?>
<table xmlns="http://schemas.openxmlformats.org/spreadsheetml/2006/main" id="156" name="Program140" displayName="Program140" ref="A250:N262" totalsRowCount="1" headerRowDxfId="4716" dataDxfId="4714" totalsRowDxfId="4712" headerRowBorderDxfId="4715" tableBorderDxfId="4713" totalsRowBorderDxfId="4711">
  <autoFilter ref="A250:N261"/>
  <tableColumns count="14">
    <tableColumn id="1" name="(A)_x000a_Program Name" totalsRowLabel="Total Program 140" dataDxfId="4710" totalsRowDxfId="4709"/>
    <tableColumn id="2" name="(B)_x000a_Fiscal _x000a_Year" totalsRowLabel="N/A" dataDxfId="4708" totalsRowDxfId="4707"/>
    <tableColumn id="3" name="(C)_x000a_Program_x000a_Costs" totalsRowFunction="sum" dataDxfId="4706" totalsRowDxfId="4705"/>
    <tableColumn id="4" name="(D)_x000a_Prior Period Adjustments" totalsRowFunction="sum" dataDxfId="4704" totalsRowDxfId="4703"/>
    <tableColumn id="5" name="(E)_x000a_Current Period Desk _x000a_Reviews" totalsRowFunction="sum" dataDxfId="4702" totalsRowDxfId="4701"/>
    <tableColumn id="6" name="(F)_x000a_Current Period _x000a_Final _x000a_Audits" totalsRowFunction="sum" dataDxfId="4700" totalsRowDxfId="4699"/>
    <tableColumn id="7" name="(G)_x000a_Current Period _x000a_Other Adjustments" totalsRowFunction="sum" dataDxfId="4698" totalsRowDxfId="4697"/>
    <tableColumn id="8" name="(H)_x000a_Net Program Costs_x000a_Sum (C through G)" totalsRowFunction="sum" dataDxfId="4696" totalsRowDxfId="4695"/>
    <tableColumn id="9" name="(I)_x000a_Payments_x000a_ and Offsets" totalsRowFunction="sum" dataDxfId="4694" totalsRowDxfId="4693"/>
    <tableColumn id="10" name="(J)_x000a_Accounts Payable Balance_x000a_(H + I)" totalsRowFunction="sum" dataDxfId="4692" totalsRowDxfId="4691"/>
    <tableColumn id="11" name="(K)_x000a_Established _x000a_Accounts Receivable" totalsRowFunction="sum" dataDxfId="4690" totalsRowDxfId="4689"/>
    <tableColumn id="12" name="(L)_x000a_Recovered_x000a_ Accounts Receivable" totalsRowFunction="sum" dataDxfId="4688" totalsRowDxfId="4687"/>
    <tableColumn id="13" name="(M)_x000a_Accounts Receivable Balance_x000a_(K + L)" totalsRowFunction="sum" dataDxfId="4686" totalsRowDxfId="4685"/>
    <tableColumn id="14" name="(N)_x000a_Net Balance_x000a_(J minus M)" totalsRowFunction="sum" dataDxfId="4684" totalsRowDxfId="46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7.xml><?xml version="1.0" encoding="utf-8"?>
<table xmlns="http://schemas.openxmlformats.org/spreadsheetml/2006/main" id="157" name="Program278" displayName="Program278" ref="A264:N275" totalsRowCount="1" headerRowDxfId="4682" dataDxfId="4680" totalsRowDxfId="4678" headerRowBorderDxfId="4681" tableBorderDxfId="4679" totalsRowBorderDxfId="4677">
  <autoFilter ref="A264:N274"/>
  <tableColumns count="14">
    <tableColumn id="1" name="(A)_x000a_Program Name" totalsRowLabel="Total Program 278" dataDxfId="4676" totalsRowDxfId="4675"/>
    <tableColumn id="2" name="(B)_x000a_Fiscal _x000a_Year" totalsRowLabel="N/A" dataDxfId="4674" totalsRowDxfId="4673"/>
    <tableColumn id="3" name="(C)_x000a_Program_x000a_Costs" totalsRowFunction="sum" dataDxfId="4672" totalsRowDxfId="4671"/>
    <tableColumn id="4" name="(D)_x000a_Prior Period Adjustments" totalsRowFunction="sum" dataDxfId="4670" totalsRowDxfId="4669"/>
    <tableColumn id="5" name="(E)_x000a_Current Period Desk _x000a_Reviews" totalsRowFunction="sum" dataDxfId="4668" totalsRowDxfId="4667"/>
    <tableColumn id="6" name="(F)_x000a_Current Period _x000a_Final _x000a_Audits" totalsRowFunction="sum" dataDxfId="4666" totalsRowDxfId="4665"/>
    <tableColumn id="7" name="(G)_x000a_Current Period _x000a_Other Adjustments" totalsRowFunction="sum" dataDxfId="4664" totalsRowDxfId="4663"/>
    <tableColumn id="8" name="(H)_x000a_Net Program Costs_x000a_Sum (C through G)" totalsRowFunction="sum" dataDxfId="4662" totalsRowDxfId="4661"/>
    <tableColumn id="9" name="(I)_x000a_Payments_x000a_ and Offsets" totalsRowFunction="sum" dataDxfId="4660" totalsRowDxfId="4659"/>
    <tableColumn id="10" name="(J)_x000a_Accounts Payable Balance_x000a_(H + I)" totalsRowFunction="sum" dataDxfId="4658" totalsRowDxfId="4657"/>
    <tableColumn id="11" name="(K)_x000a_Established _x000a_Accounts Receivable" totalsRowFunction="sum" dataDxfId="4656" totalsRowDxfId="4655"/>
    <tableColumn id="12" name="(L)_x000a_Recovered_x000a_ Accounts Receivable" totalsRowFunction="sum" dataDxfId="4654" totalsRowDxfId="4653"/>
    <tableColumn id="13" name="(M)_x000a_Accounts Receivable Balance_x000a_(K + L)" totalsRowFunction="sum" dataDxfId="4652" totalsRowDxfId="4651"/>
    <tableColumn id="14" name="(N)_x000a_Net Balance_x000a_(J minus M)" totalsRowFunction="sum" dataDxfId="4650" totalsRowDxfId="46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8.xml><?xml version="1.0" encoding="utf-8"?>
<table xmlns="http://schemas.openxmlformats.org/spreadsheetml/2006/main" id="158" name="Program249" displayName="Program249" ref="A277:N286" totalsRowCount="1" headerRowDxfId="4648" dataDxfId="4646" totalsRowDxfId="4644" headerRowBorderDxfId="4647" tableBorderDxfId="4645" totalsRowBorderDxfId="4643">
  <autoFilter ref="A277:N285"/>
  <tableColumns count="14">
    <tableColumn id="1" name="(A)_x000a_Program Name" totalsRowLabel="Total Program 249" dataDxfId="4642" totalsRowDxfId="4641"/>
    <tableColumn id="2" name="(B)_x000a_Fiscal _x000a_Year" totalsRowLabel="N/A" dataDxfId="4640" totalsRowDxfId="4639"/>
    <tableColumn id="3" name="(C)_x000a_Program_x000a_Costs" totalsRowFunction="sum" dataDxfId="4638" totalsRowDxfId="4637"/>
    <tableColumn id="4" name="(D)_x000a_Prior Period Adjustments" totalsRowFunction="sum" dataDxfId="4636" totalsRowDxfId="4635"/>
    <tableColumn id="5" name="(E)_x000a_Current Period Desk _x000a_Reviews" totalsRowFunction="sum" dataDxfId="4634" totalsRowDxfId="4633"/>
    <tableColumn id="6" name="(F)_x000a_Current Period _x000a_Final _x000a_Audits" totalsRowFunction="sum" dataDxfId="4632" totalsRowDxfId="4631"/>
    <tableColumn id="7" name="(G)_x000a_Current Period _x000a_Other Adjustments" totalsRowFunction="sum" dataDxfId="4630" totalsRowDxfId="4629"/>
    <tableColumn id="8" name="(H)_x000a_Net Program Costs_x000a_Sum (C through G)" totalsRowFunction="sum" dataDxfId="4628" totalsRowDxfId="4627"/>
    <tableColumn id="9" name="(I)_x000a_Payments_x000a_ and Offsets" totalsRowFunction="sum" dataDxfId="4626" totalsRowDxfId="4625"/>
    <tableColumn id="10" name="(J)_x000a_Accounts Payable Balance_x000a_(H + I)" totalsRowFunction="sum" dataDxfId="4624" totalsRowDxfId="4623"/>
    <tableColumn id="11" name="(K)_x000a_Established _x000a_Accounts Receivable" totalsRowFunction="sum" dataDxfId="4622" totalsRowDxfId="4621"/>
    <tableColumn id="12" name="(L)_x000a_Recovered_x000a_ Accounts Receivable" totalsRowFunction="sum" dataDxfId="4620" totalsRowDxfId="4619"/>
    <tableColumn id="13" name="(M)_x000a_Accounts Receivable Balance_x000a_(K + L)" totalsRowFunction="sum" dataDxfId="4618" totalsRowDxfId="4617"/>
    <tableColumn id="14" name="(N)_x000a_Net Balance_x000a_(J minus M)" totalsRowFunction="sum" dataDxfId="4616" totalsRowDxfId="46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59.xml><?xml version="1.0" encoding="utf-8"?>
<table xmlns="http://schemas.openxmlformats.org/spreadsheetml/2006/main" id="159" name="Program277" displayName="Program277" ref="A288:N297" totalsRowCount="1" headerRowDxfId="4614" dataDxfId="4612" totalsRowDxfId="4610" headerRowBorderDxfId="4613" tableBorderDxfId="4611" totalsRowBorderDxfId="4609">
  <autoFilter ref="A288:N296"/>
  <tableColumns count="14">
    <tableColumn id="1" name="(A)_x000a_Program Name" totalsRowLabel="Total Program 277" dataDxfId="4608" totalsRowDxfId="4607"/>
    <tableColumn id="2" name="(B)_x000a_Fiscal _x000a_Year" totalsRowLabel="N/A" dataDxfId="4606" totalsRowDxfId="4605"/>
    <tableColumn id="3" name="(C)_x000a_Program_x000a_Costs" totalsRowFunction="sum" dataDxfId="4604" totalsRowDxfId="4603"/>
    <tableColumn id="4" name="(D)_x000a_Prior Period Adjustments" totalsRowFunction="sum" dataDxfId="4602" totalsRowDxfId="4601"/>
    <tableColumn id="5" name="(E)_x000a_Current Period Desk _x000a_Reviews" totalsRowFunction="sum" dataDxfId="4600" totalsRowDxfId="4599"/>
    <tableColumn id="6" name="(F)_x000a_Current Period _x000a_Final _x000a_Audits" totalsRowFunction="sum" dataDxfId="4598" totalsRowDxfId="4597"/>
    <tableColumn id="7" name="(G)_x000a_Current Period _x000a_Other Adjustments" totalsRowFunction="sum" dataDxfId="4596" totalsRowDxfId="4595"/>
    <tableColumn id="8" name="(H)_x000a_Net Program Costs_x000a_Sum (C through G)" totalsRowFunction="sum" dataDxfId="4594" totalsRowDxfId="4593"/>
    <tableColumn id="9" name="(I)_x000a_Payments_x000a_ and Offsets" totalsRowFunction="sum" dataDxfId="4592" totalsRowDxfId="4591"/>
    <tableColumn id="10" name="(J)_x000a_Accounts Payable Balance_x000a_(H + I)" totalsRowFunction="sum" dataDxfId="4590" totalsRowDxfId="4589"/>
    <tableColumn id="11" name="(K)_x000a_Established _x000a_Accounts Receivable" totalsRowFunction="sum" dataDxfId="4588" totalsRowDxfId="4587"/>
    <tableColumn id="12" name="(L)_x000a_Recovered_x000a_ Accounts Receivable" totalsRowFunction="sum" dataDxfId="4586" totalsRowDxfId="4585"/>
    <tableColumn id="13" name="(M)_x000a_Accounts Receivable Balance_x000a_(K + L)" totalsRowFunction="sum" dataDxfId="4584" totalsRowDxfId="4583"/>
    <tableColumn id="14" name="(N)_x000a_Net Balance_x000a_(J minus M)" totalsRowFunction="sum" dataDxfId="4582" totalsRowDxfId="45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.xml><?xml version="1.0" encoding="utf-8"?>
<table xmlns="http://schemas.openxmlformats.org/spreadsheetml/2006/main" id="16" name="Program284" displayName="Program284" ref="A152:N156" totalsRowCount="1" headerRowDxfId="9472" dataDxfId="9470" totalsRowDxfId="9468" headerRowBorderDxfId="9471" tableBorderDxfId="9469" totalsRowBorderDxfId="9467">
  <autoFilter ref="A152:N155"/>
  <tableColumns count="14">
    <tableColumn id="1" name="(A)_x000a_Program Name" totalsRowLabel="Total Program 284" dataDxfId="9466" totalsRowDxfId="9465"/>
    <tableColumn id="2" name="(B)_x000a_Fiscal _x000a_Year" totalsRowLabel="N/A" dataDxfId="9464" totalsRowDxfId="9463"/>
    <tableColumn id="3" name="(C)_x000a_Program_x000a_Costs" totalsRowFunction="sum" dataDxfId="9462" totalsRowDxfId="9461"/>
    <tableColumn id="4" name="(D)_x000a_Prior Period Adjustments" totalsRowFunction="sum" dataDxfId="9460" totalsRowDxfId="9459"/>
    <tableColumn id="5" name="(E)_x000a_Current Period Desk _x000a_Reviews" totalsRowFunction="sum" dataDxfId="9458" totalsRowDxfId="9457"/>
    <tableColumn id="6" name="(F)_x000a_Current Period _x000a_Final _x000a_Audits" totalsRowFunction="sum" dataDxfId="9456" totalsRowDxfId="9455"/>
    <tableColumn id="7" name="(G)_x000a_Current Period _x000a_Other Adjustments" totalsRowFunction="sum" dataDxfId="9454" totalsRowDxfId="9453"/>
    <tableColumn id="8" name="(H)_x000a_Net Program Costs_x000a_Sum (C through G)" totalsRowFunction="sum" dataDxfId="9452" totalsRowDxfId="9451"/>
    <tableColumn id="9" name="(I)_x000a_Payments_x000a_ and Offsets" totalsRowFunction="sum" dataDxfId="9450" totalsRowDxfId="9449"/>
    <tableColumn id="10" name="(J)_x000a_Accounts Payable Balance_x000a_(H + I)" totalsRowFunction="sum" dataDxfId="9448" totalsRowDxfId="9447"/>
    <tableColumn id="11" name="(K)_x000a_Established _x000a_Accounts Receivable" totalsRowFunction="sum" dataDxfId="9446" totalsRowDxfId="9445"/>
    <tableColumn id="12" name="(L)_x000a_Recovered_x000a_ Accounts Receivable" totalsRowFunction="sum" dataDxfId="9444" totalsRowDxfId="9443"/>
    <tableColumn id="13" name="(M)_x000a_Accounts Receivable Balance_x000a_(K + L)" totalsRowFunction="sum" dataDxfId="9442" totalsRowDxfId="9441"/>
    <tableColumn id="14" name="(N)_x000a_Net Balance_x000a_(J minus M)" totalsRowFunction="sum" dataDxfId="9440" totalsRowDxfId="94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0.xml><?xml version="1.0" encoding="utf-8"?>
<table xmlns="http://schemas.openxmlformats.org/spreadsheetml/2006/main" id="160" name="Program337" displayName="Program337" ref="A299:N307" totalsRowCount="1" headerRowDxfId="4580" dataDxfId="4578" totalsRowDxfId="4576" headerRowBorderDxfId="4579" tableBorderDxfId="4577" totalsRowBorderDxfId="4575">
  <autoFilter ref="A299:N306"/>
  <tableColumns count="14">
    <tableColumn id="1" name="(A)_x000a_Program Name" totalsRowLabel="Total Program 337" dataDxfId="4574" totalsRowDxfId="4573"/>
    <tableColumn id="2" name="(B)_x000a_Fiscal _x000a_Year" totalsRowLabel="N/A" dataDxfId="4572" totalsRowDxfId="4571"/>
    <tableColumn id="3" name="(C)_x000a_Program_x000a_Costs" totalsRowFunction="sum" dataDxfId="4570" totalsRowDxfId="4569"/>
    <tableColumn id="4" name="(D)_x000a_Prior Period Adjustments" totalsRowFunction="sum" dataDxfId="4568" totalsRowDxfId="4567"/>
    <tableColumn id="5" name="(E)_x000a_Current Period Desk _x000a_Reviews" totalsRowFunction="sum" dataDxfId="4566" totalsRowDxfId="4565"/>
    <tableColumn id="6" name="(F)_x000a_Current Period _x000a_Final _x000a_Audits" totalsRowFunction="sum" dataDxfId="4564" totalsRowDxfId="4563"/>
    <tableColumn id="7" name="(G)_x000a_Current Period _x000a_Other Adjustments" totalsRowFunction="sum" dataDxfId="4562" totalsRowDxfId="4561"/>
    <tableColumn id="8" name="(H)_x000a_Net Program Costs_x000a_Sum (C through G)" totalsRowFunction="sum" dataDxfId="4560" totalsRowDxfId="4559"/>
    <tableColumn id="9" name="(I)_x000a_Payments_x000a_ and Offsets" totalsRowFunction="sum" dataDxfId="4558" totalsRowDxfId="4557"/>
    <tableColumn id="10" name="(J)_x000a_Accounts Payable Balance_x000a_(H + I)" totalsRowFunction="sum" dataDxfId="4556" totalsRowDxfId="4555"/>
    <tableColumn id="11" name="(K)_x000a_Established _x000a_Accounts Receivable" totalsRowFunction="sum" dataDxfId="4554" totalsRowDxfId="4553"/>
    <tableColumn id="12" name="(L)_x000a_Recovered_x000a_ Accounts Receivable" totalsRowFunction="sum" dataDxfId="4552" totalsRowDxfId="4551"/>
    <tableColumn id="13" name="(M)_x000a_Accounts Receivable Balance_x000a_(K + L)" totalsRowFunction="sum" dataDxfId="4550" totalsRowDxfId="4549"/>
    <tableColumn id="14" name="(N)_x000a_Net Balance_x000a_(J minus M)" totalsRowFunction="sum" dataDxfId="4548" totalsRowDxfId="45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1.xml><?xml version="1.0" encoding="utf-8"?>
<table xmlns="http://schemas.openxmlformats.org/spreadsheetml/2006/main" id="161" name="Program309" displayName="Program309" ref="A309:N316" totalsRowCount="1" headerRowDxfId="4546" dataDxfId="4544" totalsRowDxfId="4542" headerRowBorderDxfId="4545" tableBorderDxfId="4543" totalsRowBorderDxfId="4541">
  <autoFilter ref="A309:N315"/>
  <tableColumns count="14">
    <tableColumn id="1" name="(A)_x000a_Program Name" totalsRowLabel="Total Program 309" dataDxfId="4540" totalsRowDxfId="4539"/>
    <tableColumn id="2" name="(B)_x000a_Fiscal _x000a_Year" totalsRowLabel="N/A" dataDxfId="4538" totalsRowDxfId="4537"/>
    <tableColumn id="3" name="(C)_x000a_Program_x000a_Costs" totalsRowFunction="sum" dataDxfId="4536" totalsRowDxfId="4535"/>
    <tableColumn id="4" name="(D)_x000a_Prior Period Adjustments" totalsRowFunction="sum" dataDxfId="4534" totalsRowDxfId="4533"/>
    <tableColumn id="5" name="(E)_x000a_Current Period Desk _x000a_Reviews" totalsRowFunction="sum" dataDxfId="4532" totalsRowDxfId="4531"/>
    <tableColumn id="6" name="(F)_x000a_Current Period _x000a_Final _x000a_Audits" totalsRowFunction="sum" dataDxfId="4530" totalsRowDxfId="4529"/>
    <tableColumn id="7" name="(G)_x000a_Current Period _x000a_Other Adjustments" totalsRowFunction="sum" dataDxfId="4528" totalsRowDxfId="4527"/>
    <tableColumn id="8" name="(H)_x000a_Net Program Costs_x000a_Sum (C through G)" totalsRowFunction="sum" dataDxfId="4526" totalsRowDxfId="4525"/>
    <tableColumn id="9" name="(I)_x000a_Payments_x000a_ and Offsets" totalsRowFunction="sum" dataDxfId="4524" totalsRowDxfId="4523"/>
    <tableColumn id="10" name="(J)_x000a_Accounts Payable Balance_x000a_(H + I)" totalsRowFunction="sum" dataDxfId="4522" totalsRowDxfId="4521"/>
    <tableColumn id="11" name="(K)_x000a_Established _x000a_Accounts Receivable" totalsRowFunction="sum" dataDxfId="4520" totalsRowDxfId="4519"/>
    <tableColumn id="12" name="(L)_x000a_Recovered_x000a_ Accounts Receivable" totalsRowFunction="sum" dataDxfId="4518" totalsRowDxfId="4517"/>
    <tableColumn id="13" name="(M)_x000a_Accounts Receivable Balance_x000a_(K + L)" totalsRowFunction="sum" dataDxfId="4516" totalsRowDxfId="4515"/>
    <tableColumn id="14" name="(N)_x000a_Net Balance_x000a_(J minus M)" totalsRowFunction="sum" dataDxfId="4514" totalsRowDxfId="45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2.xml><?xml version="1.0" encoding="utf-8"?>
<table xmlns="http://schemas.openxmlformats.org/spreadsheetml/2006/main" id="162" name="Program114" displayName="Program114" ref="A318:N327" totalsRowCount="1" headerRowDxfId="4512" dataDxfId="4510" totalsRowDxfId="4508" headerRowBorderDxfId="4511" tableBorderDxfId="4509" totalsRowBorderDxfId="4507">
  <autoFilter ref="A318:N326"/>
  <tableColumns count="14">
    <tableColumn id="1" name="(A)_x000a_Program Name" totalsRowLabel="Total Program 114" dataDxfId="4506" totalsRowDxfId="4505"/>
    <tableColumn id="2" name="(B)_x000a_Fiscal _x000a_Year" totalsRowLabel="N/A" dataDxfId="4504" totalsRowDxfId="4503"/>
    <tableColumn id="3" name="(C)_x000a_Program_x000a_Costs" totalsRowFunction="sum" dataDxfId="4502" totalsRowDxfId="4501"/>
    <tableColumn id="4" name="(D)_x000a_Prior Period Adjustments" totalsRowFunction="sum" dataDxfId="4500" totalsRowDxfId="4499"/>
    <tableColumn id="5" name="(E)_x000a_Current Period Desk _x000a_Reviews" totalsRowFunction="sum" dataDxfId="4498" totalsRowDxfId="4497"/>
    <tableColumn id="6" name="(F)_x000a_Current Period _x000a_Final _x000a_Audits" totalsRowFunction="sum" dataDxfId="4496" totalsRowDxfId="4495"/>
    <tableColumn id="7" name="(G)_x000a_Current Period _x000a_Other Adjustments" totalsRowFunction="sum" dataDxfId="4494" totalsRowDxfId="4493"/>
    <tableColumn id="8" name="(H)_x000a_Net Program Costs_x000a_Sum (C through G)" totalsRowFunction="sum" dataDxfId="4492" totalsRowDxfId="4491"/>
    <tableColumn id="9" name="(I)_x000a_Payments_x000a_ and Offsets" totalsRowFunction="sum" dataDxfId="4490" totalsRowDxfId="4489"/>
    <tableColumn id="10" name="(J)_x000a_Accounts Payable Balance_x000a_(H + I)" totalsRowFunction="sum" dataDxfId="4488" totalsRowDxfId="4487"/>
    <tableColumn id="11" name="(K)_x000a_Established _x000a_Accounts Receivable" totalsRowFunction="sum" dataDxfId="4486" totalsRowDxfId="4485"/>
    <tableColumn id="12" name="(L)_x000a_Recovered_x000a_ Accounts Receivable" totalsRowFunction="sum" dataDxfId="4484" totalsRowDxfId="4483"/>
    <tableColumn id="13" name="(M)_x000a_Accounts Receivable Balance_x000a_(K + L)" totalsRowFunction="sum" dataDxfId="4482" totalsRowDxfId="4481"/>
    <tableColumn id="14" name="(N)_x000a_Net Balance_x000a_(J minus M)" totalsRowFunction="sum" dataDxfId="4480" totalsRowDxfId="44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3.xml><?xml version="1.0" encoding="utf-8"?>
<table xmlns="http://schemas.openxmlformats.org/spreadsheetml/2006/main" id="163" name="Program11" displayName="Program11" ref="A329:N365" totalsRowCount="1" headerRowDxfId="4478" dataDxfId="4476" totalsRowDxfId="4474" headerRowBorderDxfId="4477" tableBorderDxfId="4475" totalsRowBorderDxfId="4473">
  <autoFilter ref="A329:N364"/>
  <tableColumns count="14">
    <tableColumn id="1" name="(A)_x000a_Program Name" totalsRowLabel="Total Program 11" dataDxfId="4472" totalsRowDxfId="4471"/>
    <tableColumn id="2" name="(B)_x000a_Fiscal _x000a_Year" totalsRowLabel="N/A" dataDxfId="4470" totalsRowDxfId="4469"/>
    <tableColumn id="3" name="(C)_x000a_Program_x000a_Costs" totalsRowFunction="sum" dataDxfId="4468" totalsRowDxfId="4467"/>
    <tableColumn id="4" name="(D)_x000a_Prior Period Adjustments" totalsRowFunction="sum" dataDxfId="4466" totalsRowDxfId="4465"/>
    <tableColumn id="5" name="(E)_x000a_Current Period Desk _x000a_Reviews" totalsRowFunction="sum" dataDxfId="4464" totalsRowDxfId="4463"/>
    <tableColumn id="6" name="(F)_x000a_Current Period _x000a_Final _x000a_Audits" totalsRowFunction="sum" dataDxfId="4462" totalsRowDxfId="4461"/>
    <tableColumn id="7" name="(G)_x000a_Current Period _x000a_Other Adjustments" totalsRowFunction="sum" dataDxfId="4460" totalsRowDxfId="4459"/>
    <tableColumn id="8" name="(H)_x000a_Net Program Costs_x000a_Sum (C through G)" totalsRowFunction="sum" dataDxfId="4458" totalsRowDxfId="4457"/>
    <tableColumn id="9" name="(I)_x000a_Payments_x000a_ and Offsets" totalsRowFunction="sum" dataDxfId="4456" totalsRowDxfId="4455"/>
    <tableColumn id="10" name="(J)_x000a_Accounts Payable Balance_x000a_(H + I)" totalsRowFunction="sum" dataDxfId="4454" totalsRowDxfId="4453"/>
    <tableColumn id="11" name="(K)_x000a_Established _x000a_Accounts Receivable" totalsRowFunction="sum" dataDxfId="4452" totalsRowDxfId="4451"/>
    <tableColumn id="12" name="(L)_x000a_Recovered_x000a_ Accounts Receivable" totalsRowFunction="sum" dataDxfId="4450" totalsRowDxfId="4449"/>
    <tableColumn id="13" name="(M)_x000a_Accounts Receivable Balance_x000a_(K + L)" totalsRowFunction="sum" dataDxfId="4448" totalsRowDxfId="4447"/>
    <tableColumn id="14" name="(N)_x000a_Net Balance_x000a_(J minus M)" totalsRowFunction="sum" dataDxfId="4446" totalsRowDxfId="44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4.xml><?xml version="1.0" encoding="utf-8"?>
<table xmlns="http://schemas.openxmlformats.org/spreadsheetml/2006/main" id="164" name="Program223" displayName="Program223" ref="A367:N379" totalsRowCount="1" headerRowDxfId="4444" dataDxfId="4442" totalsRowDxfId="4440" headerRowBorderDxfId="4443" tableBorderDxfId="4441" totalsRowBorderDxfId="4439">
  <autoFilter ref="A367:N378"/>
  <tableColumns count="14">
    <tableColumn id="1" name="(A)_x000a_Program Name" totalsRowLabel="Total Program 223" dataDxfId="4438" totalsRowDxfId="4437"/>
    <tableColumn id="2" name="(B)_x000a_Fiscal _x000a_Year" totalsRowLabel="N/A" dataDxfId="4436" totalsRowDxfId="4435"/>
    <tableColumn id="3" name="(C)_x000a_Program_x000a_Costs" totalsRowFunction="sum" dataDxfId="4434" totalsRowDxfId="4433"/>
    <tableColumn id="4" name="(D)_x000a_Prior Period Adjustments" totalsRowFunction="sum" dataDxfId="4432" totalsRowDxfId="4431"/>
    <tableColumn id="5" name="(E)_x000a_Current Period Desk _x000a_Reviews" totalsRowFunction="min" dataDxfId="4430" totalsRowDxfId="4429"/>
    <tableColumn id="6" name="(F)_x000a_Current Period _x000a_Final _x000a_Audits" totalsRowFunction="sum" dataDxfId="4428" totalsRowDxfId="4427"/>
    <tableColumn id="7" name="(G)_x000a_Current Period _x000a_Other Adjustments" totalsRowFunction="sum" dataDxfId="4426" totalsRowDxfId="4425"/>
    <tableColumn id="8" name="(H)_x000a_Net Program Costs_x000a_Sum (C through G)" totalsRowFunction="sum" dataDxfId="4424" totalsRowDxfId="4423"/>
    <tableColumn id="9" name="(I)_x000a_Payments_x000a_ and Offsets" totalsRowFunction="sum" dataDxfId="4422" totalsRowDxfId="4421"/>
    <tableColumn id="10" name="(J)_x000a_Accounts Payable Balance_x000a_(H + I)" totalsRowFunction="sum" dataDxfId="4420" totalsRowDxfId="4419"/>
    <tableColumn id="11" name="(K)_x000a_Established _x000a_Accounts Receivable" totalsRowFunction="sum" dataDxfId="4418" totalsRowDxfId="4417"/>
    <tableColumn id="12" name="(L)_x000a_Recovered_x000a_ Accounts Receivable" totalsRowFunction="sum" dataDxfId="4416" totalsRowDxfId="4415"/>
    <tableColumn id="13" name="(M)_x000a_Accounts Receivable Balance_x000a_(K + L)" totalsRowFunction="sum" dataDxfId="4414" totalsRowDxfId="4413"/>
    <tableColumn id="14" name="(N)_x000a_Net Balance_x000a_(J minus M)" totalsRowFunction="sum" dataDxfId="4412" totalsRowDxfId="44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5.xml><?xml version="1.0" encoding="utf-8"?>
<table xmlns="http://schemas.openxmlformats.org/spreadsheetml/2006/main" id="165" name="Program313" displayName="Program313" ref="A381:N392" totalsRowCount="1" headerRowDxfId="4410" dataDxfId="4408" totalsRowDxfId="4406" headerRowBorderDxfId="4409" tableBorderDxfId="4407" totalsRowBorderDxfId="4405">
  <autoFilter ref="A381:N391"/>
  <tableColumns count="14">
    <tableColumn id="1" name="(A)_x000a_Program Name" totalsRowLabel="Total Program 313" dataDxfId="4404" totalsRowDxfId="4403"/>
    <tableColumn id="2" name="(B)_x000a_Fiscal _x000a_Year" totalsRowLabel="N/A" dataDxfId="4402" totalsRowDxfId="4401"/>
    <tableColumn id="3" name="(C)_x000a_Program_x000a_Costs" totalsRowFunction="sum" dataDxfId="4400" totalsRowDxfId="4399"/>
    <tableColumn id="4" name="(D)_x000a_Prior Period Adjustments" totalsRowFunction="sum" dataDxfId="4398" totalsRowDxfId="4397"/>
    <tableColumn id="5" name="(E)_x000a_Current Period Desk _x000a_Reviews" totalsRowFunction="sum" dataDxfId="4396" totalsRowDxfId="4395"/>
    <tableColumn id="6" name="(F)_x000a_Current Period _x000a_Final _x000a_Audits" totalsRowFunction="sum" dataDxfId="4394" totalsRowDxfId="4393"/>
    <tableColumn id="7" name="(G)_x000a_Current Period _x000a_Other Adjustments" totalsRowFunction="sum" dataDxfId="4392" totalsRowDxfId="4391"/>
    <tableColumn id="8" name="(H)_x000a_Net Program Costs_x000a_Sum (C through G)" totalsRowFunction="sum" dataDxfId="4390" totalsRowDxfId="4389"/>
    <tableColumn id="9" name="(I)_x000a_Payments_x000a_ and Offsets" totalsRowFunction="sum" dataDxfId="4388" totalsRowDxfId="4387"/>
    <tableColumn id="10" name="(J)_x000a_Accounts Payable Balance_x000a_(H + I)" totalsRowFunction="sum" dataDxfId="4386" totalsRowDxfId="4385"/>
    <tableColumn id="11" name="(K)_x000a_Established _x000a_Accounts Receivable" totalsRowFunction="sum" dataDxfId="4384" totalsRowDxfId="4383"/>
    <tableColumn id="12" name="(L)_x000a_Recovered_x000a_ Accounts Receivable" totalsRowFunction="sum" dataDxfId="4382" totalsRowDxfId="4381"/>
    <tableColumn id="13" name="(M)_x000a_Accounts Receivable Balance_x000a_(K + L)" totalsRowFunction="sum" dataDxfId="4380" totalsRowDxfId="4379"/>
    <tableColumn id="14" name="(N)_x000a_Net Balance_x000a_(J minus M)" totalsRowFunction="sum" dataDxfId="4378" totalsRowDxfId="43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6.xml><?xml version="1.0" encoding="utf-8"?>
<table xmlns="http://schemas.openxmlformats.org/spreadsheetml/2006/main" id="166" name="Program311" displayName="Program311" ref="A394:N400" totalsRowCount="1" headerRowDxfId="4376" dataDxfId="4374" totalsRowDxfId="4372" headerRowBorderDxfId="4375" tableBorderDxfId="4373" totalsRowBorderDxfId="4371">
  <autoFilter ref="A394:N399"/>
  <tableColumns count="14">
    <tableColumn id="1" name="(A)_x000a_Program Name" totalsRowLabel="Total Program 311" dataDxfId="4370" totalsRowDxfId="4369"/>
    <tableColumn id="2" name="(B)_x000a_Fiscal _x000a_Year" totalsRowLabel="N/A" dataDxfId="4368" totalsRowDxfId="4367"/>
    <tableColumn id="3" name="(C)_x000a_Program_x000a_Costs" totalsRowFunction="sum" dataDxfId="4366" totalsRowDxfId="4365"/>
    <tableColumn id="4" name="(D)_x000a_Prior Period Adjustments" totalsRowFunction="sum" dataDxfId="4364" totalsRowDxfId="4363"/>
    <tableColumn id="5" name="(E)_x000a_Current Period Desk _x000a_Reviews" totalsRowFunction="sum" dataDxfId="4362" totalsRowDxfId="4361"/>
    <tableColumn id="6" name="(F)_x000a_Current Period _x000a_Final _x000a_Audits" totalsRowFunction="sum" dataDxfId="4360" totalsRowDxfId="4359"/>
    <tableColumn id="7" name="(G)_x000a_Current Period _x000a_Other Adjustments" totalsRowFunction="sum" dataDxfId="4358" totalsRowDxfId="4357"/>
    <tableColumn id="8" name="(H)_x000a_Net Program Costs_x000a_Sum (C through G)" totalsRowFunction="sum" dataDxfId="4356" totalsRowDxfId="4355"/>
    <tableColumn id="9" name="(I)_x000a_Payments_x000a_ and Offsets" totalsRowFunction="sum" dataDxfId="4354" totalsRowDxfId="4353"/>
    <tableColumn id="10" name="(J)_x000a_Accounts Payable Balance_x000a_(H + I)" totalsRowFunction="sum" dataDxfId="4352" totalsRowDxfId="4351"/>
    <tableColumn id="11" name="(K)_x000a_Established _x000a_Accounts Receivable" totalsRowFunction="sum" dataDxfId="4350" totalsRowDxfId="4349"/>
    <tableColumn id="12" name="(L)_x000a_Recovered_x000a_ Accounts Receivable" totalsRowFunction="sum" dataDxfId="4348" totalsRowDxfId="4347"/>
    <tableColumn id="13" name="(M)_x000a_Accounts Receivable Balance_x000a_(K + L)" totalsRowFunction="sum" dataDxfId="4346" totalsRowDxfId="4345"/>
    <tableColumn id="14" name="(N)_x000a_Net Balance_x000a_(J minus M)" totalsRowFunction="sum" dataDxfId="4344" totalsRowDxfId="43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7.xml><?xml version="1.0" encoding="utf-8"?>
<table xmlns="http://schemas.openxmlformats.org/spreadsheetml/2006/main" id="167" name="Program312" displayName="Program312" ref="A402:N405" totalsRowCount="1" headerRowDxfId="4342" dataDxfId="4340" totalsRowDxfId="4338" headerRowBorderDxfId="4341" tableBorderDxfId="4339" totalsRowBorderDxfId="4337">
  <autoFilter ref="A402:N404"/>
  <tableColumns count="14">
    <tableColumn id="1" name="(A)_x000a_Program Name" totalsRowLabel="Total Program 312" dataDxfId="4336" totalsRowDxfId="4335"/>
    <tableColumn id="2" name="(B)_x000a_Fiscal _x000a_Year" totalsRowLabel="N/A" dataDxfId="4334" totalsRowDxfId="4333"/>
    <tableColumn id="3" name="(C)_x000a_Program_x000a_Costs" totalsRowFunction="sum" dataDxfId="4332" totalsRowDxfId="4331"/>
    <tableColumn id="4" name="(D)_x000a_Prior Period Adjustments" totalsRowFunction="sum" dataDxfId="4330" totalsRowDxfId="4329"/>
    <tableColumn id="5" name="(E)_x000a_Current Period Desk _x000a_Reviews" totalsRowFunction="sum" dataDxfId="4328" totalsRowDxfId="4327"/>
    <tableColumn id="6" name="(F)_x000a_Current Period _x000a_Final _x000a_Audits" totalsRowFunction="sum" dataDxfId="4326" totalsRowDxfId="4325"/>
    <tableColumn id="7" name="(G)_x000a_Current Period _x000a_Other Adjustments" totalsRowFunction="sum" dataDxfId="4324" totalsRowDxfId="4323"/>
    <tableColumn id="8" name="(H)_x000a_Net Program Costs_x000a_Sum (C through G)" totalsRowFunction="sum" dataDxfId="4322" totalsRowDxfId="4321"/>
    <tableColumn id="9" name="(I)_x000a_Payments_x000a_ and Offsets" totalsRowFunction="sum" dataDxfId="4320" totalsRowDxfId="4319"/>
    <tableColumn id="10" name="(J)_x000a_Accounts Payable Balance_x000a_(H + I)" totalsRowFunction="sum" dataDxfId="4318" totalsRowDxfId="4317"/>
    <tableColumn id="11" name="(K)_x000a_Established _x000a_Accounts Receivable" totalsRowFunction="stdDev" dataDxfId="4316" totalsRowDxfId="4315"/>
    <tableColumn id="12" name="(L)_x000a_Recovered_x000a_ Accounts Receivable" totalsRowFunction="sum" dataDxfId="4314" totalsRowDxfId="4313"/>
    <tableColumn id="13" name="(M)_x000a_Accounts Receivable Balance_x000a_(K + L)" totalsRowFunction="sum" dataDxfId="4312" totalsRowDxfId="4311"/>
    <tableColumn id="14" name="(N)_x000a_Net Balance_x000a_(J minus M)" totalsRowFunction="sum" dataDxfId="4310" totalsRowDxfId="43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8.xml><?xml version="1.0" encoding="utf-8"?>
<table xmlns="http://schemas.openxmlformats.org/spreadsheetml/2006/main" id="168" name="Program330" displayName="Program330" ref="A407:N415" totalsRowCount="1" headerRowDxfId="4308" dataDxfId="4306" totalsRowDxfId="4304" headerRowBorderDxfId="4307" tableBorderDxfId="4305" totalsRowBorderDxfId="4303">
  <autoFilter ref="A407:N414"/>
  <tableColumns count="14">
    <tableColumn id="1" name="(A)_x000a_Program Name" totalsRowLabel="Total Program 330" dataDxfId="4302" totalsRowDxfId="4301"/>
    <tableColumn id="2" name="(B)_x000a_Fiscal _x000a_Year" totalsRowLabel="N/A" dataDxfId="4300" totalsRowDxfId="4299"/>
    <tableColumn id="3" name="(C)_x000a_Program_x000a_Costs" totalsRowFunction="sum" dataDxfId="4298" totalsRowDxfId="4297"/>
    <tableColumn id="4" name="(D)_x000a_Prior Period Adjustments" totalsRowFunction="sum" dataDxfId="4296" totalsRowDxfId="4295"/>
    <tableColumn id="5" name="(E)_x000a_Current Period Desk _x000a_Reviews" totalsRowFunction="sum" dataDxfId="4294" totalsRowDxfId="4293"/>
    <tableColumn id="6" name="(F)_x000a_Current Period _x000a_Final _x000a_Audits" totalsRowFunction="sum" dataDxfId="4292" totalsRowDxfId="4291"/>
    <tableColumn id="7" name="(G)_x000a_Current Period _x000a_Other Adjustments" totalsRowFunction="sum" dataDxfId="4290" totalsRowDxfId="4289"/>
    <tableColumn id="8" name="(H)_x000a_Net Program Costs_x000a_Sum (C through G)" totalsRowFunction="sum" dataDxfId="4288" totalsRowDxfId="4287"/>
    <tableColumn id="9" name="(I)_x000a_Payments_x000a_ and Offsets" totalsRowFunction="sum" dataDxfId="4286" totalsRowDxfId="4285"/>
    <tableColumn id="10" name="(J)_x000a_Accounts Payable Balance_x000a_(H + I)" totalsRowFunction="sum" dataDxfId="4284" totalsRowDxfId="4283"/>
    <tableColumn id="11" name="(K)_x000a_Established _x000a_Accounts Receivable" totalsRowFunction="sum" dataDxfId="4282" totalsRowDxfId="4281"/>
    <tableColumn id="12" name="(L)_x000a_Recovered_x000a_ Accounts Receivable" totalsRowFunction="sum" dataDxfId="4280" totalsRowDxfId="4279"/>
    <tableColumn id="13" name="(M)_x000a_Accounts Receivable Balance_x000a_(K + L)" totalsRowFunction="sum" dataDxfId="4278" totalsRowDxfId="4277"/>
    <tableColumn id="14" name="(N)_x000a_Net Balance_x000a_(J minus M)" totalsRowFunction="sum" dataDxfId="4276" totalsRowDxfId="42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69.xml><?xml version="1.0" encoding="utf-8"?>
<table xmlns="http://schemas.openxmlformats.org/spreadsheetml/2006/main" id="169" name="Program272" displayName="Program272" ref="A417:N433" totalsRowCount="1" headerRowDxfId="4274" dataDxfId="4272" totalsRowDxfId="4270" headerRowBorderDxfId="4273" tableBorderDxfId="4271" totalsRowBorderDxfId="4269">
  <autoFilter ref="A417:N432"/>
  <tableColumns count="14">
    <tableColumn id="1" name="(A)_x000a_Program Name" totalsRowLabel="Total Program 272" dataDxfId="4268" totalsRowDxfId="4267"/>
    <tableColumn id="2" name="(B)_x000a_Fiscal _x000a_Year" totalsRowLabel="N/A" dataDxfId="4266" totalsRowDxfId="4265"/>
    <tableColumn id="3" name="(C)_x000a_Program_x000a_Costs" totalsRowFunction="sum" dataDxfId="4264" totalsRowDxfId="4263"/>
    <tableColumn id="4" name="(D)_x000a_Prior Period Adjustments" totalsRowFunction="sum" dataDxfId="4262" totalsRowDxfId="4261"/>
    <tableColumn id="5" name="(E)_x000a_Current Period Desk _x000a_Reviews" totalsRowFunction="sum" dataDxfId="4260" totalsRowDxfId="4259"/>
    <tableColumn id="6" name="(F)_x000a_Current Period _x000a_Final _x000a_Audits" totalsRowFunction="sum" dataDxfId="4258" totalsRowDxfId="4257"/>
    <tableColumn id="7" name="(G)_x000a_Current Period _x000a_Other Adjustments" totalsRowFunction="sum" dataDxfId="4256" totalsRowDxfId="4255"/>
    <tableColumn id="8" name="(H)_x000a_Net Program Costs_x000a_Sum (C through G)" totalsRowFunction="sum" dataDxfId="4254" totalsRowDxfId="4253"/>
    <tableColumn id="9" name="(I)_x000a_Payments_x000a_ and Offsets" totalsRowFunction="sum" dataDxfId="4252" totalsRowDxfId="4251"/>
    <tableColumn id="10" name="(J)_x000a_Accounts Payable Balance_x000a_(H + I)" totalsRowFunction="sum" dataDxfId="4250" totalsRowDxfId="4249"/>
    <tableColumn id="11" name="(K)_x000a_Established _x000a_Accounts Receivable" totalsRowFunction="sum" dataDxfId="4248" totalsRowDxfId="4247"/>
    <tableColumn id="12" name="(L)_x000a_Recovered_x000a_ Accounts Receivable" totalsRowFunction="sum" dataDxfId="4246" totalsRowDxfId="4245"/>
    <tableColumn id="13" name="(M)_x000a_Accounts Receivable Balance_x000a_(K + L)" totalsRowFunction="sum" dataDxfId="4244" totalsRowDxfId="4243"/>
    <tableColumn id="14" name="(N)_x000a_Net Balance_x000a_(J minus M)" totalsRowFunction="sum" dataDxfId="4242" totalsRowDxfId="42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.xml><?xml version="1.0" encoding="utf-8"?>
<table xmlns="http://schemas.openxmlformats.org/spreadsheetml/2006/main" id="17" name="Program6" displayName="Program6" ref="A158:N162" totalsRowCount="1" headerRowDxfId="9438" dataDxfId="9436" totalsRowDxfId="9434" headerRowBorderDxfId="9437" tableBorderDxfId="9435" totalsRowBorderDxfId="9433">
  <autoFilter ref="A158:N161"/>
  <tableColumns count="14">
    <tableColumn id="1" name="(A)_x000a_Program Name" totalsRowLabel="Total Program 6" dataDxfId="9432" totalsRowDxfId="9431"/>
    <tableColumn id="2" name="(B)_x000a_Fiscal _x000a_Year" totalsRowLabel="N/A" dataDxfId="9430" totalsRowDxfId="9429"/>
    <tableColumn id="3" name="(C)_x000a_Program_x000a_Costs" totalsRowFunction="sum" dataDxfId="9428" totalsRowDxfId="9427"/>
    <tableColumn id="4" name="(D)_x000a_Prior Period Adjustments" totalsRowFunction="sum" dataDxfId="9426" totalsRowDxfId="9425"/>
    <tableColumn id="5" name="(E)_x000a_Current Period Desk _x000a_Reviews" totalsRowFunction="sum" dataDxfId="9424" totalsRowDxfId="9423"/>
    <tableColumn id="6" name="(F)_x000a_Current Period _x000a_Final _x000a_Audits" totalsRowFunction="sum" dataDxfId="9422" totalsRowDxfId="9421"/>
    <tableColumn id="7" name="(G)_x000a_Current Period _x000a_Other Adjustments" totalsRowFunction="sum" dataDxfId="9420" totalsRowDxfId="9419"/>
    <tableColumn id="8" name="(H)_x000a_Net Program Costs_x000a_Sum (C through G)" totalsRowFunction="sum" dataDxfId="9418" totalsRowDxfId="9417"/>
    <tableColumn id="9" name="(I)_x000a_Payments_x000a_ and Offsets" totalsRowFunction="sum" dataDxfId="9416" totalsRowDxfId="9415"/>
    <tableColumn id="10" name="(J)_x000a_Accounts Payable Balance_x000a_(H + I)" totalsRowFunction="sum" dataDxfId="9414" totalsRowDxfId="9413"/>
    <tableColumn id="11" name="(K)_x000a_Established _x000a_Accounts Receivable" totalsRowFunction="sum" dataDxfId="9412" totalsRowDxfId="9411"/>
    <tableColumn id="12" name="(L)_x000a_Recovered_x000a_ Accounts Receivable" totalsRowFunction="sum" dataDxfId="9410" totalsRowDxfId="9409"/>
    <tableColumn id="13" name="(M)_x000a_Accounts Receivable Balance_x000a_(K + L)" totalsRowFunction="sum" dataDxfId="9408" totalsRowDxfId="9407"/>
    <tableColumn id="14" name="(N)_x000a_Net Balance_x000a_(J minus M)" totalsRowFunction="sum" dataDxfId="9406" totalsRowDxfId="94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0.xml><?xml version="1.0" encoding="utf-8"?>
<table xmlns="http://schemas.openxmlformats.org/spreadsheetml/2006/main" id="170" name="Program276" displayName="Program276" ref="A435:N448" totalsRowCount="1" headerRowDxfId="4240" dataDxfId="4238" totalsRowDxfId="4236" headerRowBorderDxfId="4239" tableBorderDxfId="4237" totalsRowBorderDxfId="4235">
  <autoFilter ref="A435:N447"/>
  <tableColumns count="14">
    <tableColumn id="1" name="(A)_x000a_Program Name" totalsRowLabel="Total Program 276" dataDxfId="4234" totalsRowDxfId="4233"/>
    <tableColumn id="2" name="(B)_x000a_Fiscal _x000a_Year" totalsRowLabel="N/A" dataDxfId="4232" totalsRowDxfId="4231"/>
    <tableColumn id="3" name="(C)_x000a_Program_x000a_Costs" totalsRowFunction="sum" dataDxfId="4230" totalsRowDxfId="4229"/>
    <tableColumn id="4" name="(D)_x000a_Prior Period Adjustments" totalsRowFunction="sum" dataDxfId="4228" totalsRowDxfId="4227"/>
    <tableColumn id="5" name="(E)_x000a_Current Period Desk _x000a_Reviews" totalsRowFunction="sum" dataDxfId="4226" totalsRowDxfId="4225"/>
    <tableColumn id="6" name="(F)_x000a_Current Period _x000a_Final _x000a_Audits" totalsRowFunction="sum" dataDxfId="4224" totalsRowDxfId="4223"/>
    <tableColumn id="7" name="(G)_x000a_Current Period _x000a_Other Adjustments" totalsRowFunction="sum" dataDxfId="4222" totalsRowDxfId="4221"/>
    <tableColumn id="8" name="(H)_x000a_Net Program Costs_x000a_Sum (C through G)" totalsRowFunction="sum" dataDxfId="4220" totalsRowDxfId="4219"/>
    <tableColumn id="9" name="(I)_x000a_Payments_x000a_ and Offsets" totalsRowFunction="sum" dataDxfId="4218" totalsRowDxfId="4217"/>
    <tableColumn id="10" name="(J)_x000a_Accounts Payable Balance_x000a_(H + I)" totalsRowFunction="sum" dataDxfId="4216" totalsRowDxfId="4215"/>
    <tableColumn id="11" name="(K)_x000a_Established _x000a_Accounts Receivable" totalsRowFunction="sum" dataDxfId="4214" totalsRowDxfId="4213"/>
    <tableColumn id="12" name="(L)_x000a_Recovered_x000a_ Accounts Receivable" totalsRowFunction="sum" dataDxfId="4212" totalsRowDxfId="4211"/>
    <tableColumn id="13" name="(M)_x000a_Accounts Receivable Balance_x000a_(K + L)" totalsRowFunction="sum" dataDxfId="4210" totalsRowDxfId="4209"/>
    <tableColumn id="14" name="(N)_x000a_Net Balance_x000a_(J minus M)" totalsRowFunction="sum" dataDxfId="4208" totalsRowDxfId="42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1.xml><?xml version="1.0" encoding="utf-8"?>
<table xmlns="http://schemas.openxmlformats.org/spreadsheetml/2006/main" id="171" name="Program292" displayName="Program292" ref="A450:N462" totalsRowCount="1" headerRowDxfId="4206" dataDxfId="4204" totalsRowDxfId="4202" headerRowBorderDxfId="4205" tableBorderDxfId="4203" totalsRowBorderDxfId="4201">
  <autoFilter ref="A450:N461"/>
  <tableColumns count="14">
    <tableColumn id="1" name="(A)_x000a_Program Name" totalsRowLabel="Total Program 292" dataDxfId="4200" totalsRowDxfId="4199"/>
    <tableColumn id="2" name="(B)_x000a_Fiscal _x000a_Year" totalsRowLabel="N/A" dataDxfId="4198" totalsRowDxfId="4197"/>
    <tableColumn id="3" name="(C)_x000a_Program_x000a_Costs" totalsRowFunction="sum" dataDxfId="4196" totalsRowDxfId="4195"/>
    <tableColumn id="4" name="(D)_x000a_Prior Period Adjustments" totalsRowFunction="sum" dataDxfId="4194" totalsRowDxfId="4193"/>
    <tableColumn id="5" name="(E)_x000a_Current Period Desk _x000a_Reviews" totalsRowFunction="sum" dataDxfId="4192" totalsRowDxfId="4191"/>
    <tableColumn id="6" name="(F)_x000a_Current Period _x000a_Final _x000a_Audits" totalsRowFunction="sum" dataDxfId="4190" totalsRowDxfId="4189"/>
    <tableColumn id="7" name="(G)_x000a_Current Period _x000a_Other Adjustments" totalsRowFunction="sum" dataDxfId="4188" totalsRowDxfId="4187"/>
    <tableColumn id="8" name="(H)_x000a_Net Program Costs_x000a_Sum (C through G)" totalsRowFunction="sum" dataDxfId="4186" totalsRowDxfId="4185"/>
    <tableColumn id="9" name="(I)_x000a_Payments_x000a_ and Offsets" totalsRowFunction="sum" dataDxfId="4184" totalsRowDxfId="4183"/>
    <tableColumn id="10" name="(J)_x000a_Accounts Payable Balance_x000a_(H + I)" totalsRowFunction="sum" dataDxfId="4182" totalsRowDxfId="4181"/>
    <tableColumn id="11" name="(K)_x000a_Established _x000a_Accounts Receivable" totalsRowFunction="sum" dataDxfId="4180" totalsRowDxfId="4179"/>
    <tableColumn id="12" name="(L)_x000a_Recovered_x000a_ Accounts Receivable" totalsRowFunction="sum" dataDxfId="4178" totalsRowDxfId="4177"/>
    <tableColumn id="13" name="(M)_x000a_Accounts Receivable Balance_x000a_(K + L)" totalsRowFunction="sum" dataDxfId="4176" totalsRowDxfId="4175"/>
    <tableColumn id="14" name="(N)_x000a_Net Balance_x000a_(J minus M)" totalsRowFunction="sum" dataDxfId="4174" totalsRowDxfId="41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2.xml><?xml version="1.0" encoding="utf-8"?>
<table xmlns="http://schemas.openxmlformats.org/spreadsheetml/2006/main" id="172" name="Program291" displayName="Program291" ref="A464:N473" totalsRowCount="1" headerRowDxfId="4172" dataDxfId="4170" totalsRowDxfId="4168" headerRowBorderDxfId="4171" tableBorderDxfId="4169" totalsRowBorderDxfId="4167">
  <autoFilter ref="A464:N472"/>
  <tableColumns count="14">
    <tableColumn id="1" name="(A)_x000a_Program Name" totalsRowLabel="Total Program 291" dataDxfId="4166" totalsRowDxfId="4165"/>
    <tableColumn id="2" name="(B)_x000a_Fiscal _x000a_Year" totalsRowLabel="N/A" dataDxfId="4164" totalsRowDxfId="4163"/>
    <tableColumn id="3" name="(C)_x000a_Program_x000a_Costs" totalsRowFunction="sum" dataDxfId="4162" totalsRowDxfId="4161"/>
    <tableColumn id="4" name="(D)_x000a_Prior Period Adjustments" totalsRowFunction="sum" dataDxfId="4160" totalsRowDxfId="4159"/>
    <tableColumn id="5" name="(E)_x000a_Current Period Desk _x000a_Reviews" totalsRowFunction="sum" dataDxfId="4158" totalsRowDxfId="4157"/>
    <tableColumn id="6" name="(F)_x000a_Current Period _x000a_Final _x000a_Audits" totalsRowFunction="sum" dataDxfId="4156" totalsRowDxfId="4155"/>
    <tableColumn id="7" name="(G)_x000a_Current Period _x000a_Other Adjustments" totalsRowFunction="sum" dataDxfId="4154" totalsRowDxfId="4153"/>
    <tableColumn id="8" name="(H)_x000a_Net Program Costs_x000a_Sum (C through G)" totalsRowFunction="sum" dataDxfId="4152" totalsRowDxfId="4151"/>
    <tableColumn id="9" name="(I)_x000a_Payments_x000a_ and Offsets" totalsRowFunction="sum" dataDxfId="4150" totalsRowDxfId="4149"/>
    <tableColumn id="10" name="(J)_x000a_Accounts Payable Balance_x000a_(H + I)" totalsRowFunction="sum" dataDxfId="4148" totalsRowDxfId="4147"/>
    <tableColumn id="11" name="(K)_x000a_Established _x000a_Accounts Receivable" totalsRowFunction="sum" dataDxfId="4146" totalsRowDxfId="4145"/>
    <tableColumn id="12" name="(L)_x000a_Recovered_x000a_ Accounts Receivable" totalsRowFunction="sum" dataDxfId="4144" totalsRowDxfId="4143"/>
    <tableColumn id="13" name="(M)_x000a_Accounts Receivable Balance_x000a_(K + L)" totalsRowFunction="sum" dataDxfId="4142" totalsRowDxfId="4141"/>
    <tableColumn id="14" name="(N)_x000a_Net Balance_x000a_(J minus M)" totalsRowFunction="sum" dataDxfId="4140" totalsRowDxfId="41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3.xml><?xml version="1.0" encoding="utf-8"?>
<table xmlns="http://schemas.openxmlformats.org/spreadsheetml/2006/main" id="173" name="Program209" displayName="Program209" ref="A475:N499" totalsRowCount="1" headerRowDxfId="4138" dataDxfId="4136" totalsRowDxfId="4134" headerRowBorderDxfId="4137" tableBorderDxfId="4135" totalsRowBorderDxfId="4133">
  <autoFilter ref="A475:N498"/>
  <tableColumns count="14">
    <tableColumn id="1" name="(A)_x000a_Program Name" totalsRowLabel="Total Program 209" dataDxfId="4132" totalsRowDxfId="4131"/>
    <tableColumn id="2" name="(B)_x000a_Fiscal _x000a_Year" totalsRowLabel="N/A" dataDxfId="4130" totalsRowDxfId="4129"/>
    <tableColumn id="3" name="(C)_x000a_Program_x000a_Costs" totalsRowFunction="sum" dataDxfId="4128" totalsRowDxfId="4127"/>
    <tableColumn id="4" name="(D)_x000a_Prior Period Adjustments" totalsRowFunction="sum" dataDxfId="4126" totalsRowDxfId="4125"/>
    <tableColumn id="5" name="(E)_x000a_Current Period Desk _x000a_Reviews" totalsRowFunction="sum" dataDxfId="4124" totalsRowDxfId="4123"/>
    <tableColumn id="6" name="(F)_x000a_Current Period _x000a_Final _x000a_Audits" totalsRowFunction="sum" dataDxfId="4122" totalsRowDxfId="4121"/>
    <tableColumn id="7" name="(G)_x000a_Current Period _x000a_Other Adjustments" totalsRowFunction="sum" dataDxfId="4120" totalsRowDxfId="4119"/>
    <tableColumn id="8" name="(H)_x000a_Net Program Costs_x000a_Sum (C through G)" totalsRowFunction="sum" dataDxfId="4118" totalsRowDxfId="4117"/>
    <tableColumn id="9" name="(I)_x000a_Payments_x000a_ and Offsets" totalsRowFunction="sum" dataDxfId="4116" totalsRowDxfId="4115"/>
    <tableColumn id="10" name="(J)_x000a_Accounts Payable Balance_x000a_(H + I)" totalsRowFunction="sum" dataDxfId="4114" totalsRowDxfId="4113"/>
    <tableColumn id="11" name="(K)_x000a_Established _x000a_Accounts Receivable" totalsRowFunction="sum" dataDxfId="4112" totalsRowDxfId="4111"/>
    <tableColumn id="12" name="(L)_x000a_Recovered_x000a_ Accounts Receivable" totalsRowFunction="sum" dataDxfId="4110" totalsRowDxfId="4109"/>
    <tableColumn id="13" name="(M)_x000a_Accounts Receivable Balance_x000a_(K + L)" totalsRowFunction="sum" dataDxfId="4108" totalsRowDxfId="4107"/>
    <tableColumn id="14" name="(N)_x000a_Net Balance_x000a_(J minus M)" totalsRowFunction="sum" dataDxfId="4106" totalsRowDxfId="41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4.xml><?xml version="1.0" encoding="utf-8"?>
<table xmlns="http://schemas.openxmlformats.org/spreadsheetml/2006/main" id="174" name="Program206" displayName="Program206" ref="A501:N510" totalsRowCount="1" headerRowDxfId="4104" dataDxfId="4102" totalsRowDxfId="4100" headerRowBorderDxfId="4103" tableBorderDxfId="4101" totalsRowBorderDxfId="4099">
  <autoFilter ref="A501:N509"/>
  <tableColumns count="14">
    <tableColumn id="1" name="(A)_x000a_Program Name" totalsRowLabel="Total Program 206" dataDxfId="4098" totalsRowDxfId="4097"/>
    <tableColumn id="2" name="(B)_x000a_Fiscal _x000a_Year" totalsRowLabel="N/A" dataDxfId="4096" totalsRowDxfId="4095"/>
    <tableColumn id="3" name="(C)_x000a_Program_x000a_Costs" totalsRowFunction="sum" dataDxfId="4094" totalsRowDxfId="4093"/>
    <tableColumn id="4" name="(D)_x000a_Prior Period Adjustments" totalsRowFunction="sum" dataDxfId="4092" totalsRowDxfId="4091"/>
    <tableColumn id="5" name="(E)_x000a_Current Period Desk _x000a_Reviews" totalsRowFunction="sum" dataDxfId="4090" totalsRowDxfId="4089"/>
    <tableColumn id="6" name="(F)_x000a_Current Period _x000a_Final _x000a_Audits" totalsRowFunction="sum" dataDxfId="4088" totalsRowDxfId="4087"/>
    <tableColumn id="7" name="(G)_x000a_Current Period _x000a_Other Adjustments" totalsRowFunction="sum" dataDxfId="4086" totalsRowDxfId="4085"/>
    <tableColumn id="8" name="(H)_x000a_Net Program Costs_x000a_Sum (C through G)" totalsRowFunction="sum" dataDxfId="4084" totalsRowDxfId="4083"/>
    <tableColumn id="9" name="(I)_x000a_Payments_x000a_ and Offsets" totalsRowFunction="sum" dataDxfId="4082" totalsRowDxfId="4081"/>
    <tableColumn id="10" name="(J)_x000a_Accounts Payable Balance_x000a_(H + I)" totalsRowFunction="sum" dataDxfId="4080" totalsRowDxfId="4079"/>
    <tableColumn id="11" name="(K)_x000a_Established _x000a_Accounts Receivable" totalsRowFunction="sum" dataDxfId="4078" totalsRowDxfId="4077"/>
    <tableColumn id="12" name="(L)_x000a_Recovered_x000a_ Accounts Receivable" totalsRowFunction="sum" dataDxfId="4076" totalsRowDxfId="4075"/>
    <tableColumn id="13" name="(M)_x000a_Accounts Receivable Balance_x000a_(K + L)" totalsRowFunction="sum" dataDxfId="4074" totalsRowDxfId="4073"/>
    <tableColumn id="14" name="(N)_x000a_Net Balance_x000a_(J minus M)" totalsRowFunction="sum" dataDxfId="4072" totalsRowDxfId="40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5.xml><?xml version="1.0" encoding="utf-8"?>
<table xmlns="http://schemas.openxmlformats.org/spreadsheetml/2006/main" id="175" name="Program79" displayName="Program79" ref="A512:N522" totalsRowCount="1" headerRowDxfId="4070" dataDxfId="4068" totalsRowDxfId="4066" headerRowBorderDxfId="4069" tableBorderDxfId="4067" totalsRowBorderDxfId="4065">
  <autoFilter ref="A512:N521"/>
  <tableColumns count="14">
    <tableColumn id="1" name="(A)_x000a_Program Name" totalsRowLabel="Total Program 79" dataDxfId="4064" totalsRowDxfId="4063"/>
    <tableColumn id="2" name="(B)_x000a_Fiscal _x000a_Year" totalsRowLabel="N/A" dataDxfId="4062" totalsRowDxfId="4061"/>
    <tableColumn id="3" name="(C)_x000a_Program_x000a_Costs" totalsRowFunction="sum" dataDxfId="4060" totalsRowDxfId="4059"/>
    <tableColumn id="4" name="(D)_x000a_Prior Period Adjustments" totalsRowFunction="sum" dataDxfId="4058" totalsRowDxfId="4057"/>
    <tableColumn id="5" name="(E)_x000a_Current Period Desk _x000a_Reviews" totalsRowFunction="sum" dataDxfId="4056" totalsRowDxfId="4055"/>
    <tableColumn id="6" name="(F)_x000a_Current Period _x000a_Final _x000a_Audits" totalsRowFunction="sum" dataDxfId="4054" totalsRowDxfId="4053"/>
    <tableColumn id="7" name="(G)_x000a_Current Period _x000a_Other Adjustments" totalsRowFunction="sum" dataDxfId="4052" totalsRowDxfId="4051"/>
    <tableColumn id="8" name="(H)_x000a_Net Program Costs_x000a_Sum (C through G)" totalsRowFunction="sum" dataDxfId="4050" totalsRowDxfId="4049"/>
    <tableColumn id="9" name="(I)_x000a_Payments_x000a_ and Offsets" totalsRowFunction="sum" dataDxfId="4048" totalsRowDxfId="4047"/>
    <tableColumn id="10" name="(J)_x000a_Accounts Payable Balance_x000a_(H + I)" totalsRowFunction="sum" dataDxfId="4046" totalsRowDxfId="4045"/>
    <tableColumn id="11" name="(K)_x000a_Established _x000a_Accounts Receivable" totalsRowFunction="sum" dataDxfId="4044" totalsRowDxfId="4043"/>
    <tableColumn id="12" name="(L)_x000a_Recovered_x000a_ Accounts Receivable" totalsRowFunction="sum" dataDxfId="4042" totalsRowDxfId="4041"/>
    <tableColumn id="13" name="(M)_x000a_Accounts Receivable Balance_x000a_(K + L)" totalsRowFunction="sum" dataDxfId="4040" totalsRowDxfId="4039"/>
    <tableColumn id="14" name="(N)_x000a_Net Balance_x000a_(J minus M)" totalsRowFunction="sum" dataDxfId="4038" totalsRowDxfId="40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6.xml><?xml version="1.0" encoding="utf-8"?>
<table xmlns="http://schemas.openxmlformats.org/spreadsheetml/2006/main" id="176" name="Program183" displayName="Program183" ref="A524:N547" totalsRowCount="1" headerRowDxfId="4036" dataDxfId="4034" totalsRowDxfId="4032" headerRowBorderDxfId="4035" tableBorderDxfId="4033" totalsRowBorderDxfId="4031">
  <autoFilter ref="A524:N546"/>
  <tableColumns count="14">
    <tableColumn id="1" name="(A)_x000a_Program Name" totalsRowLabel="Total Program 183" dataDxfId="4030" totalsRowDxfId="4029"/>
    <tableColumn id="2" name="(B)_x000a_Fiscal _x000a_Year" totalsRowLabel="N/A" dataDxfId="4028" totalsRowDxfId="4027"/>
    <tableColumn id="3" name="(C)_x000a_Program_x000a_Costs" totalsRowFunction="sum" dataDxfId="4026" totalsRowDxfId="4025"/>
    <tableColumn id="4" name="(D)_x000a_Prior Period Adjustments" totalsRowFunction="sum" dataDxfId="4024" totalsRowDxfId="4023"/>
    <tableColumn id="5" name="(E)_x000a_Current Period Desk _x000a_Reviews" totalsRowFunction="sum" dataDxfId="4022" totalsRowDxfId="4021"/>
    <tableColumn id="6" name="(F)_x000a_Current Period _x000a_Final _x000a_Audits" totalsRowFunction="sum" dataDxfId="4020" totalsRowDxfId="4019"/>
    <tableColumn id="7" name="(G)_x000a_Current Period _x000a_Other Adjustments" totalsRowFunction="sum" dataDxfId="4018" totalsRowDxfId="4017"/>
    <tableColumn id="8" name="(H)_x000a_Net Program Costs_x000a_Sum (C through G)" totalsRowFunction="sum" dataDxfId="4016" totalsRowDxfId="4015"/>
    <tableColumn id="9" name="(I)_x000a_Payments_x000a_ and Offsets" totalsRowFunction="sum" dataDxfId="4014" totalsRowDxfId="4013"/>
    <tableColumn id="10" name="(J)_x000a_Accounts Payable Balance_x000a_(H + I)" totalsRowFunction="sum" dataDxfId="4012" totalsRowDxfId="4011"/>
    <tableColumn id="11" name="(K)_x000a_Established _x000a_Accounts Receivable" totalsRowFunction="sum" dataDxfId="4010" totalsRowDxfId="4009"/>
    <tableColumn id="12" name="(L)_x000a_Recovered_x000a_ Accounts Receivable" totalsRowFunction="sum" dataDxfId="4008" totalsRowDxfId="4007"/>
    <tableColumn id="13" name="(M)_x000a_Accounts Receivable Balance_x000a_(K + L)" totalsRowFunction="sum" dataDxfId="4006" totalsRowDxfId="4005"/>
    <tableColumn id="14" name="(N)_x000a_Net Balance_x000a_(J minus M)" totalsRowFunction="sum" dataDxfId="4004" totalsRowDxfId="40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7.xml><?xml version="1.0" encoding="utf-8"?>
<table xmlns="http://schemas.openxmlformats.org/spreadsheetml/2006/main" id="177" name="Program251" displayName="Program251" ref="A549:N570" totalsRowCount="1" headerRowDxfId="4002" dataDxfId="4000" totalsRowDxfId="3998" headerRowBorderDxfId="4001" tableBorderDxfId="3999" totalsRowBorderDxfId="3997">
  <autoFilter ref="A549:N569"/>
  <tableColumns count="14">
    <tableColumn id="1" name="(A)_x000a_Program Name" totalsRowLabel="Total Program 251" dataDxfId="3996" totalsRowDxfId="3995"/>
    <tableColumn id="2" name="(B)_x000a_Fiscal _x000a_Year" totalsRowLabel="N/A" dataDxfId="3994" totalsRowDxfId="3993"/>
    <tableColumn id="3" name="(C)_x000a_Program_x000a_Costs" totalsRowFunction="sum" dataDxfId="3992" totalsRowDxfId="3991"/>
    <tableColumn id="4" name="(D)_x000a_Prior Period Adjustments" totalsRowFunction="sum" dataDxfId="3990" totalsRowDxfId="3989"/>
    <tableColumn id="5" name="(E)_x000a_Current Period Desk _x000a_Reviews" totalsRowFunction="sum" dataDxfId="3988" totalsRowDxfId="3987"/>
    <tableColumn id="6" name="(F)_x000a_Current Period _x000a_Final _x000a_Audits" totalsRowFunction="sum" dataDxfId="3986" totalsRowDxfId="3985"/>
    <tableColumn id="7" name="(G)_x000a_Current Period _x000a_Other Adjustments" totalsRowFunction="sum" dataDxfId="3984" totalsRowDxfId="3983"/>
    <tableColumn id="8" name="(H)_x000a_Net Program Costs_x000a_Sum (C through G)" totalsRowFunction="sum" dataDxfId="3982" totalsRowDxfId="3981"/>
    <tableColumn id="9" name="(I)_x000a_Payments_x000a_ and Offsets" totalsRowFunction="sum" dataDxfId="3980" totalsRowDxfId="3979"/>
    <tableColumn id="10" name="(J)_x000a_Accounts Payable Balance_x000a_(H + I)" totalsRowFunction="sum" dataDxfId="3978" totalsRowDxfId="3977"/>
    <tableColumn id="11" name="(K)_x000a_Established _x000a_Accounts Receivable" totalsRowFunction="sum" dataDxfId="3976" totalsRowDxfId="3975"/>
    <tableColumn id="12" name="(L)_x000a_Recovered_x000a_ Accounts Receivable" totalsRowFunction="sum" dataDxfId="3974" totalsRowDxfId="3973"/>
    <tableColumn id="13" name="(M)_x000a_Accounts Receivable Balance_x000a_(K + L)" totalsRowFunction="sum" dataDxfId="3972" totalsRowDxfId="3971"/>
    <tableColumn id="14" name="(N)_x000a_Net Balance_x000a_(J minus M)" totalsRowFunction="sum" dataDxfId="3970" totalsRowDxfId="39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8.xml><?xml version="1.0" encoding="utf-8"?>
<table xmlns="http://schemas.openxmlformats.org/spreadsheetml/2006/main" id="178" name="Program333" displayName="Program333" ref="A572:N586" totalsRowCount="1" headerRowDxfId="3968" dataDxfId="3966" totalsRowDxfId="3964" headerRowBorderDxfId="3967" tableBorderDxfId="3965" totalsRowBorderDxfId="3963">
  <autoFilter ref="A572:N585"/>
  <tableColumns count="14">
    <tableColumn id="1" name="(A)_x000a_Program Name" totalsRowLabel="Total Program 333" dataDxfId="3962" totalsRowDxfId="3961"/>
    <tableColumn id="2" name="(B)_x000a_Fiscal _x000a_Year" totalsRowLabel="N/A" dataDxfId="3960" totalsRowDxfId="3959"/>
    <tableColumn id="3" name="(C)_x000a_Program_x000a_Costs" totalsRowFunction="sum" dataDxfId="3958" totalsRowDxfId="3957"/>
    <tableColumn id="4" name="(D)_x000a_Prior Period Adjustments" totalsRowFunction="sum" dataDxfId="3956" totalsRowDxfId="3955"/>
    <tableColumn id="5" name="(E)_x000a_Current Period Desk _x000a_Reviews" totalsRowFunction="sum" dataDxfId="3954" totalsRowDxfId="3953"/>
    <tableColumn id="6" name="(F)_x000a_Current Period _x000a_Final _x000a_Audits" totalsRowFunction="sum" dataDxfId="3952" totalsRowDxfId="3951"/>
    <tableColumn id="7" name="(G)_x000a_Current Period _x000a_Other Adjustments" totalsRowFunction="sum" dataDxfId="3950" totalsRowDxfId="3949"/>
    <tableColumn id="8" name="(H)_x000a_Net Program Costs_x000a_Sum (C through G)" totalsRowFunction="sum" dataDxfId="3948" totalsRowDxfId="3947"/>
    <tableColumn id="9" name="(I)_x000a_Payments_x000a_ and Offsets" totalsRowFunction="sum" dataDxfId="3946" totalsRowDxfId="3945"/>
    <tableColumn id="10" name="(J)_x000a_Accounts Payable Balance_x000a_(H + I)" totalsRowFunction="sum" dataDxfId="3944" totalsRowDxfId="3943"/>
    <tableColumn id="11" name="(K)_x000a_Established _x000a_Accounts Receivable" totalsRowFunction="sum" dataDxfId="3942" totalsRowDxfId="3941"/>
    <tableColumn id="12" name="(L)_x000a_Recovered_x000a_ Accounts Receivable" totalsRowFunction="sum" dataDxfId="3940" totalsRowDxfId="3939"/>
    <tableColumn id="13" name="(M)_x000a_Accounts Receivable Balance_x000a_(K + L)" totalsRowFunction="sum" dataDxfId="3938" totalsRowDxfId="3937"/>
    <tableColumn id="14" name="(N)_x000a_Net Balance_x000a_(J minus M)" totalsRowFunction="sum" dataDxfId="3936" totalsRowDxfId="39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79.xml><?xml version="1.0" encoding="utf-8"?>
<table xmlns="http://schemas.openxmlformats.org/spreadsheetml/2006/main" id="179" name="Program253" displayName="Program253" ref="A588:N596" totalsRowCount="1" headerRowDxfId="3934" dataDxfId="3932" totalsRowDxfId="3930" headerRowBorderDxfId="3933" tableBorderDxfId="3931" totalsRowBorderDxfId="3929">
  <autoFilter ref="A588:N595"/>
  <tableColumns count="14">
    <tableColumn id="1" name="(A)_x000a_Program Name" totalsRowLabel="Total Program 253" dataDxfId="3928" totalsRowDxfId="3927"/>
    <tableColumn id="2" name="(B)_x000a_Fiscal _x000a_Year" totalsRowLabel="N/A" dataDxfId="3926" totalsRowDxfId="3925"/>
    <tableColumn id="3" name="(C)_x000a_Program_x000a_Costs" totalsRowFunction="sum" dataDxfId="3924" totalsRowDxfId="3923"/>
    <tableColumn id="4" name="(D)_x000a_Prior Period Adjustments" totalsRowFunction="sum" dataDxfId="3922" totalsRowDxfId="3921"/>
    <tableColumn id="5" name="(E)_x000a_Current Period Desk _x000a_Reviews" totalsRowFunction="sum" dataDxfId="3920" totalsRowDxfId="3919"/>
    <tableColumn id="6" name="(F)_x000a_Current Period _x000a_Final _x000a_Audits" totalsRowFunction="sum" dataDxfId="3918" totalsRowDxfId="3917"/>
    <tableColumn id="7" name="(G)_x000a_Current Period _x000a_Other Adjustments" totalsRowFunction="sum" dataDxfId="3916" totalsRowDxfId="3915"/>
    <tableColumn id="8" name="(H)_x000a_Net Program Costs_x000a_Sum (C through G)" totalsRowFunction="sum" dataDxfId="3914" totalsRowDxfId="3913"/>
    <tableColumn id="9" name="(I)_x000a_Payments_x000a_ and Offsets" totalsRowFunction="sum" dataDxfId="3912" totalsRowDxfId="3911"/>
    <tableColumn id="10" name="(J)_x000a_Accounts Payable Balance_x000a_(H + I)" totalsRowFunction="sum" dataDxfId="3910" totalsRowDxfId="3909"/>
    <tableColumn id="11" name="(K)_x000a_Established _x000a_Accounts Receivable" totalsRowFunction="sum" dataDxfId="3908" totalsRowDxfId="3907"/>
    <tableColumn id="12" name="(L)_x000a_Recovered_x000a_ Accounts Receivable" totalsRowFunction="sum" dataDxfId="3906" totalsRowDxfId="3905"/>
    <tableColumn id="13" name="(M)_x000a_Accounts Receivable Balance_x000a_(K + L)" totalsRowFunction="sum" dataDxfId="3904" totalsRowDxfId="3903"/>
    <tableColumn id="14" name="(N)_x000a_Net Balance_x000a_(J minus M)" totalsRowFunction="sum" dataDxfId="3902" totalsRowDxfId="39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.xml><?xml version="1.0" encoding="utf-8"?>
<table xmlns="http://schemas.openxmlformats.org/spreadsheetml/2006/main" id="18" name="Program7" displayName="Program7" ref="A164:N177" totalsRowCount="1" headerRowDxfId="9404" dataDxfId="9402" totalsRowDxfId="9400" headerRowBorderDxfId="9403" tableBorderDxfId="9401" totalsRowBorderDxfId="9399">
  <autoFilter ref="A164:N176"/>
  <tableColumns count="14">
    <tableColumn id="1" name="(A)_x000a_Program Name" totalsRowLabel="Total Program 7" dataDxfId="9398" totalsRowDxfId="9397"/>
    <tableColumn id="2" name="(B)_x000a_Fiscal _x000a_Year" totalsRowLabel="N/A" dataDxfId="9396" totalsRowDxfId="9395"/>
    <tableColumn id="3" name="(C)_x000a_Program_x000a_Costs" totalsRowFunction="sum" dataDxfId="9394" totalsRowDxfId="9393"/>
    <tableColumn id="4" name="(D)_x000a_Prior Period Adjustments" totalsRowFunction="sum" dataDxfId="9392" totalsRowDxfId="9391"/>
    <tableColumn id="5" name="(E)_x000a_Current Period Desk _x000a_Reviews" totalsRowFunction="sum" dataDxfId="9390" totalsRowDxfId="9389"/>
    <tableColumn id="6" name="(F)_x000a_Current Period _x000a_Final _x000a_Audits" totalsRowFunction="sum" dataDxfId="9388" totalsRowDxfId="9387"/>
    <tableColumn id="7" name="(G)_x000a_Current Period _x000a_Other Adjustments" totalsRowFunction="sum" dataDxfId="9386" totalsRowDxfId="9385"/>
    <tableColumn id="8" name="(H)_x000a_Net Program Costs_x000a_Sum (C through G)" totalsRowFunction="sum" dataDxfId="9384" totalsRowDxfId="9383"/>
    <tableColumn id="9" name="(I)_x000a_Payments_x000a_ and Offsets" totalsRowFunction="sum" dataDxfId="9382" totalsRowDxfId="9381"/>
    <tableColumn id="10" name="(J)_x000a_Accounts Payable Balance_x000a_(H + I)" totalsRowFunction="sum" dataDxfId="9380" totalsRowDxfId="9379"/>
    <tableColumn id="11" name="(K)_x000a_Established _x000a_Accounts Receivable" totalsRowFunction="sum" dataDxfId="9378" totalsRowDxfId="9377"/>
    <tableColumn id="12" name="(L)_x000a_Recovered_x000a_ Accounts Receivable" totalsRowFunction="sum" dataDxfId="9376" totalsRowDxfId="9375"/>
    <tableColumn id="13" name="(M)_x000a_Accounts Receivable Balance_x000a_(K + L)" totalsRowFunction="sum" dataDxfId="9374" totalsRowDxfId="9373"/>
    <tableColumn id="14" name="(N)_x000a_Net Balance_x000a_(J minus M)" totalsRowFunction="sum" dataDxfId="9372" totalsRowDxfId="93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idot Finding Report" altTextSummary="Detail of State-Mandated Program Cost Report of Audit Findings.  For the Period of April 1, 2019, through March 31, 2020."/>
    </ext>
  </extLst>
</table>
</file>

<file path=xl/tables/table180.xml><?xml version="1.0" encoding="utf-8"?>
<table xmlns="http://schemas.openxmlformats.org/spreadsheetml/2006/main" id="180" name="Program225" displayName="Program225" ref="A598:N602" totalsRowCount="1" headerRowDxfId="3900" dataDxfId="3898" totalsRowDxfId="3896" headerRowBorderDxfId="3899" tableBorderDxfId="3897" totalsRowBorderDxfId="3895">
  <autoFilter ref="A598:N601"/>
  <tableColumns count="14">
    <tableColumn id="1" name="(A)_x000a_Program Name" totalsRowLabel="Total Program 225" dataDxfId="3894" totalsRowDxfId="3893"/>
    <tableColumn id="2" name="(B)_x000a_Fiscal _x000a_Year" totalsRowLabel="N/A" dataDxfId="3892" totalsRowDxfId="3891"/>
    <tableColumn id="3" name="(C)_x000a_Program_x000a_Costs" totalsRowFunction="sum" dataDxfId="3890" totalsRowDxfId="3889"/>
    <tableColumn id="4" name="(D)_x000a_Prior Period Adjustments" totalsRowFunction="sum" dataDxfId="3888" totalsRowDxfId="3887"/>
    <tableColumn id="5" name="(E)_x000a_Current Period Desk _x000a_Reviews" totalsRowFunction="sum" dataDxfId="3886" totalsRowDxfId="3885"/>
    <tableColumn id="6" name="(F)_x000a_Current Period _x000a_Final _x000a_Audits" totalsRowFunction="sum" dataDxfId="3884" totalsRowDxfId="3883"/>
    <tableColumn id="7" name="(G)_x000a_Current Period _x000a_Other Adjustments" totalsRowFunction="sum" dataDxfId="3882" totalsRowDxfId="3881"/>
    <tableColumn id="8" name="(H)_x000a_Net Program Costs_x000a_Sum (C through G)" totalsRowFunction="sum" dataDxfId="3880" totalsRowDxfId="3879"/>
    <tableColumn id="9" name="(I)_x000a_Payments_x000a_ and Offsets" totalsRowFunction="sum" dataDxfId="3878" totalsRowDxfId="3877"/>
    <tableColumn id="10" name="(J)_x000a_Accounts Payable Balance_x000a_(H + I)" totalsRowFunction="sum" dataDxfId="3876" totalsRowDxfId="3875"/>
    <tableColumn id="11" name="(K)_x000a_Established _x000a_Accounts Receivable" totalsRowFunction="sum" dataDxfId="3874" totalsRowDxfId="3873"/>
    <tableColumn id="12" name="(L)_x000a_Recovered_x000a_ Accounts Receivable" totalsRowFunction="sum" dataDxfId="3872" totalsRowDxfId="3871"/>
    <tableColumn id="13" name="(M)_x000a_Accounts Receivable Balance_x000a_(K + L)" totalsRowFunction="sum" dataDxfId="3870" totalsRowDxfId="3869"/>
    <tableColumn id="14" name="(N)_x000a_Net Balance_x000a_(J minus M)" totalsRowFunction="sum" dataDxfId="3868" totalsRowDxfId="38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1.xml><?xml version="1.0" encoding="utf-8"?>
<table xmlns="http://schemas.openxmlformats.org/spreadsheetml/2006/main" id="181" name="Program75" displayName="Program75" ref="A604:N623" totalsRowCount="1" headerRowDxfId="3866" dataDxfId="3864" totalsRowDxfId="3862" headerRowBorderDxfId="3865" tableBorderDxfId="3863" totalsRowBorderDxfId="3861">
  <autoFilter ref="A604:N622"/>
  <tableColumns count="14">
    <tableColumn id="1" name="(A)_x000a_Program Name" totalsRowLabel="Total Program 75" dataDxfId="3860" totalsRowDxfId="3859"/>
    <tableColumn id="2" name="(B)_x000a_Fiscal _x000a_Year" totalsRowLabel="N/A" dataDxfId="3858" totalsRowDxfId="3857"/>
    <tableColumn id="3" name="(C)_x000a_Program_x000a_Costs" totalsRowFunction="sum" dataDxfId="3856" totalsRowDxfId="3855"/>
    <tableColumn id="4" name="(D)_x000a_Prior Period Adjustments" totalsRowFunction="sum" dataDxfId="3854" totalsRowDxfId="3853"/>
    <tableColumn id="5" name="(E)_x000a_Current Period Desk _x000a_Reviews" totalsRowFunction="sum" dataDxfId="3852" totalsRowDxfId="3851"/>
    <tableColumn id="6" name="(F)_x000a_Current Period _x000a_Final _x000a_Audits" totalsRowFunction="sum" dataDxfId="3850" totalsRowDxfId="3849"/>
    <tableColumn id="7" name="(G)_x000a_Current Period _x000a_Other Adjustments" totalsRowFunction="sum" dataDxfId="3848" totalsRowDxfId="3847"/>
    <tableColumn id="8" name="(H)_x000a_Net Program Costs_x000a_Sum (C through G)" totalsRowFunction="sum" dataDxfId="3846" totalsRowDxfId="3845"/>
    <tableColumn id="9" name="(I)_x000a_Payments_x000a_ and Offsets" totalsRowFunction="sum" dataDxfId="3844" totalsRowDxfId="3843"/>
    <tableColumn id="10" name="(J)_x000a_Accounts Payable Balance_x000a_(H + I)" totalsRowFunction="sum" dataDxfId="3842" totalsRowDxfId="3841"/>
    <tableColumn id="11" name="(K)_x000a_Established _x000a_Accounts Receivable" totalsRowFunction="sum" dataDxfId="3840" totalsRowDxfId="3839"/>
    <tableColumn id="12" name="(L)_x000a_Recovered_x000a_ Accounts Receivable" totalsRowFunction="sum" dataDxfId="3838" totalsRowDxfId="3837"/>
    <tableColumn id="13" name="(M)_x000a_Accounts Receivable Balance_x000a_(K + L)" totalsRowFunction="sum" dataDxfId="3836" totalsRowDxfId="3835"/>
    <tableColumn id="14" name="(N)_x000a_Net Balance_x000a_(J minus M)" totalsRowFunction="sum" dataDxfId="3834" totalsRowDxfId="38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2.xml><?xml version="1.0" encoding="utf-8"?>
<table xmlns="http://schemas.openxmlformats.org/spreadsheetml/2006/main" id="182" name="Program210" displayName="Program210" ref="A625:N639" totalsRowCount="1" headerRowDxfId="3832" dataDxfId="3830" totalsRowDxfId="3828" headerRowBorderDxfId="3831" tableBorderDxfId="3829" totalsRowBorderDxfId="3827">
  <autoFilter ref="A625:N638"/>
  <tableColumns count="14">
    <tableColumn id="1" name="(A)_x000a_Program Name" totalsRowLabel="Total Program 210" dataDxfId="3826" totalsRowDxfId="3825"/>
    <tableColumn id="2" name="(B)_x000a_Fiscal _x000a_Year" totalsRowLabel="N/A" dataDxfId="3824" totalsRowDxfId="3823"/>
    <tableColumn id="3" name="(C)_x000a_Program_x000a_Costs" totalsRowFunction="sum" dataDxfId="3822" totalsRowDxfId="3821"/>
    <tableColumn id="4" name="(D)_x000a_Prior Period Adjustments" totalsRowFunction="sum" dataDxfId="3820" totalsRowDxfId="3819"/>
    <tableColumn id="5" name="(E)_x000a_Current Period Desk _x000a_Reviews" totalsRowFunction="sum" dataDxfId="3818" totalsRowDxfId="3817"/>
    <tableColumn id="6" name="(F)_x000a_Current Period _x000a_Final _x000a_Audits" totalsRowFunction="sum" dataDxfId="3816" totalsRowDxfId="3815"/>
    <tableColumn id="7" name="(G)_x000a_Current Period _x000a_Other Adjustments" totalsRowFunction="sum" dataDxfId="3814" totalsRowDxfId="3813"/>
    <tableColumn id="8" name="(H)_x000a_Net Program Costs_x000a_Sum (C through G)" totalsRowFunction="sum" dataDxfId="3812" totalsRowDxfId="3811"/>
    <tableColumn id="9" name="(I)_x000a_Payments_x000a_ and Offsets" totalsRowFunction="sum" dataDxfId="3810" totalsRowDxfId="3809"/>
    <tableColumn id="10" name="(J)_x000a_Accounts Payable Balance_x000a_(H + I)" totalsRowFunction="sum" dataDxfId="3808" totalsRowDxfId="3807"/>
    <tableColumn id="11" name="(K)_x000a_Established _x000a_Accounts Receivable" totalsRowFunction="sum" dataDxfId="3806" totalsRowDxfId="3805"/>
    <tableColumn id="12" name="(L)_x000a_Recovered_x000a_ Accounts Receivable" totalsRowFunction="sum" dataDxfId="3804" totalsRowDxfId="3803"/>
    <tableColumn id="13" name="(M)_x000a_Accounts Receivable Balance_x000a_(K + L)" totalsRowFunction="sum" dataDxfId="3802" totalsRowDxfId="3801"/>
    <tableColumn id="14" name="(N)_x000a_Net Balance_x000a_(J minus M)" totalsRowFunction="sum" dataDxfId="3800" totalsRowDxfId="37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3.xml><?xml version="1.0" encoding="utf-8"?>
<table xmlns="http://schemas.openxmlformats.org/spreadsheetml/2006/main" id="183" name="Program91" displayName="Program91" ref="A641:N666" totalsRowCount="1" headerRowDxfId="3798" dataDxfId="3796" totalsRowDxfId="3794" headerRowBorderDxfId="3797" tableBorderDxfId="3795" totalsRowBorderDxfId="3793">
  <autoFilter ref="A641:N665"/>
  <tableColumns count="14">
    <tableColumn id="1" name="(A)_x000a_Program Name" totalsRowLabel="Total Program 91" dataDxfId="3792" totalsRowDxfId="3791"/>
    <tableColumn id="2" name="(B)_x000a_Fiscal _x000a_Year" totalsRowLabel="N/A" dataDxfId="3790" totalsRowDxfId="3789"/>
    <tableColumn id="3" name="(C)_x000a_Program_x000a_Costs" totalsRowFunction="sum" dataDxfId="3788" totalsRowDxfId="3787"/>
    <tableColumn id="4" name="(D)_x000a_Prior Period Adjustments" totalsRowFunction="sum" dataDxfId="3786" totalsRowDxfId="3785"/>
    <tableColumn id="5" name="(E)_x000a_Current Period Desk _x000a_Reviews" totalsRowFunction="sum" dataDxfId="3784" totalsRowDxfId="3783"/>
    <tableColumn id="6" name="(F)_x000a_Current Period _x000a_Final _x000a_Audits" totalsRowFunction="sum" dataDxfId="3782" totalsRowDxfId="3781"/>
    <tableColumn id="7" name="(G)_x000a_Current Period _x000a_Other Adjustments" totalsRowFunction="sum" dataDxfId="3780" totalsRowDxfId="3779"/>
    <tableColumn id="8" name="(H)_x000a_Net Program Costs_x000a_Sum (C through G)" totalsRowFunction="sum" dataDxfId="3778" totalsRowDxfId="3777"/>
    <tableColumn id="9" name="(I)_x000a_Payments_x000a_ and Offsets" totalsRowFunction="sum" dataDxfId="3776" totalsRowDxfId="3775"/>
    <tableColumn id="10" name="(J)_x000a_Accounts Payable Balance_x000a_(H + I)" totalsRowFunction="sum" dataDxfId="3774" totalsRowDxfId="3773"/>
    <tableColumn id="11" name="(K)_x000a_Established _x000a_Accounts Receivable" totalsRowFunction="sum" dataDxfId="3772" totalsRowDxfId="3771"/>
    <tableColumn id="12" name="(L)_x000a_Recovered_x000a_ Accounts Receivable" totalsRowFunction="sum" dataDxfId="3770" totalsRowDxfId="3769"/>
    <tableColumn id="13" name="(M)_x000a_Accounts Receivable Balance_x000a_(K + L)" totalsRowFunction="sum" dataDxfId="3768" totalsRowDxfId="3767"/>
    <tableColumn id="14" name="(N)_x000a_Net Balance_x000a_(J minus M)" totalsRowFunction="sum" dataDxfId="3766" totalsRowDxfId="37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4.xml><?xml version="1.0" encoding="utf-8"?>
<table xmlns="http://schemas.openxmlformats.org/spreadsheetml/2006/main" id="184" name="Program19" displayName="Program19" ref="A668:N675" totalsRowCount="1" headerRowDxfId="3764" dataDxfId="3762" totalsRowDxfId="3760" headerRowBorderDxfId="3763" tableBorderDxfId="3761" totalsRowBorderDxfId="3759">
  <autoFilter ref="A668:N674"/>
  <tableColumns count="14">
    <tableColumn id="1" name="(A)_x000a_Program Name" totalsRowLabel="Total Program 19" dataDxfId="3758" totalsRowDxfId="3757"/>
    <tableColumn id="2" name="(B)_x000a_Fiscal _x000a_Year" totalsRowLabel="N/A" dataDxfId="3756" totalsRowDxfId="3755"/>
    <tableColumn id="3" name="(C)_x000a_Program_x000a_Costs" totalsRowFunction="sum" dataDxfId="3754" totalsRowDxfId="3753"/>
    <tableColumn id="4" name="(D)_x000a_Prior Period Adjustments" totalsRowFunction="sum" dataDxfId="3752" totalsRowDxfId="3751"/>
    <tableColumn id="5" name="(E)_x000a_Current Period Desk _x000a_Reviews" totalsRowFunction="sum" dataDxfId="3750" totalsRowDxfId="3749"/>
    <tableColumn id="6" name="(F)_x000a_Current Period _x000a_Final _x000a_Audits" totalsRowFunction="sum" dataDxfId="3748" totalsRowDxfId="3747"/>
    <tableColumn id="7" name="(G)_x000a_Current Period _x000a_Other Adjustments" totalsRowFunction="sum" dataDxfId="3746" totalsRowDxfId="3745"/>
    <tableColumn id="8" name="(H)_x000a_Net Program Costs_x000a_Sum (C through G)" totalsRowFunction="sum" dataDxfId="3744" totalsRowDxfId="3743"/>
    <tableColumn id="9" name="(I)_x000a_Payments_x000a_ and Offsets" totalsRowFunction="sum" dataDxfId="3742" totalsRowDxfId="3741"/>
    <tableColumn id="10" name="(J)_x000a_Accounts Payable Balance_x000a_(H + I)" totalsRowFunction="sum" dataDxfId="3740" totalsRowDxfId="3739"/>
    <tableColumn id="11" name="(K)_x000a_Established _x000a_Accounts Receivable" totalsRowFunction="sum" dataDxfId="3738" totalsRowDxfId="3737"/>
    <tableColumn id="12" name="(L)_x000a_Recovered_x000a_ Accounts Receivable" totalsRowFunction="sum" dataDxfId="3736" totalsRowDxfId="3735"/>
    <tableColumn id="13" name="(M)_x000a_Accounts Receivable Balance_x000a_(K + L)" totalsRowFunction="sum" dataDxfId="3734" totalsRowDxfId="3733"/>
    <tableColumn id="14" name="(N)_x000a_Net Balance_x000a_(J minus M)" totalsRowFunction="sum" dataDxfId="3732" totalsRowDxfId="37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5.xml><?xml version="1.0" encoding="utf-8"?>
<table xmlns="http://schemas.openxmlformats.org/spreadsheetml/2006/main" id="185" name="Program192" displayName="Program192" ref="A677:N703" totalsRowCount="1" headerRowDxfId="3730" dataDxfId="3728" totalsRowDxfId="3726" headerRowBorderDxfId="3729" tableBorderDxfId="3727" totalsRowBorderDxfId="3725">
  <autoFilter ref="A677:N702"/>
  <tableColumns count="14">
    <tableColumn id="1" name="(A)_x000a_Program Name" totalsRowLabel="Total Program 192" dataDxfId="3724" totalsRowDxfId="3723"/>
    <tableColumn id="2" name="(B)_x000a_Fiscal _x000a_Year" totalsRowLabel="N/A" dataDxfId="3722" totalsRowDxfId="3721"/>
    <tableColumn id="3" name="(C)_x000a_Program_x000a_Costs" totalsRowFunction="sum" dataDxfId="3720" totalsRowDxfId="3719"/>
    <tableColumn id="4" name="(D)_x000a_Prior Period Adjustments" totalsRowFunction="sum" dataDxfId="3718" totalsRowDxfId="3717"/>
    <tableColumn id="5" name="(E)_x000a_Current Period Desk _x000a_Reviews" totalsRowFunction="sum" dataDxfId="3716" totalsRowDxfId="3715"/>
    <tableColumn id="6" name="(F)_x000a_Current Period _x000a_Final _x000a_Audits" totalsRowFunction="sum" dataDxfId="3714" totalsRowDxfId="3713"/>
    <tableColumn id="7" name="(G)_x000a_Current Period _x000a_Other Adjustments" totalsRowFunction="sum" dataDxfId="3712" totalsRowDxfId="3711"/>
    <tableColumn id="8" name="(H)_x000a_Net Program Costs_x000a_Sum (C through G)" totalsRowFunction="sum" dataDxfId="3710" totalsRowDxfId="3709"/>
    <tableColumn id="9" name="(I)_x000a_Payments_x000a_ and Offsets" totalsRowFunction="sum" dataDxfId="3708" totalsRowDxfId="3707"/>
    <tableColumn id="10" name="(J)_x000a_Accounts Payable Balance_x000a_(H + I)" totalsRowFunction="sum" dataDxfId="3706" totalsRowDxfId="3705"/>
    <tableColumn id="11" name="(K)_x000a_Established _x000a_Accounts Receivable" totalsRowFunction="sum" dataDxfId="3704" totalsRowDxfId="3703"/>
    <tableColumn id="12" name="(L)_x000a_Recovered_x000a_ Accounts Receivable" totalsRowFunction="sum" dataDxfId="3702" totalsRowDxfId="3701"/>
    <tableColumn id="13" name="(M)_x000a_Accounts Receivable Balance_x000a_(K + L)" totalsRowFunction="sum" dataDxfId="3700" totalsRowDxfId="3699"/>
    <tableColumn id="14" name="(N)_x000a_Net Balance_x000a_(J minus M)" totalsRowFunction="sum" dataDxfId="3698" totalsRowDxfId="36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6.xml><?xml version="1.0" encoding="utf-8"?>
<table xmlns="http://schemas.openxmlformats.org/spreadsheetml/2006/main" id="186" name="Program295" displayName="Program295" ref="A705:N715" totalsRowCount="1" headerRowDxfId="3696" dataDxfId="3694" totalsRowDxfId="3692" headerRowBorderDxfId="3695" tableBorderDxfId="3693" totalsRowBorderDxfId="3691">
  <autoFilter ref="A705:N714"/>
  <tableColumns count="14">
    <tableColumn id="1" name="(A)_x000a_Program Name" totalsRowLabel="Total Program 295" dataDxfId="3690" totalsRowDxfId="3689"/>
    <tableColumn id="2" name="(B)_x000a_Fiscal _x000a_Year" totalsRowLabel="N/A" dataDxfId="3688" totalsRowDxfId="3687"/>
    <tableColumn id="3" name="(C)_x000a_Program_x000a_Costs" totalsRowFunction="sum" dataDxfId="3686" totalsRowDxfId="3685"/>
    <tableColumn id="4" name="(D)_x000a_Prior Period Adjustments" totalsRowFunction="sum" dataDxfId="3684" totalsRowDxfId="3683"/>
    <tableColumn id="5" name="(E)_x000a_Current Period Desk _x000a_Reviews" totalsRowFunction="sum" dataDxfId="3682" totalsRowDxfId="3681"/>
    <tableColumn id="6" name="(F)_x000a_Current Period _x000a_Final _x000a_Audits" totalsRowFunction="sum" dataDxfId="3680" totalsRowDxfId="3679"/>
    <tableColumn id="7" name="(G)_x000a_Current Period _x000a_Other Adjustments" totalsRowFunction="sum" dataDxfId="3678" totalsRowDxfId="3677"/>
    <tableColumn id="8" name="(H)_x000a_Net Program Costs_x000a_Sum (C through G)" totalsRowFunction="sum" dataDxfId="3676" totalsRowDxfId="3675"/>
    <tableColumn id="9" name="(I)_x000a_Payments_x000a_ and Offsets" totalsRowFunction="sum" dataDxfId="3674" totalsRowDxfId="3673"/>
    <tableColumn id="10" name="(J)_x000a_Accounts Payable Balance_x000a_(H + I)" totalsRowFunction="sum" dataDxfId="3672" totalsRowDxfId="3671"/>
    <tableColumn id="11" name="(K)_x000a_Established _x000a_Accounts Receivable" totalsRowFunction="sum" dataDxfId="3670" totalsRowDxfId="3669"/>
    <tableColumn id="12" name="(L)_x000a_Recovered_x000a_ Accounts Receivable" totalsRowFunction="sum" dataDxfId="3668" totalsRowDxfId="3667"/>
    <tableColumn id="13" name="(M)_x000a_Accounts Receivable Balance_x000a_(K + L)" totalsRowFunction="sum" dataDxfId="3666" totalsRowDxfId="3665"/>
    <tableColumn id="14" name="(N)_x000a_Net Balance_x000a_(J minus M)" totalsRowFunction="sum" dataDxfId="3664" totalsRowDxfId="36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7.xml><?xml version="1.0" encoding="utf-8"?>
<table xmlns="http://schemas.openxmlformats.org/spreadsheetml/2006/main" id="187" name="Program296" displayName="Program296" ref="A717:N719" totalsRowCount="1" headerRowDxfId="3662" dataDxfId="3660" totalsRowDxfId="3658" headerRowBorderDxfId="3661" tableBorderDxfId="3659" totalsRowBorderDxfId="3657">
  <autoFilter ref="A717:N718"/>
  <tableColumns count="14">
    <tableColumn id="1" name="(A)_x000a_Program Name" totalsRowLabel="Total Program 296" dataDxfId="3656" totalsRowDxfId="3655"/>
    <tableColumn id="2" name="(B)_x000a_Fiscal _x000a_Year" totalsRowLabel="N/A" dataDxfId="3654" totalsRowDxfId="3653"/>
    <tableColumn id="3" name="(C)_x000a_Program_x000a_Costs" totalsRowFunction="sum" dataDxfId="3652" totalsRowDxfId="3651">
      <calculatedColumnFormula>SUBTOTAL(9,C717:C717)</calculatedColumnFormula>
    </tableColumn>
    <tableColumn id="4" name="(D)_x000a_Prior Period Adjustments" totalsRowFunction="sum" dataDxfId="3650" totalsRowDxfId="3649">
      <calculatedColumnFormula>SUBTOTAL(9,D717:D717)</calculatedColumnFormula>
    </tableColumn>
    <tableColumn id="5" name="(E)_x000a_Current Period Desk _x000a_Reviews" totalsRowFunction="sum" dataDxfId="3648" totalsRowDxfId="3647">
      <calculatedColumnFormula>SUBTOTAL(9,E717:E717)</calculatedColumnFormula>
    </tableColumn>
    <tableColumn id="6" name="(F)_x000a_Current Period _x000a_Final _x000a_Audits" totalsRowFunction="sum" dataDxfId="3646" totalsRowDxfId="3645">
      <calculatedColumnFormula>SUBTOTAL(9,F717:F717)</calculatedColumnFormula>
    </tableColumn>
    <tableColumn id="7" name="(G)_x000a_Current Period _x000a_Other Adjustments" totalsRowFunction="sum" dataDxfId="3644" totalsRowDxfId="3643">
      <calculatedColumnFormula>SUBTOTAL(9,G717:G717)</calculatedColumnFormula>
    </tableColumn>
    <tableColumn id="8" name="(H)_x000a_Net Program Costs_x000a_Sum (C through G)" totalsRowFunction="sum" dataDxfId="3642" totalsRowDxfId="3641">
      <calculatedColumnFormula>SUBTOTAL(9,H717:H717)</calculatedColumnFormula>
    </tableColumn>
    <tableColumn id="9" name="(I)_x000a_Payments_x000a_ and Offsets" totalsRowFunction="sum" dataDxfId="3640" totalsRowDxfId="3639">
      <calculatedColumnFormula>SUBTOTAL(9,I717:I717)</calculatedColumnFormula>
    </tableColumn>
    <tableColumn id="10" name="(J)_x000a_Accounts Payable Balance_x000a_(H + I)" totalsRowFunction="sum" dataDxfId="3638" totalsRowDxfId="3637">
      <calculatedColumnFormula>SUBTOTAL(9,J717:J717)</calculatedColumnFormula>
    </tableColumn>
    <tableColumn id="11" name="(K)_x000a_Established _x000a_Accounts Receivable" totalsRowFunction="sum" dataDxfId="3636" totalsRowDxfId="3635">
      <calculatedColumnFormula>SUBTOTAL(9,K717:K717)</calculatedColumnFormula>
    </tableColumn>
    <tableColumn id="12" name="(L)_x000a_Recovered_x000a_ Accounts Receivable" totalsRowFunction="sum" dataDxfId="3634" totalsRowDxfId="3633">
      <calculatedColumnFormula>SUBTOTAL(9,L717:L717)</calculatedColumnFormula>
    </tableColumn>
    <tableColumn id="13" name="(M)_x000a_Accounts Receivable Balance_x000a_(K + L)" totalsRowFunction="sum" dataDxfId="3632" totalsRowDxfId="3631">
      <calculatedColumnFormula>SUBTOTAL(9,M717:M717)</calculatedColumnFormula>
    </tableColumn>
    <tableColumn id="14" name="(N)_x000a_Net Balance_x000a_(J minus M)" totalsRowFunction="sum" dataDxfId="3630" totalsRowDxfId="3629">
      <calculatedColumnFormula>SUBTOTAL(9,N717:N717)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8.xml><?xml version="1.0" encoding="utf-8"?>
<table xmlns="http://schemas.openxmlformats.org/spreadsheetml/2006/main" id="188" name="Program297" displayName="Program297" ref="A721:N737" totalsRowCount="1" headerRowDxfId="3628" dataDxfId="3626" totalsRowDxfId="3624" headerRowBorderDxfId="3627" tableBorderDxfId="3625" totalsRowBorderDxfId="3623">
  <autoFilter ref="A721:N736"/>
  <tableColumns count="14">
    <tableColumn id="1" name="(A)_x000a_Program Name" totalsRowLabel="Total Program 297" dataDxfId="3622" totalsRowDxfId="3621"/>
    <tableColumn id="2" name="(B)_x000a_Fiscal _x000a_Year" totalsRowLabel="N/A" dataDxfId="3620" totalsRowDxfId="3619"/>
    <tableColumn id="3" name="(C)_x000a_Program_x000a_Costs" totalsRowFunction="sum" dataDxfId="3618" totalsRowDxfId="3617"/>
    <tableColumn id="4" name="(D)_x000a_Prior Period Adjustments" totalsRowFunction="sum" dataDxfId="3616" totalsRowDxfId="3615"/>
    <tableColumn id="5" name="(E)_x000a_Current Period Desk _x000a_Reviews" totalsRowFunction="sum" dataDxfId="3614" totalsRowDxfId="3613"/>
    <tableColumn id="6" name="(F)_x000a_Current Period _x000a_Final _x000a_Audits" totalsRowFunction="sum" dataDxfId="3612" totalsRowDxfId="3611"/>
    <tableColumn id="7" name="(G)_x000a_Current Period _x000a_Other Adjustments" totalsRowFunction="sum" dataDxfId="3610" totalsRowDxfId="3609"/>
    <tableColumn id="8" name="(H)_x000a_Net Program Costs_x000a_Sum (C through G)" totalsRowFunction="sum" dataDxfId="3608" totalsRowDxfId="3607"/>
    <tableColumn id="9" name="(I)_x000a_Payments_x000a_ and Offsets" totalsRowFunction="sum" dataDxfId="3606" totalsRowDxfId="3605"/>
    <tableColumn id="10" name="(J)_x000a_Accounts Payable Balance_x000a_(H + I)" totalsRowFunction="sum" dataDxfId="3604" totalsRowDxfId="3603"/>
    <tableColumn id="11" name="(K)_x000a_Established _x000a_Accounts Receivable" totalsRowFunction="sum" dataDxfId="3602" totalsRowDxfId="3601"/>
    <tableColumn id="12" name="(L)_x000a_Recovered_x000a_ Accounts Receivable" totalsRowFunction="sum" dataDxfId="3600" totalsRowDxfId="3599"/>
    <tableColumn id="13" name="(M)_x000a_Accounts Receivable Balance_x000a_(K + L)" totalsRowFunction="sum" dataDxfId="3598" totalsRowDxfId="3597"/>
    <tableColumn id="14" name="(N)_x000a_Net Balance_x000a_(J minus M)" totalsRowFunction="sum" dataDxfId="3596" totalsRowDxfId="35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89.xml><?xml version="1.0" encoding="utf-8"?>
<table xmlns="http://schemas.openxmlformats.org/spreadsheetml/2006/main" id="189" name="Program26" displayName="Program26" ref="A739:N764" totalsRowCount="1" headerRowDxfId="3594" dataDxfId="3592" totalsRowDxfId="3590" headerRowBorderDxfId="3593" tableBorderDxfId="3591" totalsRowBorderDxfId="3589">
  <autoFilter ref="A739:N763"/>
  <tableColumns count="14">
    <tableColumn id="1" name="(A)_x000a_Program Name" totalsRowLabel="Total Program 26" dataDxfId="3588" totalsRowDxfId="3587"/>
    <tableColumn id="2" name="(B)_x000a_Fiscal _x000a_Year" totalsRowLabel="N/A" dataDxfId="3586" totalsRowDxfId="3585"/>
    <tableColumn id="3" name="(C)_x000a_Program_x000a_Costs" totalsRowFunction="sum" dataDxfId="3584" totalsRowDxfId="3583"/>
    <tableColumn id="4" name="(D)_x000a_Prior Period Adjustments" totalsRowFunction="sum" dataDxfId="3582" totalsRowDxfId="3581"/>
    <tableColumn id="5" name="(E)_x000a_Current Period Desk _x000a_Reviews" totalsRowFunction="sum" dataDxfId="3580" totalsRowDxfId="3579"/>
    <tableColumn id="6" name="(F)_x000a_Current Period _x000a_Final _x000a_Audits" totalsRowFunction="sum" dataDxfId="3578" totalsRowDxfId="3577"/>
    <tableColumn id="7" name="(G)_x000a_Current Period _x000a_Other Adjustments" totalsRowFunction="sum" dataDxfId="3576" totalsRowDxfId="3575"/>
    <tableColumn id="8" name="(H)_x000a_Net Program Costs_x000a_Sum (C through G)" totalsRowFunction="sum" dataDxfId="3574" totalsRowDxfId="3573"/>
    <tableColumn id="9" name="(I)_x000a_Payments_x000a_ and Offsets" totalsRowFunction="sum" dataDxfId="3572" totalsRowDxfId="3571"/>
    <tableColumn id="10" name="(J)_x000a_Accounts Payable Balance_x000a_(H + I)" totalsRowFunction="sum" dataDxfId="3570" totalsRowDxfId="3569"/>
    <tableColumn id="11" name="(K)_x000a_Established _x000a_Accounts Receivable" totalsRowFunction="sum" dataDxfId="3568" totalsRowDxfId="3567"/>
    <tableColumn id="12" name="(L)_x000a_Recovered_x000a_ Accounts Receivable" totalsRowFunction="sum" dataDxfId="3566" totalsRowDxfId="3565"/>
    <tableColumn id="13" name="(M)_x000a_Accounts Receivable Balance_x000a_(K + L)" totalsRowFunction="sum" dataDxfId="3564" totalsRowDxfId="3563"/>
    <tableColumn id="14" name="(N)_x000a_Net Balance_x000a_(J minus M)" totalsRowFunction="sum" dataDxfId="3562" totalsRowDxfId="35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.xml><?xml version="1.0" encoding="utf-8"?>
<table xmlns="http://schemas.openxmlformats.org/spreadsheetml/2006/main" id="19" name="Program288" displayName="Program288" ref="A179:N182" totalsRowCount="1" headerRowDxfId="9370" dataDxfId="9368" totalsRowDxfId="9366" headerRowBorderDxfId="9369" tableBorderDxfId="9367" totalsRowBorderDxfId="9365">
  <autoFilter ref="A179:N181"/>
  <tableColumns count="14">
    <tableColumn id="1" name="(A)_x000a_Program Name" totalsRowLabel="Total Program 288" dataDxfId="9364" totalsRowDxfId="9363"/>
    <tableColumn id="2" name="(B)_x000a_Fiscal _x000a_Year" totalsRowLabel="N/A" dataDxfId="9362" totalsRowDxfId="9361"/>
    <tableColumn id="3" name="(C)_x000a_Program_x000a_Costs" totalsRowFunction="sum" dataDxfId="9360" totalsRowDxfId="9359"/>
    <tableColumn id="4" name="(D)_x000a_Prior Period Adjustments" totalsRowFunction="sum" dataDxfId="9358" totalsRowDxfId="9357"/>
    <tableColumn id="5" name="(E)_x000a_Current Period Desk _x000a_Reviews" totalsRowFunction="sum" dataDxfId="9356" totalsRowDxfId="9355"/>
    <tableColumn id="6" name="(F)_x000a_Current Period _x000a_Final _x000a_Audits" totalsRowFunction="sum" dataDxfId="9354" totalsRowDxfId="9353"/>
    <tableColumn id="7" name="(G)_x000a_Current Period _x000a_Other Adjustments" totalsRowFunction="sum" dataDxfId="9352" totalsRowDxfId="9351"/>
    <tableColumn id="8" name="(H)_x000a_Net Program Costs_x000a_Sum (C through G)" totalsRowFunction="sum" dataDxfId="9350" totalsRowDxfId="9349"/>
    <tableColumn id="9" name="(I)_x000a_Payments_x000a_ and Offsets" totalsRowFunction="sum" dataDxfId="9348" totalsRowDxfId="9347"/>
    <tableColumn id="10" name="(J)_x000a_Accounts Payable Balance_x000a_(H + I)" totalsRowFunction="sum" dataDxfId="9346" totalsRowDxfId="9345"/>
    <tableColumn id="11" name="(K)_x000a_Established _x000a_Accounts Receivable" totalsRowFunction="sum" dataDxfId="9344" totalsRowDxfId="9343"/>
    <tableColumn id="12" name="(L)_x000a_Recovered_x000a_ Accounts Receivable" totalsRowFunction="sum" dataDxfId="9342" totalsRowDxfId="9341"/>
    <tableColumn id="13" name="(M)_x000a_Accounts Receivable Balance_x000a_(K + L)" totalsRowFunction="sum" dataDxfId="9340" totalsRowDxfId="9339"/>
    <tableColumn id="14" name="(N)_x000a_Net Balance_x000a_(J minus M)" totalsRowFunction="sum" dataDxfId="9338" totalsRowDxfId="93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0.xml><?xml version="1.0" encoding="utf-8"?>
<table xmlns="http://schemas.openxmlformats.org/spreadsheetml/2006/main" id="190" name="Program226" displayName="Program226" ref="A766:N774" totalsRowCount="1" headerRowDxfId="3560" dataDxfId="3558" totalsRowDxfId="3556" headerRowBorderDxfId="3559" tableBorderDxfId="3557" totalsRowBorderDxfId="3555">
  <autoFilter ref="A766:N773"/>
  <tableColumns count="14">
    <tableColumn id="1" name="(A)_x000a_Program Name" totalsRowLabel="Total Program 226" dataDxfId="3554" totalsRowDxfId="3553"/>
    <tableColumn id="2" name="(B)_x000a_Fiscal _x000a_Year" totalsRowLabel="N/A" dataDxfId="3552" totalsRowDxfId="3551"/>
    <tableColumn id="3" name="(C)_x000a_Program_x000a_Costs" totalsRowFunction="sum" dataDxfId="3550" totalsRowDxfId="3549"/>
    <tableColumn id="4" name="(D)_x000a_Prior Period Adjustments" totalsRowFunction="sum" dataDxfId="3548" totalsRowDxfId="3547"/>
    <tableColumn id="5" name="(E)_x000a_Current Period Desk _x000a_Reviews" totalsRowFunction="sum" dataDxfId="3546" totalsRowDxfId="3545"/>
    <tableColumn id="6" name="(F)_x000a_Current Period _x000a_Final _x000a_Audits" totalsRowFunction="sum" dataDxfId="3544" totalsRowDxfId="3543"/>
    <tableColumn id="7" name="(G)_x000a_Current Period _x000a_Other Adjustments" totalsRowFunction="sum" dataDxfId="3542" totalsRowDxfId="3541"/>
    <tableColumn id="8" name="(H)_x000a_Net Program Costs_x000a_Sum (C through G)" totalsRowFunction="sum" dataDxfId="3540" totalsRowDxfId="3539"/>
    <tableColumn id="9" name="(I)_x000a_Payments_x000a_ and Offsets" totalsRowFunction="sum" dataDxfId="3538" totalsRowDxfId="3537"/>
    <tableColumn id="10" name="(J)_x000a_Accounts Payable Balance_x000a_(H + I)" totalsRowFunction="sum" dataDxfId="3536" totalsRowDxfId="3535"/>
    <tableColumn id="11" name="(K)_x000a_Established _x000a_Accounts Receivable" totalsRowFunction="sum" dataDxfId="3534" totalsRowDxfId="3533"/>
    <tableColumn id="12" name="(L)_x000a_Recovered_x000a_ Accounts Receivable" totalsRowFunction="sum" dataDxfId="3532" totalsRowDxfId="3531"/>
    <tableColumn id="13" name="(M)_x000a_Accounts Receivable Balance_x000a_(K + L)" totalsRowFunction="sum" dataDxfId="3530" totalsRowDxfId="3529"/>
    <tableColumn id="14" name="(N)_x000a_Net Balance_x000a_(J minus M)" totalsRowFunction="sum" dataDxfId="3528" totalsRowDxfId="35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1.xml><?xml version="1.0" encoding="utf-8"?>
<table xmlns="http://schemas.openxmlformats.org/spreadsheetml/2006/main" id="191" name="Program166" displayName="Program166" ref="A776:N801" totalsRowCount="1" headerRowDxfId="3526" dataDxfId="3524" totalsRowDxfId="3522" headerRowBorderDxfId="3525" tableBorderDxfId="3523" totalsRowBorderDxfId="3521">
  <autoFilter ref="A776:N800"/>
  <tableColumns count="14">
    <tableColumn id="1" name="(A)_x000a_Program Name" totalsRowLabel="Total Program 166" dataDxfId="3520" totalsRowDxfId="3519"/>
    <tableColumn id="2" name="(B)_x000a_Fiscal _x000a_Year" totalsRowLabel="N/A" dataDxfId="3518" totalsRowDxfId="3517"/>
    <tableColumn id="3" name="(C)_x000a_Program_x000a_Costs" totalsRowFunction="sum" dataDxfId="3516" totalsRowDxfId="3515"/>
    <tableColumn id="4" name="(D)_x000a_Prior Period Adjustments" totalsRowFunction="sum" dataDxfId="3514" totalsRowDxfId="3513"/>
    <tableColumn id="5" name="(E)_x000a_Current Period Desk _x000a_Reviews" totalsRowFunction="sum" dataDxfId="3512" totalsRowDxfId="3511"/>
    <tableColumn id="6" name="(F)_x000a_Current Period _x000a_Final _x000a_Audits" totalsRowFunction="sum" dataDxfId="3510" totalsRowDxfId="3509"/>
    <tableColumn id="7" name="(G)_x000a_Current Period _x000a_Other Adjustments" totalsRowFunction="sum" dataDxfId="3508" totalsRowDxfId="3507"/>
    <tableColumn id="8" name="(H)_x000a_Net Program Costs_x000a_Sum (C through G)" totalsRowFunction="sum" dataDxfId="3506" totalsRowDxfId="3505"/>
    <tableColumn id="9" name="(I)_x000a_Payments_x000a_ and Offsets" totalsRowFunction="sum" dataDxfId="3504" totalsRowDxfId="3503"/>
    <tableColumn id="10" name="(J)_x000a_Accounts Payable Balance_x000a_(H + I)" totalsRowFunction="sum" dataDxfId="3502" totalsRowDxfId="3501"/>
    <tableColumn id="11" name="(K)_x000a_Established _x000a_Accounts Receivable" totalsRowFunction="sum" dataDxfId="3500" totalsRowDxfId="3499"/>
    <tableColumn id="12" name="(L)_x000a_Recovered_x000a_ Accounts Receivable" totalsRowFunction="sum" dataDxfId="3498" totalsRowDxfId="3497"/>
    <tableColumn id="13" name="(M)_x000a_Accounts Receivable Balance_x000a_(K + L)" totalsRowFunction="sum" dataDxfId="3496" totalsRowDxfId="3495"/>
    <tableColumn id="14" name="(N)_x000a_Net Balance_x000a_(J minus M)" totalsRowFunction="sum" dataDxfId="3494" totalsRowDxfId="34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2.xml><?xml version="1.0" encoding="utf-8"?>
<table xmlns="http://schemas.openxmlformats.org/spreadsheetml/2006/main" id="192" name="Program268" displayName="Program268" ref="A803:N821" totalsRowCount="1" headerRowDxfId="3492" dataDxfId="3490" totalsRowDxfId="3488" headerRowBorderDxfId="3491" tableBorderDxfId="3489" totalsRowBorderDxfId="3487">
  <autoFilter ref="A803:N820"/>
  <tableColumns count="14">
    <tableColumn id="1" name="(A)_x000a_Program Name" totalsRowLabel="Total Program 268" dataDxfId="3486" totalsRowDxfId="3485"/>
    <tableColumn id="2" name="(B)_x000a_Fiscal _x000a_Year" totalsRowLabel="N/A" dataDxfId="3484" totalsRowDxfId="3483"/>
    <tableColumn id="3" name="(C)_x000a_Program_x000a_Costs" totalsRowFunction="sum" dataDxfId="3482" totalsRowDxfId="3481"/>
    <tableColumn id="4" name="(D)_x000a_Prior Period Adjustments" totalsRowFunction="sum" dataDxfId="3480" totalsRowDxfId="3479"/>
    <tableColumn id="5" name="(E)_x000a_Current Period Desk _x000a_Reviews" totalsRowFunction="sum" dataDxfId="3478" totalsRowDxfId="3477"/>
    <tableColumn id="6" name="(F)_x000a_Current Period _x000a_Final _x000a_Audits" totalsRowFunction="sum" dataDxfId="3476" totalsRowDxfId="3475"/>
    <tableColumn id="7" name="(G)_x000a_Current Period _x000a_Other Adjustments" totalsRowFunction="sum" dataDxfId="3474" totalsRowDxfId="3473"/>
    <tableColumn id="8" name="(H)_x000a_Net Program Costs_x000a_Sum (C through G)" totalsRowFunction="sum" dataDxfId="3472" totalsRowDxfId="3471"/>
    <tableColumn id="9" name="(I)_x000a_Payments_x000a_ and Offsets" totalsRowFunction="sum" dataDxfId="3470" totalsRowDxfId="3469"/>
    <tableColumn id="10" name="(J)_x000a_Accounts Payable Balance_x000a_(H + I)" totalsRowFunction="sum" dataDxfId="3468" totalsRowDxfId="3467"/>
    <tableColumn id="11" name="(K)_x000a_Established _x000a_Accounts Receivable" totalsRowFunction="sum" dataDxfId="3466" totalsRowDxfId="3465"/>
    <tableColumn id="12" name="(L)_x000a_Recovered_x000a_ Accounts Receivable" totalsRowFunction="sum" dataDxfId="3464" totalsRowDxfId="3463"/>
    <tableColumn id="13" name="(M)_x000a_Accounts Receivable Balance_x000a_(K + L)" totalsRowFunction="sum" dataDxfId="3462" totalsRowDxfId="3461"/>
    <tableColumn id="14" name="(N)_x000a_Net Balance_x000a_(J minus M)" totalsRowFunction="sum" dataDxfId="3460" totalsRowDxfId="34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3.xml><?xml version="1.0" encoding="utf-8"?>
<table xmlns="http://schemas.openxmlformats.org/spreadsheetml/2006/main" id="193" name="Program230" displayName="Program230" ref="A823:N842" totalsRowCount="1" headerRowDxfId="3458" dataDxfId="3456" totalsRowDxfId="3454" headerRowBorderDxfId="3457" tableBorderDxfId="3455" totalsRowBorderDxfId="3453">
  <autoFilter ref="A823:N841"/>
  <tableColumns count="14">
    <tableColumn id="1" name="(A)_x000a_Program Name" totalsRowLabel="Total Program 230" dataDxfId="3452" totalsRowDxfId="3451"/>
    <tableColumn id="2" name="(B)_x000a_Fiscal _x000a_Year" totalsRowLabel="N/A" dataDxfId="3450" totalsRowDxfId="3449"/>
    <tableColumn id="3" name="(C)_x000a_Program_x000a_Costs" totalsRowFunction="sum" dataDxfId="3448" totalsRowDxfId="3447"/>
    <tableColumn id="4" name="(D)_x000a_Prior Period Adjustments" totalsRowFunction="sum" dataDxfId="3446" totalsRowDxfId="3445"/>
    <tableColumn id="5" name="(E)_x000a_Current Period Desk _x000a_Reviews" totalsRowFunction="sum" dataDxfId="3444" totalsRowDxfId="3443"/>
    <tableColumn id="6" name="(F)_x000a_Current Period _x000a_Final _x000a_Audits" totalsRowFunction="sum" dataDxfId="3442" totalsRowDxfId="3441"/>
    <tableColumn id="7" name="(G)_x000a_Current Period _x000a_Other Adjustments" totalsRowFunction="sum" dataDxfId="3440" totalsRowDxfId="3439"/>
    <tableColumn id="8" name="(H)_x000a_Net Program Costs_x000a_Sum (C through G)" totalsRowFunction="sum" dataDxfId="3438" totalsRowDxfId="3437"/>
    <tableColumn id="9" name="(I)_x000a_Payments_x000a_ and Offsets" totalsRowFunction="sum" dataDxfId="3436" totalsRowDxfId="3435"/>
    <tableColumn id="10" name="(J)_x000a_Accounts Payable Balance_x000a_(H + I)" totalsRowFunction="sum" dataDxfId="3434" totalsRowDxfId="3433"/>
    <tableColumn id="11" name="(K)_x000a_Established _x000a_Accounts Receivable" totalsRowFunction="sum" dataDxfId="3432" totalsRowDxfId="3431"/>
    <tableColumn id="12" name="(L)_x000a_Recovered_x000a_ Accounts Receivable" totalsRowFunction="sum" dataDxfId="3430" totalsRowDxfId="3429"/>
    <tableColumn id="13" name="(M)_x000a_Accounts Receivable Balance_x000a_(K + L)" totalsRowFunction="sum" dataDxfId="3428" totalsRowDxfId="3427"/>
    <tableColumn id="14" name="(N)_x000a_Net Balance_x000a_(J minus M)" totalsRowFunction="sum" dataDxfId="3426" totalsRowDxfId="34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4.xml><?xml version="1.0" encoding="utf-8"?>
<table xmlns="http://schemas.openxmlformats.org/spreadsheetml/2006/main" id="194" name="Program368" displayName="Program368" ref="A844:N851" totalsRowCount="1" headerRowDxfId="3424" dataDxfId="3422" totalsRowDxfId="3420" headerRowBorderDxfId="3423" tableBorderDxfId="3421" totalsRowBorderDxfId="3419">
  <autoFilter ref="A844:N850"/>
  <tableColumns count="14">
    <tableColumn id="1" name="(A)_x000a_Program Name" totalsRowLabel="Total Program 368" dataDxfId="3418" totalsRowDxfId="3417"/>
    <tableColumn id="2" name="(B)_x000a_Fiscal _x000a_Year" totalsRowLabel="N/A" dataDxfId="3416" totalsRowDxfId="3415"/>
    <tableColumn id="3" name="(C)_x000a_Program_x000a_Costs" totalsRowFunction="sum" dataDxfId="3414" totalsRowDxfId="3413"/>
    <tableColumn id="4" name="(D)_x000a_Prior Period Adjustments" totalsRowFunction="sum" dataDxfId="3412" totalsRowDxfId="3411"/>
    <tableColumn id="5" name="(E)_x000a_Current Period Desk _x000a_Reviews" totalsRowFunction="sum" dataDxfId="3410" totalsRowDxfId="3409"/>
    <tableColumn id="6" name="(F)_x000a_Current Period _x000a_Final _x000a_Audits" totalsRowFunction="sum" dataDxfId="3408" totalsRowDxfId="3407"/>
    <tableColumn id="7" name="(G)_x000a_Current Period _x000a_Other Adjustments" totalsRowFunction="sum" dataDxfId="3406" totalsRowDxfId="3405"/>
    <tableColumn id="8" name="(H)_x000a_Net Program Costs_x000a_Sum (C through G)" totalsRowFunction="sum" dataDxfId="3404" totalsRowDxfId="3403"/>
    <tableColumn id="9" name="(I)_x000a_Payments_x000a_ and Offsets" totalsRowFunction="sum" dataDxfId="3402" totalsRowDxfId="3401"/>
    <tableColumn id="10" name="(J)_x000a_Accounts Payable Balance_x000a_(H + I)" totalsRowFunction="sum" dataDxfId="3400" totalsRowDxfId="3399"/>
    <tableColumn id="11" name="(K)_x000a_Established _x000a_Accounts Receivable" totalsRowFunction="sum" dataDxfId="3398" totalsRowDxfId="3397"/>
    <tableColumn id="12" name="(L)_x000a_Recovered_x000a_ Accounts Receivable" totalsRowFunction="sum" dataDxfId="3396" totalsRowDxfId="3395"/>
    <tableColumn id="13" name="(M)_x000a_Accounts Receivable Balance_x000a_(K + L)" totalsRowFunction="sum" dataDxfId="3394" totalsRowDxfId="3393"/>
    <tableColumn id="14" name="(N)_x000a_Net Balance_x000a_(J minus M)" totalsRowFunction="sum" dataDxfId="3392" totalsRowDxfId="33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5.xml><?xml version="1.0" encoding="utf-8"?>
<table xmlns="http://schemas.openxmlformats.org/spreadsheetml/2006/main" id="195" name="Program357" displayName="Program357" ref="A853:N862" totalsRowCount="1" headerRowDxfId="3390" dataDxfId="3388" totalsRowDxfId="3386" headerRowBorderDxfId="3389" tableBorderDxfId="3387" totalsRowBorderDxfId="3385">
  <autoFilter ref="A853:N861"/>
  <tableColumns count="14">
    <tableColumn id="1" name="(A)_x000a_Program Name" totalsRowLabel="Total Program 357" dataDxfId="3384" totalsRowDxfId="3383"/>
    <tableColumn id="2" name="(B)_x000a_Fiscal _x000a_Year" totalsRowLabel="N/A" dataDxfId="3382" totalsRowDxfId="3381"/>
    <tableColumn id="3" name="(C)_x000a_Program_x000a_Costs" totalsRowFunction="sum" dataDxfId="3380" totalsRowDxfId="3379"/>
    <tableColumn id="4" name="(D)_x000a_Prior Period Adjustments" totalsRowFunction="sum" dataDxfId="3378" totalsRowDxfId="3377"/>
    <tableColumn id="5" name="(E)_x000a_Current Period Desk _x000a_Reviews" totalsRowFunction="sum" dataDxfId="3376" totalsRowDxfId="3375"/>
    <tableColumn id="6" name="(F)_x000a_Current Period _x000a_Final _x000a_Audits" totalsRowFunction="sum" dataDxfId="3374" totalsRowDxfId="3373"/>
    <tableColumn id="7" name="(G)_x000a_Current Period _x000a_Other Adjustments" totalsRowFunction="sum" dataDxfId="3372" totalsRowDxfId="3371"/>
    <tableColumn id="8" name="(H)_x000a_Net Program Costs_x000a_Sum (C through G)" totalsRowFunction="sum" dataDxfId="3370" totalsRowDxfId="3369"/>
    <tableColumn id="9" name="(I)_x000a_Payments_x000a_ and Offsets" totalsRowFunction="sum" dataDxfId="3368" totalsRowDxfId="3367"/>
    <tableColumn id="10" name="(J)_x000a_Accounts Payable Balance_x000a_(H + I)" totalsRowFunction="sum" dataDxfId="3366" totalsRowDxfId="3365"/>
    <tableColumn id="11" name="(K)_x000a_Established _x000a_Accounts Receivable" totalsRowFunction="sum" dataDxfId="3364" totalsRowDxfId="3363"/>
    <tableColumn id="12" name="(L)_x000a_Recovered_x000a_ Accounts Receivable" totalsRowFunction="sum" dataDxfId="3362" totalsRowDxfId="3361"/>
    <tableColumn id="13" name="(M)_x000a_Accounts Receivable Balance_x000a_(K + L)" totalsRowFunction="sum" dataDxfId="3360" totalsRowDxfId="3359"/>
    <tableColumn id="14" name="(N)_x000a_Net Balance_x000a_(J minus M)" totalsRowFunction="sum" dataDxfId="3358" totalsRowDxfId="33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6.xml><?xml version="1.0" encoding="utf-8"?>
<table xmlns="http://schemas.openxmlformats.org/spreadsheetml/2006/main" id="196" name="Program32" displayName="Program32" ref="A864:N897" totalsRowCount="1" headerRowDxfId="3356" dataDxfId="3354" totalsRowDxfId="3352" headerRowBorderDxfId="3355" tableBorderDxfId="3353" totalsRowBorderDxfId="3351">
  <autoFilter ref="A864:N896"/>
  <tableColumns count="14">
    <tableColumn id="1" name="(A)_x000a_Program Name" totalsRowLabel="Total Program 32" dataDxfId="3350" totalsRowDxfId="3349"/>
    <tableColumn id="2" name="(B)_x000a_Fiscal _x000a_Year" totalsRowLabel="N/A" dataDxfId="3348" totalsRowDxfId="3347"/>
    <tableColumn id="3" name="(C)_x000a_Program_x000a_Costs" totalsRowFunction="sum" dataDxfId="3346" totalsRowDxfId="3345"/>
    <tableColumn id="4" name="(D)_x000a_Prior Period Adjustments" totalsRowFunction="sum" dataDxfId="3344" totalsRowDxfId="3343"/>
    <tableColumn id="5" name="(E)_x000a_Current Period Desk _x000a_Reviews" totalsRowFunction="sum" dataDxfId="3342" totalsRowDxfId="3341"/>
    <tableColumn id="6" name="(F)_x000a_Current Period _x000a_Final _x000a_Audits" totalsRowFunction="sum" dataDxfId="3340" totalsRowDxfId="3339"/>
    <tableColumn id="7" name="(G)_x000a_Current Period _x000a_Other Adjustments" totalsRowFunction="sum" dataDxfId="3338" totalsRowDxfId="3337"/>
    <tableColumn id="8" name="(H)_x000a_Net Program Costs_x000a_Sum (C through G)" totalsRowFunction="sum" dataDxfId="3336" totalsRowDxfId="3335"/>
    <tableColumn id="9" name="(I)_x000a_Payments_x000a_ and Offsets" totalsRowFunction="sum" dataDxfId="3334" totalsRowDxfId="3333"/>
    <tableColumn id="10" name="(J)_x000a_Accounts Payable Balance_x000a_(H + I)" totalsRowFunction="sum" dataDxfId="3332" totalsRowDxfId="3331"/>
    <tableColumn id="11" name="(K)_x000a_Established _x000a_Accounts Receivable" totalsRowFunction="sum" dataDxfId="3330" totalsRowDxfId="3329"/>
    <tableColumn id="12" name="(L)_x000a_Recovered_x000a_ Accounts Receivable" totalsRowFunction="sum" dataDxfId="3328" totalsRowDxfId="3327"/>
    <tableColumn id="13" name="(M)_x000a_Accounts Receivable Balance_x000a_(K + L)" totalsRowFunction="sum" dataDxfId="3326" totalsRowDxfId="3325"/>
    <tableColumn id="14" name="(N)_x000a_Net Balance_x000a_(J minus M)" totalsRowFunction="sum" dataDxfId="3324" totalsRowDxfId="33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7.xml><?xml version="1.0" encoding="utf-8"?>
<table xmlns="http://schemas.openxmlformats.org/spreadsheetml/2006/main" id="197" name="Program148" displayName="Program148" ref="A899:N924" totalsRowCount="1" headerRowDxfId="3322" dataDxfId="3320" totalsRowDxfId="3318" headerRowBorderDxfId="3321" tableBorderDxfId="3319" totalsRowBorderDxfId="3317">
  <autoFilter ref="A899:N923"/>
  <tableColumns count="14">
    <tableColumn id="1" name="(A)_x000a_Program Name" totalsRowLabel="Total Program 148" dataDxfId="3316" totalsRowDxfId="3315"/>
    <tableColumn id="2" name="(B)_x000a_Fiscal _x000a_Year" totalsRowLabel="N/A" dataDxfId="3314" totalsRowDxfId="3313"/>
    <tableColumn id="3" name="(C)_x000a_Program_x000a_Costs" totalsRowFunction="sum" dataDxfId="3312" totalsRowDxfId="3311"/>
    <tableColumn id="4" name="(D)_x000a_Prior Period Adjustments" totalsRowFunction="sum" dataDxfId="3310" totalsRowDxfId="3309"/>
    <tableColumn id="5" name="(E)_x000a_Current Period Desk _x000a_Reviews" totalsRowFunction="sum" dataDxfId="3308" totalsRowDxfId="3307"/>
    <tableColumn id="6" name="(F)_x000a_Current Period _x000a_Final _x000a_Audits" totalsRowFunction="sum" dataDxfId="3306" totalsRowDxfId="3305"/>
    <tableColumn id="7" name="(G)_x000a_Current Period _x000a_Other Adjustments" totalsRowFunction="sum" dataDxfId="3304" totalsRowDxfId="3303"/>
    <tableColumn id="8" name="(H)_x000a_Net Program Costs_x000a_Sum (C through G)" totalsRowFunction="sum" dataDxfId="3302" totalsRowDxfId="3301"/>
    <tableColumn id="9" name="(I)_x000a_Payments_x000a_ and Offsets" totalsRowFunction="sum" dataDxfId="3300" totalsRowDxfId="3299"/>
    <tableColumn id="10" name="(J)_x000a_Accounts Payable Balance_x000a_(H + I)" totalsRowFunction="sum" dataDxfId="3298" totalsRowDxfId="3297"/>
    <tableColumn id="11" name="(K)_x000a_Established _x000a_Accounts Receivable" totalsRowFunction="sum" dataDxfId="3296" totalsRowDxfId="3295"/>
    <tableColumn id="12" name="(L)_x000a_Recovered_x000a_ Accounts Receivable" totalsRowFunction="sum" dataDxfId="3294" totalsRowDxfId="3293"/>
    <tableColumn id="13" name="(M)_x000a_Accounts Receivable Balance_x000a_(K + L)" totalsRowFunction="sum" dataDxfId="3292" totalsRowDxfId="3291"/>
    <tableColumn id="14" name="(N)_x000a_Net Balance_x000a_(J minus M)" totalsRowFunction="sum" dataDxfId="3290" totalsRowDxfId="32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8.xml><?xml version="1.0" encoding="utf-8"?>
<table xmlns="http://schemas.openxmlformats.org/spreadsheetml/2006/main" id="198" name="Program149" displayName="Program149" ref="A926:N939" totalsRowCount="1" headerRowDxfId="3288" dataDxfId="3286" totalsRowDxfId="3284" headerRowBorderDxfId="3287" tableBorderDxfId="3285" totalsRowBorderDxfId="3283">
  <autoFilter ref="A926:N938"/>
  <tableColumns count="14">
    <tableColumn id="1" name="(A)_x000a_Program Name" totalsRowLabel="Total Program 149" dataDxfId="3282" totalsRowDxfId="3281"/>
    <tableColumn id="2" name="(B)_x000a_Fiscal _x000a_Year" totalsRowLabel="N/A" dataDxfId="3280" totalsRowDxfId="3279"/>
    <tableColumn id="3" name="(C)_x000a_Program_x000a_Costs" totalsRowFunction="sum" dataDxfId="3278" totalsRowDxfId="3277"/>
    <tableColumn id="4" name="(D)_x000a_Prior Period Adjustments" totalsRowFunction="sum" dataDxfId="3276" totalsRowDxfId="3275"/>
    <tableColumn id="5" name="(E)_x000a_Current Period Desk _x000a_Reviews" totalsRowFunction="sum" dataDxfId="3274" totalsRowDxfId="3273"/>
    <tableColumn id="6" name="(F)_x000a_Current Period _x000a_Final _x000a_Audits" totalsRowFunction="sum" dataDxfId="3272" totalsRowDxfId="3271"/>
    <tableColumn id="7" name="(G)_x000a_Current Period _x000a_Other Adjustments" totalsRowFunction="sum" dataDxfId="3270" totalsRowDxfId="3269"/>
    <tableColumn id="8" name="(H)_x000a_Net Program Costs_x000a_Sum (C through G)" totalsRowFunction="sum" dataDxfId="3268" totalsRowDxfId="3267"/>
    <tableColumn id="9" name="(I)_x000a_Payments_x000a_ and Offsets" totalsRowFunction="sum" dataDxfId="3266" totalsRowDxfId="3265"/>
    <tableColumn id="10" name="(J)_x000a_Accounts Payable Balance_x000a_(H + I)" totalsRowFunction="sum" dataDxfId="3264" totalsRowDxfId="3263"/>
    <tableColumn id="11" name="(K)_x000a_Established _x000a_Accounts Receivable" totalsRowFunction="sum" dataDxfId="3262" totalsRowDxfId="3261"/>
    <tableColumn id="12" name="(L)_x000a_Recovered_x000a_ Accounts Receivable" totalsRowFunction="sum" dataDxfId="3260" totalsRowDxfId="3259"/>
    <tableColumn id="13" name="(M)_x000a_Accounts Receivable Balance_x000a_(K + L)" totalsRowFunction="sum" dataDxfId="3258" totalsRowDxfId="3257"/>
    <tableColumn id="14" name="(N)_x000a_Net Balance_x000a_(J minus M)" totalsRowFunction="sum" dataDxfId="3256" totalsRowDxfId="32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199.xml><?xml version="1.0" encoding="utf-8"?>
<table xmlns="http://schemas.openxmlformats.org/spreadsheetml/2006/main" id="199" name="Program153" displayName="Program153" ref="A941:N968" totalsRowCount="1" headerRowDxfId="3254" dataDxfId="3252" totalsRowDxfId="3250" headerRowBorderDxfId="3253" tableBorderDxfId="3251" totalsRowBorderDxfId="3249">
  <autoFilter ref="A941:N967"/>
  <tableColumns count="14">
    <tableColumn id="1" name="(A)_x000a_Program Name" totalsRowLabel="Total Program 153" dataDxfId="3248" totalsRowDxfId="3247"/>
    <tableColumn id="2" name="(B)_x000a_Fiscal _x000a_Year" totalsRowLabel="N/A" dataDxfId="3246" totalsRowDxfId="3245"/>
    <tableColumn id="3" name="(C)_x000a_Program_x000a_Costs" totalsRowFunction="sum" dataDxfId="3244" totalsRowDxfId="3243"/>
    <tableColumn id="4" name="(D)_x000a_Prior Period Adjustments" totalsRowFunction="sum" dataDxfId="3242" totalsRowDxfId="3241"/>
    <tableColumn id="5" name="(E)_x000a_Current Period Desk _x000a_Reviews" totalsRowFunction="sum" dataDxfId="3240" totalsRowDxfId="3239"/>
    <tableColumn id="6" name="(F)_x000a_Current Period _x000a_Final _x000a_Audits" totalsRowFunction="sum" dataDxfId="3238" totalsRowDxfId="3237"/>
    <tableColumn id="7" name="(G)_x000a_Current Period _x000a_Other Adjustments" totalsRowFunction="sum" dataDxfId="3236" totalsRowDxfId="3235"/>
    <tableColumn id="8" name="(H)_x000a_Net Program Costs_x000a_Sum (C through G)" totalsRowFunction="sum" dataDxfId="3234" totalsRowDxfId="3233"/>
    <tableColumn id="9" name="(I)_x000a_Payments_x000a_ and Offsets" totalsRowFunction="sum" dataDxfId="3232" totalsRowDxfId="3231"/>
    <tableColumn id="10" name="(J)_x000a_Accounts Payable Balance_x000a_(H + I)" totalsRowFunction="sum" dataDxfId="3230" totalsRowDxfId="3229"/>
    <tableColumn id="11" name="(K)_x000a_Established _x000a_Accounts Receivable" totalsRowFunction="sum" dataDxfId="3228" totalsRowDxfId="3227"/>
    <tableColumn id="12" name="(L)_x000a_Recovered_x000a_ Accounts Receivable" totalsRowFunction="sum" dataDxfId="3226" totalsRowDxfId="3225"/>
    <tableColumn id="13" name="(M)_x000a_Accounts Receivable Balance_x000a_(K + L)" totalsRowFunction="sum" dataDxfId="3224" totalsRowDxfId="3223"/>
    <tableColumn id="14" name="(N)_x000a_Net Balance_x000a_(J minus M)" totalsRowFunction="sum" dataDxfId="3222" totalsRowDxfId="32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.xml><?xml version="1.0" encoding="utf-8"?>
<table xmlns="http://schemas.openxmlformats.org/spreadsheetml/2006/main" id="3" name="CumulativeAdjustments" displayName="CumulativeAdjustments" ref="A8:F11" totalsRowCount="1" headerRowDxfId="9849" dataDxfId="9847" totalsRowDxfId="9845" headerRowBorderDxfId="9848" tableBorderDxfId="9846" totalsRowBorderDxfId="9844">
  <autoFilter ref="A8:F10"/>
  <tableColumns count="6">
    <tableColumn id="1" name="Program Costs, Audit Adjustments and Balances" totalsRowLabel="Total Cumulative Adjustments" dataDxfId="9843" totalsRowDxfId="9842"/>
    <tableColumn id="2" name="Comments" totalsRowLabel="N/A" dataDxfId="9841" totalsRowDxfId="9840"/>
    <tableColumn id="3" name="Local Agencies" totalsRowFunction="sum" dataDxfId="9839" totalsRowDxfId="9838"/>
    <tableColumn id="4" name="School Districts" totalsRowFunction="sum" dataDxfId="9837" totalsRowDxfId="9836"/>
    <tableColumn id="5" name="Community College Districts" totalsRowFunction="sum" dataDxfId="9835" totalsRowDxfId="9834"/>
    <tableColumn id="6" name="Grand Total" totalsRowFunction="sum" dataDxfId="9833" totalsRowDxfId="983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20.xml><?xml version="1.0" encoding="utf-8"?>
<table xmlns="http://schemas.openxmlformats.org/spreadsheetml/2006/main" id="20" name="Program353" displayName="Program353" ref="A184:N198" totalsRowCount="1" headerRowDxfId="9336" dataDxfId="9334" totalsRowDxfId="9332" headerRowBorderDxfId="9335" tableBorderDxfId="9333" totalsRowBorderDxfId="9331">
  <autoFilter ref="A184:N197"/>
  <tableColumns count="14">
    <tableColumn id="1" name="(A)_x000a_Program Name" totalsRowLabel="Total Program 353" dataDxfId="9330" totalsRowDxfId="9329"/>
    <tableColumn id="2" name="(B)_x000a_Fiscal _x000a_Year" totalsRowLabel="N/A" dataDxfId="9328" totalsRowDxfId="9327"/>
    <tableColumn id="3" name="(C)_x000a_Program_x000a_Costs" totalsRowFunction="sum" dataDxfId="9326" totalsRowDxfId="9325"/>
    <tableColumn id="4" name="(D)_x000a_Prior Period Adjustments" totalsRowFunction="sum" dataDxfId="9324" totalsRowDxfId="9323"/>
    <tableColumn id="5" name="(E)_x000a_Current Period Desk _x000a_Reviews" totalsRowFunction="sum" dataDxfId="9322" totalsRowDxfId="9321"/>
    <tableColumn id="6" name="(F)_x000a_Current Period _x000a_Final _x000a_Audits" totalsRowFunction="sum" dataDxfId="9320" totalsRowDxfId="9319"/>
    <tableColumn id="7" name="(G)_x000a_Current Period _x000a_Other Adjustments" totalsRowFunction="sum" dataDxfId="9318" totalsRowDxfId="9317"/>
    <tableColumn id="8" name="(H)_x000a_Net Program Costs_x000a_Sum (C through G)" totalsRowFunction="sum" dataDxfId="9316" totalsRowDxfId="9315"/>
    <tableColumn id="9" name="(I)_x000a_Payments_x000a_ and Offsets" totalsRowFunction="sum" dataDxfId="9314" totalsRowDxfId="9313"/>
    <tableColumn id="10" name="(J)_x000a_Accounts Payable Balance_x000a_(H + I)" totalsRowFunction="sum" dataDxfId="9312" totalsRowDxfId="9311"/>
    <tableColumn id="11" name="(K)_x000a_Established _x000a_Accounts Receivable" totalsRowFunction="sum" dataDxfId="9310" totalsRowDxfId="9309"/>
    <tableColumn id="12" name="(L)_x000a_Recovered_x000a_ Accounts Receivable" totalsRowFunction="sum" dataDxfId="9308" totalsRowDxfId="9307"/>
    <tableColumn id="13" name="(M)_x000a_Accounts Receivable Balance_x000a_(K + L)" totalsRowFunction="sum" dataDxfId="9306" totalsRowDxfId="9305"/>
    <tableColumn id="14" name="(N)_x000a_Net Balance_x000a_(J minus M)" totalsRowFunction="sum" dataDxfId="9304" totalsRowDxfId="93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0.xml><?xml version="1.0" encoding="utf-8"?>
<table xmlns="http://schemas.openxmlformats.org/spreadsheetml/2006/main" id="200" name="Program169" displayName="Program169" ref="A970:N980" totalsRowCount="1" headerRowDxfId="3220" dataDxfId="3218" totalsRowDxfId="3216" headerRowBorderDxfId="3219" tableBorderDxfId="3217" totalsRowBorderDxfId="3215">
  <autoFilter ref="A970:N979"/>
  <tableColumns count="14">
    <tableColumn id="1" name="(A)_x000a_Program Name" totalsRowLabel="Total Program 169" dataDxfId="3214" totalsRowDxfId="3213"/>
    <tableColumn id="2" name="(B)_x000a_Fiscal _x000a_Year" totalsRowLabel="N/A" dataDxfId="3212" totalsRowDxfId="3211"/>
    <tableColumn id="3" name="(C)_x000a_Program_x000a_Costs" totalsRowFunction="sum" dataDxfId="3210" totalsRowDxfId="3209"/>
    <tableColumn id="4" name="(D)_x000a_Prior Period Adjustments" totalsRowFunction="sum" dataDxfId="3208" totalsRowDxfId="3207"/>
    <tableColumn id="5" name="(E)_x000a_Current Period Desk _x000a_Reviews" totalsRowFunction="sum" dataDxfId="3206" totalsRowDxfId="3205"/>
    <tableColumn id="6" name="(F)_x000a_Current Period _x000a_Final _x000a_Audits" totalsRowFunction="sum" dataDxfId="3204" totalsRowDxfId="3203"/>
    <tableColumn id="7" name="(G)_x000a_Current Period _x000a_Other Adjustments" totalsRowFunction="sum" dataDxfId="3202" totalsRowDxfId="3201"/>
    <tableColumn id="8" name="(H)_x000a_Net Program Costs_x000a_Sum (C through G)" totalsRowFunction="sum" dataDxfId="3200" totalsRowDxfId="3199"/>
    <tableColumn id="9" name="(I)_x000a_Payments_x000a_ and Offsets" totalsRowFunction="sum" dataDxfId="3198" totalsRowDxfId="3197"/>
    <tableColumn id="10" name="(J)_x000a_Accounts Payable Balance_x000a_(H + I)" totalsRowFunction="sum" dataDxfId="3196" totalsRowDxfId="3195"/>
    <tableColumn id="11" name="(K)_x000a_Established _x000a_Accounts Receivable" totalsRowFunction="sum" dataDxfId="3194" totalsRowDxfId="3193"/>
    <tableColumn id="12" name="(L)_x000a_Recovered_x000a_ Accounts Receivable" totalsRowFunction="sum" dataDxfId="3192" totalsRowDxfId="3191"/>
    <tableColumn id="13" name="(M)_x000a_Accounts Receivable Balance_x000a_(K + L)" totalsRowFunction="sum" dataDxfId="3190" totalsRowDxfId="3189"/>
    <tableColumn id="14" name="(N)_x000a_Net Balance_x000a_(J minus M)" totalsRowFunction="sum" dataDxfId="3188" totalsRowDxfId="31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1.xml><?xml version="1.0" encoding="utf-8"?>
<table xmlns="http://schemas.openxmlformats.org/spreadsheetml/2006/main" id="201" name="Program155" displayName="Program155" ref="A982:N1007" totalsRowCount="1" headerRowDxfId="3186" dataDxfId="3184" totalsRowDxfId="3182" headerRowBorderDxfId="3185" tableBorderDxfId="3183" totalsRowBorderDxfId="3181">
  <autoFilter ref="A982:N1006"/>
  <tableColumns count="14">
    <tableColumn id="1" name="(A)_x000a_Program Name" totalsRowLabel="Total Program 155" dataDxfId="3180" totalsRowDxfId="3179"/>
    <tableColumn id="2" name="(B)_x000a_Fiscal _x000a_Year" totalsRowLabel="N/A" dataDxfId="3178" totalsRowDxfId="3177"/>
    <tableColumn id="3" name="(C)_x000a_Program_x000a_Costs" totalsRowFunction="sum" dataDxfId="3176" totalsRowDxfId="3175"/>
    <tableColumn id="4" name="(D)_x000a_Prior Period Adjustments" totalsRowFunction="sum" dataDxfId="3174" totalsRowDxfId="3173"/>
    <tableColumn id="5" name="(E)_x000a_Current Period Desk _x000a_Reviews" totalsRowFunction="sum" dataDxfId="3172" totalsRowDxfId="3171"/>
    <tableColumn id="6" name="(F)_x000a_Current Period _x000a_Final _x000a_Audits" totalsRowFunction="sum" dataDxfId="3170" totalsRowDxfId="3169"/>
    <tableColumn id="7" name="(G)_x000a_Current Period _x000a_Other Adjustments" totalsRowFunction="sum" dataDxfId="3168" totalsRowDxfId="3167"/>
    <tableColumn id="8" name="(H)_x000a_Net Program Costs_x000a_Sum (C through G)" totalsRowFunction="sum" dataDxfId="3166" totalsRowDxfId="3165"/>
    <tableColumn id="9" name="(I)_x000a_Payments_x000a_ and Offsets" totalsRowFunction="sum" dataDxfId="3164" totalsRowDxfId="3163"/>
    <tableColumn id="10" name="(J)_x000a_Accounts Payable Balance_x000a_(H + I)" totalsRowFunction="sum" dataDxfId="3162" totalsRowDxfId="3161"/>
    <tableColumn id="11" name="(K)_x000a_Established _x000a_Accounts Receivable" totalsRowFunction="sum" dataDxfId="3160" totalsRowDxfId="3159"/>
    <tableColumn id="12" name="(L)_x000a_Recovered_x000a_ Accounts Receivable" totalsRowFunction="sum" dataDxfId="3158" totalsRowDxfId="3157"/>
    <tableColumn id="13" name="(M)_x000a_Accounts Receivable Balance_x000a_(K + L)" totalsRowFunction="sum" dataDxfId="3156" totalsRowDxfId="3155"/>
    <tableColumn id="14" name="(N)_x000a_Net Balance_x000a_(J minus M)" totalsRowFunction="sum" dataDxfId="3154" totalsRowDxfId="31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2.xml><?xml version="1.0" encoding="utf-8"?>
<table xmlns="http://schemas.openxmlformats.org/spreadsheetml/2006/main" id="202" name="Program36" displayName="Program36" ref="A1009:N1016" totalsRowCount="1" headerRowDxfId="3152" dataDxfId="3150" totalsRowDxfId="3148" headerRowBorderDxfId="3151" tableBorderDxfId="3149" totalsRowBorderDxfId="3147">
  <autoFilter ref="A1009:N1015"/>
  <tableColumns count="14">
    <tableColumn id="1" name="(A)_x000a_Program Name" totalsRowLabel="Total Program 36" dataDxfId="3146" totalsRowDxfId="3145"/>
    <tableColumn id="2" name="(B)_x000a_Fiscal _x000a_Year" totalsRowLabel="N/A" dataDxfId="3144" totalsRowDxfId="3143"/>
    <tableColumn id="3" name="(C)_x000a_Program_x000a_Costs" totalsRowFunction="sum" dataDxfId="3142" totalsRowDxfId="3141"/>
    <tableColumn id="4" name="(D)_x000a_Prior Period Adjustments" totalsRowFunction="sum" dataDxfId="3140" totalsRowDxfId="3139"/>
    <tableColumn id="5" name="(E)_x000a_Current Period Desk _x000a_Reviews" totalsRowFunction="sum" dataDxfId="3138" totalsRowDxfId="3137"/>
    <tableColumn id="6" name="(F)_x000a_Current Period _x000a_Final _x000a_Audits" totalsRowFunction="sum" dataDxfId="3136" totalsRowDxfId="3135"/>
    <tableColumn id="7" name="(G)_x000a_Current Period _x000a_Other Adjustments" totalsRowFunction="sum" dataDxfId="3134" totalsRowDxfId="3133"/>
    <tableColumn id="8" name="(H)_x000a_Net Program Costs_x000a_Sum (C through G)" totalsRowFunction="sum" dataDxfId="3132" totalsRowDxfId="3131"/>
    <tableColumn id="9" name="(I)_x000a_Payments_x000a_ and Offsets" totalsRowFunction="sum" dataDxfId="3130" totalsRowDxfId="3129"/>
    <tableColumn id="10" name="(J)_x000a_Accounts Payable Balance_x000a_(H + I)" totalsRowFunction="sum" dataDxfId="3128" totalsRowDxfId="3127"/>
    <tableColumn id="11" name="(K)_x000a_Established _x000a_Accounts Receivable" totalsRowFunction="sum" dataDxfId="3126" totalsRowDxfId="3125"/>
    <tableColumn id="12" name="(L)_x000a_Recovered_x000a_ Accounts Receivable" totalsRowFunction="sum" dataDxfId="3124" totalsRowDxfId="3123"/>
    <tableColumn id="13" name="(M)_x000a_Accounts Receivable Balance_x000a_(K + L)" totalsRowFunction="sum" dataDxfId="3122" totalsRowDxfId="3121"/>
    <tableColumn id="14" name="(N)_x000a_Net Balance_x000a_(J minus M)" totalsRowFunction="sum" dataDxfId="3120" totalsRowDxfId="31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3.xml><?xml version="1.0" encoding="utf-8"?>
<table xmlns="http://schemas.openxmlformats.org/spreadsheetml/2006/main" id="203" name="Program157" displayName="Program157" ref="A1018:N1033" totalsRowCount="1" headerRowDxfId="3118" dataDxfId="3116" totalsRowDxfId="3114" headerRowBorderDxfId="3117" tableBorderDxfId="3115" totalsRowBorderDxfId="3113">
  <autoFilter ref="A1018:N1032"/>
  <tableColumns count="14">
    <tableColumn id="1" name="(A)_x000a_Program Name" totalsRowLabel="Total Program 157" dataDxfId="3112" totalsRowDxfId="3111"/>
    <tableColumn id="2" name="(B)_x000a_Fiscal _x000a_Year" totalsRowLabel="N/A" dataDxfId="3110" totalsRowDxfId="3109"/>
    <tableColumn id="3" name="(C)_x000a_Program_x000a_Costs" totalsRowFunction="sum" dataDxfId="3108" totalsRowDxfId="3107"/>
    <tableColumn id="4" name="(D)_x000a_Prior Period Adjustments" totalsRowFunction="sum" dataDxfId="3106" totalsRowDxfId="3105"/>
    <tableColumn id="5" name="(E)_x000a_Current Period Desk _x000a_Reviews" totalsRowFunction="sum" dataDxfId="3104" totalsRowDxfId="3103"/>
    <tableColumn id="6" name="(F)_x000a_Current Period _x000a_Final _x000a_Audits" totalsRowFunction="sum" dataDxfId="3102" totalsRowDxfId="3101"/>
    <tableColumn id="7" name="(G)_x000a_Current Period _x000a_Other Adjustments" totalsRowFunction="sum" dataDxfId="3100" totalsRowDxfId="3099"/>
    <tableColumn id="8" name="(H)_x000a_Net Program Costs_x000a_Sum (C through G)" totalsRowFunction="sum" dataDxfId="3098" totalsRowDxfId="3097"/>
    <tableColumn id="9" name="(I)_x000a_Payments_x000a_ and Offsets" totalsRowFunction="sum" dataDxfId="3096" totalsRowDxfId="3095"/>
    <tableColumn id="10" name="(J)_x000a_Accounts Payable Balance_x000a_(H + I)" totalsRowFunction="sum" dataDxfId="3094" totalsRowDxfId="3093"/>
    <tableColumn id="11" name="(K)_x000a_Established _x000a_Accounts Receivable" totalsRowFunction="sum" dataDxfId="3092" totalsRowDxfId="3091"/>
    <tableColumn id="12" name="(L)_x000a_Recovered_x000a_ Accounts Receivable" totalsRowFunction="sum" dataDxfId="3090" totalsRowDxfId="3089"/>
    <tableColumn id="13" name="(M)_x000a_Accounts Receivable Balance_x000a_(K + L)" totalsRowFunction="sum" dataDxfId="3088" totalsRowDxfId="3087"/>
    <tableColumn id="14" name="(N)_x000a_Net Balance_x000a_(J minus M)" totalsRowFunction="sum" dataDxfId="3086" totalsRowDxfId="30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4.xml><?xml version="1.0" encoding="utf-8"?>
<table xmlns="http://schemas.openxmlformats.org/spreadsheetml/2006/main" id="204" name="Program194" displayName="Program194" ref="A1035:N1040" totalsRowCount="1" headerRowDxfId="3084" dataDxfId="3082" totalsRowDxfId="3080" headerRowBorderDxfId="3083" tableBorderDxfId="3081" totalsRowBorderDxfId="3079">
  <autoFilter ref="A1035:N1039"/>
  <tableColumns count="14">
    <tableColumn id="1" name="(A)_x000a_Program Name" totalsRowLabel="Total Program 194" dataDxfId="3078" totalsRowDxfId="3077"/>
    <tableColumn id="2" name="(B)_x000a_Fiscal _x000a_Year" totalsRowLabel="N/A" dataDxfId="3076" totalsRowDxfId="3075"/>
    <tableColumn id="3" name="(C)_x000a_Program_x000a_Costs" totalsRowFunction="sum" dataDxfId="3074" totalsRowDxfId="3073"/>
    <tableColumn id="4" name="(D)_x000a_Prior Period Adjustments" totalsRowFunction="sum" dataDxfId="3072" totalsRowDxfId="3071"/>
    <tableColumn id="5" name="(E)_x000a_Current Period Desk _x000a_Reviews" totalsRowFunction="sum" dataDxfId="3070" totalsRowDxfId="3069"/>
    <tableColumn id="6" name="(F)_x000a_Current Period _x000a_Final _x000a_Audits" totalsRowFunction="sum" dataDxfId="3068" totalsRowDxfId="3067"/>
    <tableColumn id="7" name="(G)_x000a_Current Period _x000a_Other Adjustments" totalsRowFunction="sum" dataDxfId="3066" totalsRowDxfId="3065"/>
    <tableColumn id="8" name="(H)_x000a_Net Program Costs_x000a_Sum (C through G)" totalsRowFunction="sum" dataDxfId="3064" totalsRowDxfId="3063"/>
    <tableColumn id="9" name="(I)_x000a_Payments_x000a_ and Offsets" totalsRowFunction="sum" dataDxfId="3062" totalsRowDxfId="3061"/>
    <tableColumn id="10" name="(J)_x000a_Accounts Payable Balance_x000a_(H + I)" totalsRowFunction="sum" dataDxfId="3060" totalsRowDxfId="3059"/>
    <tableColumn id="11" name="(K)_x000a_Established _x000a_Accounts Receivable" totalsRowFunction="sum" dataDxfId="3058" totalsRowDxfId="3057"/>
    <tableColumn id="12" name="(L)_x000a_Recovered_x000a_ Accounts Receivable" totalsRowFunction="sum" dataDxfId="3056" totalsRowDxfId="3055"/>
    <tableColumn id="13" name="(M)_x000a_Accounts Receivable Balance_x000a_(K + L)" totalsRowFunction="sum" dataDxfId="3054" totalsRowDxfId="3053"/>
    <tableColumn id="14" name="(N)_x000a_Net Balance_x000a_(J minus M)" totalsRowFunction="sum" dataDxfId="3052" totalsRowDxfId="30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5.xml><?xml version="1.0" encoding="utf-8"?>
<table xmlns="http://schemas.openxmlformats.org/spreadsheetml/2006/main" id="205" name="Program42" displayName="Program42" ref="A1042:N1066" totalsRowCount="1" headerRowDxfId="3050" dataDxfId="3048" totalsRowDxfId="3046" headerRowBorderDxfId="3049" tableBorderDxfId="3047" totalsRowBorderDxfId="3045">
  <autoFilter ref="A1042:N1065"/>
  <tableColumns count="14">
    <tableColumn id="1" name="(A)_x000a_Program Name" totalsRowLabel="Total Program 42" dataDxfId="3044" totalsRowDxfId="3043"/>
    <tableColumn id="2" name="(B)_x000a_Fiscal _x000a_Year" totalsRowLabel="N/A" dataDxfId="3042" totalsRowDxfId="3041"/>
    <tableColumn id="3" name="(C)_x000a_Program_x000a_Costs" totalsRowFunction="sum" dataDxfId="3040" totalsRowDxfId="3039"/>
    <tableColumn id="4" name="(D)_x000a_Prior Period Adjustments" totalsRowFunction="sum" dataDxfId="3038" totalsRowDxfId="3037"/>
    <tableColumn id="5" name="(E)_x000a_Current Period Desk _x000a_Reviews" totalsRowFunction="sum" dataDxfId="3036" totalsRowDxfId="3035"/>
    <tableColumn id="6" name="(F)_x000a_Current Period _x000a_Final _x000a_Audits" totalsRowFunction="sum" dataDxfId="3034" totalsRowDxfId="3033"/>
    <tableColumn id="7" name="(G)_x000a_Current Period _x000a_Other Adjustments" totalsRowFunction="sum" dataDxfId="3032" totalsRowDxfId="3031"/>
    <tableColumn id="8" name="(H)_x000a_Net Program Costs_x000a_Sum (C through G)" totalsRowFunction="sum" dataDxfId="3030" totalsRowDxfId="3029"/>
    <tableColumn id="9" name="(I)_x000a_Payments_x000a_ and Offsets" totalsRowFunction="sum" dataDxfId="3028" totalsRowDxfId="3027"/>
    <tableColumn id="10" name="(J)_x000a_Accounts Payable Balance_x000a_(H + I)" totalsRowFunction="sum" dataDxfId="3026" totalsRowDxfId="3025"/>
    <tableColumn id="11" name="(K)_x000a_Established _x000a_Accounts Receivable" totalsRowFunction="sum" dataDxfId="3024" totalsRowDxfId="3023"/>
    <tableColumn id="12" name="(L)_x000a_Recovered_x000a_ Accounts Receivable" totalsRowFunction="sum" dataDxfId="3022" totalsRowDxfId="3021"/>
    <tableColumn id="13" name="(M)_x000a_Accounts Receivable Balance_x000a_(K + L)" totalsRowFunction="sum" dataDxfId="3020" totalsRowDxfId="3019"/>
    <tableColumn id="14" name="(N)_x000a_Net Balance_x000a_(J minus M)" totalsRowFunction="sum" dataDxfId="3018" totalsRowDxfId="30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6.xml><?xml version="1.0" encoding="utf-8"?>
<table xmlns="http://schemas.openxmlformats.org/spreadsheetml/2006/main" id="206" name="Program319" displayName="Program319" ref="A1068:N1071" totalsRowCount="1" headerRowDxfId="3016" dataDxfId="3014" totalsRowDxfId="3012" headerRowBorderDxfId="3015" tableBorderDxfId="3013" totalsRowBorderDxfId="3011">
  <autoFilter ref="A1068:N1070"/>
  <tableColumns count="14">
    <tableColumn id="1" name="(A)_x000a_Program Name" totalsRowLabel="Total Program 319" dataDxfId="3010" totalsRowDxfId="3009"/>
    <tableColumn id="2" name="(B)_x000a_Fiscal _x000a_Year" totalsRowLabel="N/A" dataDxfId="3008" totalsRowDxfId="3007"/>
    <tableColumn id="3" name="(C)_x000a_Program_x000a_Costs" totalsRowFunction="sum" dataDxfId="3006" totalsRowDxfId="3005"/>
    <tableColumn id="4" name="(D)_x000a_Prior Period Adjustments" totalsRowFunction="sum" dataDxfId="3004" totalsRowDxfId="3003"/>
    <tableColumn id="5" name="(E)_x000a_Current Period Desk _x000a_Reviews" totalsRowFunction="sum" dataDxfId="3002" totalsRowDxfId="3001"/>
    <tableColumn id="6" name="(F)_x000a_Current Period _x000a_Final _x000a_Audits" totalsRowFunction="sum" dataDxfId="3000" totalsRowDxfId="2999"/>
    <tableColumn id="7" name="(G)_x000a_Current Period _x000a_Other Adjustments" totalsRowFunction="sum" dataDxfId="2998" totalsRowDxfId="2997"/>
    <tableColumn id="8" name="(H)_x000a_Net Program Costs_x000a_Sum (C through G)" totalsRowFunction="sum" dataDxfId="2996" totalsRowDxfId="2995"/>
    <tableColumn id="9" name="(I)_x000a_Payments_x000a_ and Offsets" totalsRowFunction="sum" dataDxfId="2994" totalsRowDxfId="2993"/>
    <tableColumn id="10" name="(J)_x000a_Accounts Payable Balance_x000a_(H + I)" totalsRowFunction="sum" dataDxfId="2992" totalsRowDxfId="2991"/>
    <tableColumn id="11" name="(K)_x000a_Established _x000a_Accounts Receivable" totalsRowFunction="sum" dataDxfId="2990" totalsRowDxfId="2989"/>
    <tableColumn id="12" name="(L)_x000a_Recovered_x000a_ Accounts Receivable" totalsRowFunction="sum" dataDxfId="2988" totalsRowDxfId="2987"/>
    <tableColumn id="13" name="(M)_x000a_Accounts Receivable Balance_x000a_(K + L)" totalsRowFunction="sum" dataDxfId="2986" totalsRowDxfId="2985"/>
    <tableColumn id="14" name="(N)_x000a_Net Balance_x000a_(J minus M)" totalsRowFunction="sum" dataDxfId="2984" totalsRowDxfId="29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7.xml><?xml version="1.0" encoding="utf-8"?>
<table xmlns="http://schemas.openxmlformats.org/spreadsheetml/2006/main" id="207" name="Program275" displayName="Program275" ref="A1073:N1079" totalsRowCount="1" headerRowDxfId="2982" dataDxfId="2980" totalsRowDxfId="2978" headerRowBorderDxfId="2981" tableBorderDxfId="2979" totalsRowBorderDxfId="2977">
  <autoFilter ref="A1073:N1078"/>
  <tableColumns count="14">
    <tableColumn id="1" name="(A)_x000a_Program Name" totalsRowLabel="Total Program 275" dataDxfId="2976" totalsRowDxfId="2975"/>
    <tableColumn id="2" name="(B)_x000a_Fiscal _x000a_Year" totalsRowLabel="N/A" dataDxfId="2974" totalsRowDxfId="2973"/>
    <tableColumn id="3" name="(C)_x000a_Program_x000a_Costs" totalsRowFunction="sum" dataDxfId="2972" totalsRowDxfId="2971"/>
    <tableColumn id="4" name="(D)_x000a_Prior Period Adjustments" totalsRowFunction="sum" dataDxfId="2970" totalsRowDxfId="2969"/>
    <tableColumn id="5" name="(E)_x000a_Current Period Desk _x000a_Reviews" totalsRowFunction="sum" dataDxfId="2968" totalsRowDxfId="2967"/>
    <tableColumn id="6" name="(F)_x000a_Current Period _x000a_Final _x000a_Audits" totalsRowFunction="sum" dataDxfId="2966" totalsRowDxfId="2965"/>
    <tableColumn id="7" name="(G)_x000a_Current Period _x000a_Other Adjustments" totalsRowFunction="sum" dataDxfId="2964" totalsRowDxfId="2963"/>
    <tableColumn id="8" name="(H)_x000a_Net Program Costs_x000a_Sum (C through G)" totalsRowFunction="sum" dataDxfId="2962" totalsRowDxfId="2961"/>
    <tableColumn id="9" name="(I)_x000a_Payments_x000a_ and Offsets" totalsRowFunction="sum" dataDxfId="2960" totalsRowDxfId="2959"/>
    <tableColumn id="10" name="(J)_x000a_Accounts Payable Balance_x000a_(H + I)" totalsRowFunction="sum" dataDxfId="2958" totalsRowDxfId="2957"/>
    <tableColumn id="11" name="(K)_x000a_Established _x000a_Accounts Receivable" totalsRowFunction="sum" dataDxfId="2956" totalsRowDxfId="2955"/>
    <tableColumn id="12" name="(L)_x000a_Recovered_x000a_ Accounts Receivable" totalsRowFunction="sum" dataDxfId="2954" totalsRowDxfId="2953"/>
    <tableColumn id="13" name="(M)_x000a_Accounts Receivable Balance_x000a_(K + L)" totalsRowFunction="sum" dataDxfId="2952" totalsRowDxfId="2951"/>
    <tableColumn id="14" name="(N)_x000a_Net Balance_x000a_(J minus M)" totalsRowFunction="sum" dataDxfId="2950" totalsRowDxfId="29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8.xml><?xml version="1.0" encoding="utf-8"?>
<table xmlns="http://schemas.openxmlformats.org/spreadsheetml/2006/main" id="208" name="Program265" displayName="Program265" ref="A1081:N1088" totalsRowCount="1" headerRowDxfId="2948" dataDxfId="2946" totalsRowDxfId="2944" headerRowBorderDxfId="2947" tableBorderDxfId="2945" totalsRowBorderDxfId="2943">
  <autoFilter ref="A1081:N1087"/>
  <tableColumns count="14">
    <tableColumn id="1" name="(A)_x000a_Program Name" totalsRowLabel="Total Program 265" dataDxfId="2942" totalsRowDxfId="2941"/>
    <tableColumn id="2" name="(B)_x000a_Fiscal _x000a_Year" totalsRowLabel="N/A" dataDxfId="2940" totalsRowDxfId="2939"/>
    <tableColumn id="3" name="(C)_x000a_Program_x000a_Costs" totalsRowFunction="sum" dataDxfId="2938" totalsRowDxfId="2937"/>
    <tableColumn id="4" name="(D)_x000a_Prior Period Adjustments" totalsRowFunction="sum" dataDxfId="2936" totalsRowDxfId="2935"/>
    <tableColumn id="5" name="(E)_x000a_Current Period Desk _x000a_Reviews" totalsRowFunction="sum" dataDxfId="2934" totalsRowDxfId="2933"/>
    <tableColumn id="6" name="(F)_x000a_Current Period _x000a_Final _x000a_Audits" totalsRowFunction="sum" dataDxfId="2932" totalsRowDxfId="2931"/>
    <tableColumn id="7" name="(G)_x000a_Current Period _x000a_Other Adjustments" totalsRowFunction="sum" dataDxfId="2930" totalsRowDxfId="2929"/>
    <tableColumn id="8" name="(H)_x000a_Net Program Costs_x000a_Sum (C through G)" totalsRowFunction="sum" dataDxfId="2928" totalsRowDxfId="2927"/>
    <tableColumn id="9" name="(I)_x000a_Payments_x000a_ and Offsets" totalsRowFunction="sum" dataDxfId="2926" totalsRowDxfId="2925"/>
    <tableColumn id="10" name="(J)_x000a_Accounts Payable Balance_x000a_(H + I)" totalsRowFunction="sum" dataDxfId="2924" totalsRowDxfId="2923"/>
    <tableColumn id="11" name="(K)_x000a_Established _x000a_Accounts Receivable" totalsRowFunction="sum" dataDxfId="2922" totalsRowDxfId="2921"/>
    <tableColumn id="12" name="(L)_x000a_Recovered_x000a_ Accounts Receivable" totalsRowFunction="sum" dataDxfId="2920" totalsRowDxfId="2919"/>
    <tableColumn id="13" name="(M)_x000a_Accounts Receivable Balance_x000a_(K + L)" totalsRowFunction="sum" dataDxfId="2918" totalsRowDxfId="2917"/>
    <tableColumn id="14" name="(N)_x000a_Net Balance_x000a_(J minus M)" totalsRowFunction="sum" dataDxfId="2916" totalsRowDxfId="29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09.xml><?xml version="1.0" encoding="utf-8"?>
<table xmlns="http://schemas.openxmlformats.org/spreadsheetml/2006/main" id="209" name="Program48" displayName="Program48" ref="A1090:N1120" totalsRowCount="1" headerRowDxfId="2914" dataDxfId="2912" totalsRowDxfId="2910" headerRowBorderDxfId="2913" tableBorderDxfId="2911" totalsRowBorderDxfId="2909">
  <autoFilter ref="A1090:N1119"/>
  <tableColumns count="14">
    <tableColumn id="1" name="(A)_x000a_Program Name" totalsRowLabel="Total Program 48" dataDxfId="2908" totalsRowDxfId="2907"/>
    <tableColumn id="2" name="(B)_x000a_Fiscal _x000a_Year" totalsRowLabel="N/A" dataDxfId="2906" totalsRowDxfId="2905"/>
    <tableColumn id="3" name="(C)_x000a_Program_x000a_Costs" totalsRowFunction="sum" dataDxfId="2904" totalsRowDxfId="2903"/>
    <tableColumn id="4" name="(D)_x000a_Prior Period Adjustments" totalsRowFunction="sum" dataDxfId="2902" totalsRowDxfId="2901"/>
    <tableColumn id="5" name="(E)_x000a_Current Period Desk _x000a_Reviews" totalsRowFunction="sum" dataDxfId="2900" totalsRowDxfId="2899"/>
    <tableColumn id="6" name="(F)_x000a_Current Period _x000a_Final _x000a_Audits" totalsRowFunction="sum" dataDxfId="2898" totalsRowDxfId="2897"/>
    <tableColumn id="7" name="(G)_x000a_Current Period _x000a_Other Adjustments" totalsRowFunction="sum" dataDxfId="2896" totalsRowDxfId="2895"/>
    <tableColumn id="8" name="(H)_x000a_Net Program Costs_x000a_Sum (C through G)" totalsRowFunction="sum" dataDxfId="2894" totalsRowDxfId="2893"/>
    <tableColumn id="9" name="(I)_x000a_Payments_x000a_ and Offsets" totalsRowFunction="sum" dataDxfId="2892" totalsRowDxfId="2891"/>
    <tableColumn id="10" name="(J)_x000a_Accounts Payable Balance_x000a_(H + I)" totalsRowFunction="sum" dataDxfId="2890" totalsRowDxfId="2889"/>
    <tableColumn id="11" name="(K)_x000a_Established _x000a_Accounts Receivable" totalsRowFunction="sum" dataDxfId="2888" totalsRowDxfId="2887"/>
    <tableColumn id="12" name="(L)_x000a_Recovered_x000a_ Accounts Receivable" totalsRowFunction="sum" dataDxfId="2886" totalsRowDxfId="2885"/>
    <tableColumn id="13" name="(M)_x000a_Accounts Receivable Balance_x000a_(K + L)" totalsRowFunction="sum" dataDxfId="2884" totalsRowDxfId="2883"/>
    <tableColumn id="14" name="(N)_x000a_Net Balance_x000a_(J minus M)" totalsRowFunction="sum" dataDxfId="2882" totalsRowDxfId="28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.xml><?xml version="1.0" encoding="utf-8"?>
<table xmlns="http://schemas.openxmlformats.org/spreadsheetml/2006/main" id="21" name="Program196" displayName="Program196" ref="A200:N207" totalsRowCount="1" headerRowDxfId="9302" dataDxfId="9300" totalsRowDxfId="9298" headerRowBorderDxfId="9301" tableBorderDxfId="9299" totalsRowBorderDxfId="9297">
  <autoFilter ref="A200:N206"/>
  <tableColumns count="14">
    <tableColumn id="1" name="(A)_x000a_Program Name" totalsRowLabel="Total Program 196" dataDxfId="9296" totalsRowDxfId="9295"/>
    <tableColumn id="2" name="(B)_x000a_Fiscal _x000a_Year" totalsRowLabel="N/A" dataDxfId="9294" totalsRowDxfId="9293"/>
    <tableColumn id="3" name="(C)_x000a_Program_x000a_Costs" totalsRowFunction="sum" dataDxfId="9292" totalsRowDxfId="9291"/>
    <tableColumn id="4" name="(D)_x000a_Prior Period Adjustments" totalsRowFunction="sum" dataDxfId="9290" totalsRowDxfId="9289"/>
    <tableColumn id="5" name="(E)_x000a_Current Period Desk _x000a_Reviews" totalsRowFunction="sum" dataDxfId="9288" totalsRowDxfId="9287"/>
    <tableColumn id="6" name="(F)_x000a_Current Period _x000a_Final _x000a_Audits" totalsRowFunction="sum" dataDxfId="9286" totalsRowDxfId="9285"/>
    <tableColumn id="7" name="(G)_x000a_Current Period _x000a_Other Adjustments" totalsRowFunction="sum" dataDxfId="9284" totalsRowDxfId="9283"/>
    <tableColumn id="8" name="(H)_x000a_Net Program Costs_x000a_Sum (C through G)" totalsRowFunction="sum" dataDxfId="9282" totalsRowDxfId="9281"/>
    <tableColumn id="9" name="(I)_x000a_Payments_x000a_ and Offsets" totalsRowFunction="sum" dataDxfId="9280" totalsRowDxfId="9279"/>
    <tableColumn id="10" name="(J)_x000a_Accounts Payable Balance_x000a_(H + I)" totalsRowFunction="sum" dataDxfId="9278" totalsRowDxfId="9277"/>
    <tableColumn id="11" name="(K)_x000a_Established _x000a_Accounts Receivable" totalsRowFunction="sum" dataDxfId="9276" totalsRowDxfId="9275"/>
    <tableColumn id="12" name="(L)_x000a_Recovered_x000a_ Accounts Receivable" totalsRowFunction="sum" dataDxfId="9274" totalsRowDxfId="9273"/>
    <tableColumn id="13" name="(M)_x000a_Accounts Receivable Balance_x000a_(K + L)" totalsRowFunction="sum" dataDxfId="9272" totalsRowDxfId="9271"/>
    <tableColumn id="14" name="(N)_x000a_Net Balance_x000a_(J minus M)" totalsRowFunction="sum" dataDxfId="9270" totalsRowDxfId="92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0.xml><?xml version="1.0" encoding="utf-8"?>
<table xmlns="http://schemas.openxmlformats.org/spreadsheetml/2006/main" id="210" name="Program150" displayName="Program150" ref="A1122:N1138" totalsRowCount="1" headerRowDxfId="2880" dataDxfId="2878" totalsRowDxfId="2876" headerRowBorderDxfId="2879" tableBorderDxfId="2877" totalsRowBorderDxfId="2875">
  <autoFilter ref="A1122:N1137"/>
  <tableColumns count="14">
    <tableColumn id="1" name="(A)_x000a_Program Name" totalsRowLabel="Total Program 150" dataDxfId="2874" totalsRowDxfId="2873"/>
    <tableColumn id="2" name="(B)_x000a_Fiscal _x000a_Year" totalsRowLabel="N/A" dataDxfId="2872" totalsRowDxfId="2871"/>
    <tableColumn id="3" name="(C)_x000a_Program_x000a_Costs" totalsRowFunction="sum" dataDxfId="2870" totalsRowDxfId="2869"/>
    <tableColumn id="4" name="(D)_x000a_Prior Period Adjustments" totalsRowFunction="sum" dataDxfId="2868" totalsRowDxfId="2867"/>
    <tableColumn id="5" name="(E)_x000a_Current Period Desk _x000a_Reviews" totalsRowFunction="sum" dataDxfId="2866" totalsRowDxfId="2865"/>
    <tableColumn id="6" name="(F)_x000a_Current Period _x000a_Final _x000a_Audits" totalsRowFunction="sum" dataDxfId="2864" totalsRowDxfId="2863"/>
    <tableColumn id="7" name="(G)_x000a_Current Period _x000a_Other Adjustments" totalsRowFunction="sum" dataDxfId="2862" totalsRowDxfId="2861"/>
    <tableColumn id="8" name="(H)_x000a_Net Program Costs_x000a_Sum (C through G)" totalsRowFunction="sum" dataDxfId="2860" totalsRowDxfId="2859"/>
    <tableColumn id="9" name="(I)_x000a_Payments_x000a_ and Offsets" totalsRowFunction="sum" dataDxfId="2858" totalsRowDxfId="2857"/>
    <tableColumn id="10" name="(J)_x000a_Accounts Payable Balance_x000a_(H + I)" totalsRowFunction="sum" dataDxfId="2856" totalsRowDxfId="2855"/>
    <tableColumn id="11" name="(K)_x000a_Established _x000a_Accounts Receivable" totalsRowFunction="sum" dataDxfId="2854" totalsRowDxfId="2853"/>
    <tableColumn id="12" name="(L)_x000a_Recovered_x000a_ Accounts Receivable" totalsRowFunction="sum" dataDxfId="2852" totalsRowDxfId="2851"/>
    <tableColumn id="13" name="(M)_x000a_Accounts Receivable Balance_x000a_(K + L)" totalsRowFunction="sum" dataDxfId="2850" totalsRowDxfId="2849"/>
    <tableColumn id="14" name="(N)_x000a_Net Balance_x000a_(J minus M)" totalsRowFunction="sum" dataDxfId="2848" totalsRowDxfId="28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1.xml><?xml version="1.0" encoding="utf-8"?>
<table xmlns="http://schemas.openxmlformats.org/spreadsheetml/2006/main" id="211" name="Program92" displayName="Program92" ref="A1140:N1152" totalsRowCount="1" headerRowDxfId="2846" dataDxfId="2844" totalsRowDxfId="2842" headerRowBorderDxfId="2845" tableBorderDxfId="2843" totalsRowBorderDxfId="2841">
  <autoFilter ref="A1140:N1151"/>
  <tableColumns count="14">
    <tableColumn id="1" name="(A)_x000a_Program Name" totalsRowLabel="Total Program 92" dataDxfId="2840" totalsRowDxfId="2839"/>
    <tableColumn id="2" name="(B)_x000a_Fiscal _x000a_Year" totalsRowLabel="N/A" dataDxfId="2838" totalsRowDxfId="2837"/>
    <tableColumn id="3" name="(C)_x000a_Program_x000a_Costs" totalsRowFunction="sum" dataDxfId="2836" totalsRowDxfId="2835"/>
    <tableColumn id="4" name="(D)_x000a_Prior Period Adjustments" totalsRowFunction="sum" dataDxfId="2834" totalsRowDxfId="2833"/>
    <tableColumn id="5" name="(E)_x000a_Current Period Desk _x000a_Reviews" totalsRowFunction="sum" dataDxfId="2832" totalsRowDxfId="2831"/>
    <tableColumn id="6" name="(F)_x000a_Current Period _x000a_Final _x000a_Audits" totalsRowFunction="sum" dataDxfId="2830" totalsRowDxfId="2829"/>
    <tableColumn id="7" name="(G)_x000a_Current Period _x000a_Other Adjustments" totalsRowFunction="sum" dataDxfId="2828" totalsRowDxfId="2827"/>
    <tableColumn id="8" name="(H)_x000a_Net Program Costs_x000a_Sum (C through G)" totalsRowFunction="sum" dataDxfId="2826" totalsRowDxfId="2825"/>
    <tableColumn id="9" name="(I)_x000a_Payments_x000a_ and Offsets" totalsRowFunction="sum" dataDxfId="2824" totalsRowDxfId="2823"/>
    <tableColumn id="10" name="(J)_x000a_Accounts Payable Balance_x000a_(H + I)" totalsRowFunction="sum" dataDxfId="2822" totalsRowDxfId="2821"/>
    <tableColumn id="11" name="(K)_x000a_Established _x000a_Accounts Receivable" totalsRowFunction="sum" dataDxfId="2820" totalsRowDxfId="2819"/>
    <tableColumn id="12" name="(L)_x000a_Recovered_x000a_ Accounts Receivable" totalsRowFunction="sum" dataDxfId="2818" totalsRowDxfId="2817"/>
    <tableColumn id="13" name="(M)_x000a_Accounts Receivable Balance_x000a_(K + L)" totalsRowFunction="sum" dataDxfId="2816" totalsRowDxfId="2815"/>
    <tableColumn id="14" name="(N)_x000a_Net Balance_x000a_(J minus M)" totalsRowFunction="sum" dataDxfId="2814" totalsRowDxfId="28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2.xml><?xml version="1.0" encoding="utf-8"?>
<table xmlns="http://schemas.openxmlformats.org/spreadsheetml/2006/main" id="212" name="Program201" displayName="Program201" ref="A1154:N1160" totalsRowCount="1" headerRowDxfId="2812" dataDxfId="2810" totalsRowDxfId="2808" headerRowBorderDxfId="2811" tableBorderDxfId="2809" totalsRowBorderDxfId="2807">
  <autoFilter ref="A1154:N1159"/>
  <tableColumns count="14">
    <tableColumn id="1" name="(A)_x000a_Program Name" totalsRowLabel="Total Program 201" dataDxfId="2806" totalsRowDxfId="2805"/>
    <tableColumn id="2" name="(B)_x000a_Fiscal _x000a_Year" totalsRowLabel="N/A" dataDxfId="2804" totalsRowDxfId="2803"/>
    <tableColumn id="3" name="(C)_x000a_Program_x000a_Costs" totalsRowFunction="sum" dataDxfId="2802" totalsRowDxfId="2801"/>
    <tableColumn id="4" name="(D)_x000a_Prior Period Adjustments" totalsRowFunction="sum" dataDxfId="2800" totalsRowDxfId="2799"/>
    <tableColumn id="5" name="(E)_x000a_Current Period Desk _x000a_Reviews" totalsRowFunction="sum" dataDxfId="2798" totalsRowDxfId="2797"/>
    <tableColumn id="6" name="(F)_x000a_Current Period _x000a_Final _x000a_Audits" totalsRowFunction="sum" dataDxfId="2796" totalsRowDxfId="2795"/>
    <tableColumn id="7" name="(G)_x000a_Current Period _x000a_Other Adjustments" totalsRowFunction="sum" dataDxfId="2794" totalsRowDxfId="2793"/>
    <tableColumn id="8" name="(H)_x000a_Net Program Costs_x000a_Sum (C through G)" totalsRowFunction="sum" dataDxfId="2792" totalsRowDxfId="2791"/>
    <tableColumn id="9" name="(I)_x000a_Payments_x000a_ and Offsets" totalsRowFunction="sum" dataDxfId="2790" totalsRowDxfId="2789"/>
    <tableColumn id="10" name="(J)_x000a_Accounts Payable Balance_x000a_(H + I)" totalsRowFunction="sum" dataDxfId="2788" totalsRowDxfId="2787"/>
    <tableColumn id="11" name="(K)_x000a_Established _x000a_Accounts Receivable" totalsRowFunction="sum" dataDxfId="2786" totalsRowDxfId="2785"/>
    <tableColumn id="12" name="(L)_x000a_Recovered_x000a_ Accounts Receivable" totalsRowFunction="sum" dataDxfId="2784" totalsRowDxfId="2783"/>
    <tableColumn id="13" name="(M)_x000a_Accounts Receivable Balance_x000a_(K + L)" totalsRowFunction="sum" dataDxfId="2782" totalsRowDxfId="2781"/>
    <tableColumn id="14" name="(N)_x000a_Net Balance_x000a_(J minus M)" totalsRowFunction="sum" dataDxfId="2780" totalsRowDxfId="27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3.xml><?xml version="1.0" encoding="utf-8"?>
<table xmlns="http://schemas.openxmlformats.org/spreadsheetml/2006/main" id="213" name="Program218" displayName="Program218" ref="A1162:N1184" totalsRowCount="1" headerRowDxfId="2778" dataDxfId="2776" totalsRowDxfId="2774" headerRowBorderDxfId="2777" tableBorderDxfId="2775" totalsRowBorderDxfId="2773">
  <autoFilter ref="A1162:N1183"/>
  <tableColumns count="14">
    <tableColumn id="1" name="(A)_x000a_Program Name" totalsRowLabel="Total Program 218" dataDxfId="2772" totalsRowDxfId="2771"/>
    <tableColumn id="2" name="(B)_x000a_Fiscal _x000a_Year" totalsRowLabel="N/A" dataDxfId="2770" totalsRowDxfId="2769"/>
    <tableColumn id="3" name="(C)_x000a_Program_x000a_Costs" totalsRowFunction="sum" dataDxfId="2768" totalsRowDxfId="2767"/>
    <tableColumn id="4" name="(D)_x000a_Prior Period Adjustments" totalsRowFunction="sum" dataDxfId="2766" totalsRowDxfId="2765"/>
    <tableColumn id="5" name="(E)_x000a_Current Period Desk _x000a_Reviews" totalsRowFunction="sum" dataDxfId="2764" totalsRowDxfId="2763"/>
    <tableColumn id="6" name="(F)_x000a_Current Period _x000a_Final _x000a_Audits" totalsRowFunction="sum" dataDxfId="2762" totalsRowDxfId="2761"/>
    <tableColumn id="7" name="(G)_x000a_Current Period _x000a_Other Adjustments" totalsRowFunction="sum" dataDxfId="2760" totalsRowDxfId="2759"/>
    <tableColumn id="8" name="(H)_x000a_Net Program Costs_x000a_Sum (C through G)" totalsRowFunction="sum" dataDxfId="2758" totalsRowDxfId="2757"/>
    <tableColumn id="9" name="(I)_x000a_Payments_x000a_ and Offsets" totalsRowFunction="sum" dataDxfId="2756" totalsRowDxfId="2755"/>
    <tableColumn id="10" name="(J)_x000a_Accounts Payable Balance_x000a_(H + I)" totalsRowFunction="sum" dataDxfId="2754" totalsRowDxfId="2753"/>
    <tableColumn id="11" name="(K)_x000a_Established _x000a_Accounts Receivable" totalsRowFunction="sum" dataDxfId="2752" totalsRowDxfId="2751"/>
    <tableColumn id="12" name="(L)_x000a_Recovered_x000a_ Accounts Receivable" totalsRowFunction="sum" dataDxfId="2750" totalsRowDxfId="2749"/>
    <tableColumn id="13" name="(M)_x000a_Accounts Receivable Balance_x000a_(K + L)" totalsRowFunction="sum" dataDxfId="2748" totalsRowDxfId="2747"/>
    <tableColumn id="14" name="(N)_x000a_Net Balance_x000a_(J minus M)" totalsRowFunction="sum" dataDxfId="2746" totalsRowDxfId="27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4.xml><?xml version="1.0" encoding="utf-8"?>
<table xmlns="http://schemas.openxmlformats.org/spreadsheetml/2006/main" id="214" name="Program154" displayName="Program154" ref="A1186:N1201" totalsRowCount="1" headerRowDxfId="2744" dataDxfId="2742" totalsRowDxfId="2740" headerRowBorderDxfId="2743" tableBorderDxfId="2741" totalsRowBorderDxfId="2739">
  <autoFilter ref="A1186:N1200"/>
  <tableColumns count="14">
    <tableColumn id="1" name="(A)_x000a_Program Name" totalsRowLabel="Total Program 154" dataDxfId="2738" totalsRowDxfId="2737"/>
    <tableColumn id="2" name="(B)_x000a_Fiscal _x000a_Year" totalsRowLabel="N/A" dataDxfId="2736" totalsRowDxfId="2735"/>
    <tableColumn id="3" name="(C)_x000a_Program_x000a_Costs" totalsRowFunction="sum" dataDxfId="2734" totalsRowDxfId="2733"/>
    <tableColumn id="4" name="(D)_x000a_Prior Period Adjustments" totalsRowFunction="sum" dataDxfId="2732" totalsRowDxfId="2731"/>
    <tableColumn id="5" name="(E)_x000a_Current Period Desk _x000a_Reviews" totalsRowFunction="sum" dataDxfId="2730" totalsRowDxfId="2729"/>
    <tableColumn id="6" name="(F)_x000a_Current Period _x000a_Final _x000a_Audits" totalsRowFunction="sum" dataDxfId="2728" totalsRowDxfId="2727"/>
    <tableColumn id="7" name="(G)_x000a_Current Period _x000a_Other Adjustments" totalsRowFunction="sum" dataDxfId="2726" totalsRowDxfId="2725"/>
    <tableColumn id="8" name="(H)_x000a_Net Program Costs_x000a_Sum (C through G)" totalsRowFunction="sum" dataDxfId="2724" totalsRowDxfId="2723"/>
    <tableColumn id="9" name="(I)_x000a_Payments_x000a_ and Offsets" totalsRowFunction="sum" dataDxfId="2722" totalsRowDxfId="2721"/>
    <tableColumn id="10" name="(J)_x000a_Accounts Payable Balance_x000a_(H + I)" totalsRowFunction="sum" dataDxfId="2720" totalsRowDxfId="2719"/>
    <tableColumn id="11" name="(K)_x000a_Established _x000a_Accounts Receivable" totalsRowFunction="sum" dataDxfId="2718" totalsRowDxfId="2717"/>
    <tableColumn id="12" name="(L)_x000a_Recovered_x000a_ Accounts Receivable" totalsRowFunction="sum" dataDxfId="2716" totalsRowDxfId="2715"/>
    <tableColumn id="13" name="(M)_x000a_Accounts Receivable Balance_x000a_(K + L)" totalsRowFunction="sum" dataDxfId="2714" totalsRowDxfId="2713"/>
    <tableColumn id="14" name="(N)_x000a_Net Balance_x000a_(J minus M)" totalsRowFunction="sum" dataDxfId="2712" totalsRowDxfId="27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5.xml><?xml version="1.0" encoding="utf-8"?>
<table xmlns="http://schemas.openxmlformats.org/spreadsheetml/2006/main" id="215" name="program350" displayName="program350" ref="A1203:N1221" totalsRowCount="1" headerRowDxfId="2710" dataDxfId="2708" totalsRowDxfId="2706" headerRowBorderDxfId="2709" tableBorderDxfId="2707" totalsRowBorderDxfId="2705">
  <autoFilter ref="A1203:N1220"/>
  <tableColumns count="14">
    <tableColumn id="1" name="(A)_x000a_Program Name" totalsRowLabel="Total Program 350" dataDxfId="2704" totalsRowDxfId="2703"/>
    <tableColumn id="2" name="(B)_x000a_Fiscal _x000a_Year" totalsRowLabel="N/A" dataDxfId="2702" totalsRowDxfId="2701"/>
    <tableColumn id="3" name="(C)_x000a_Program_x000a_Costs" totalsRowFunction="sum" dataDxfId="2700" totalsRowDxfId="2699"/>
    <tableColumn id="4" name="(D)_x000a_Prior Period Adjustments" totalsRowFunction="sum" dataDxfId="2698" totalsRowDxfId="2697"/>
    <tableColumn id="5" name="(E)_x000a_Current Period Desk _x000a_Reviews" totalsRowFunction="sum" dataDxfId="2696" totalsRowDxfId="2695"/>
    <tableColumn id="6" name="(F)_x000a_Current Period _x000a_Final _x000a_Audits" totalsRowFunction="sum" dataDxfId="2694" totalsRowDxfId="2693"/>
    <tableColumn id="7" name="(G)_x000a_Current Period _x000a_Other Adjustments" totalsRowFunction="sum" dataDxfId="2692" totalsRowDxfId="2691"/>
    <tableColumn id="8" name="(H)_x000a_Net Program Costs_x000a_Sum (C through G)" totalsRowFunction="sum" dataDxfId="2690" totalsRowDxfId="2689"/>
    <tableColumn id="9" name="(I)_x000a_Payments_x000a_ and Offsets" totalsRowFunction="sum" dataDxfId="2688" totalsRowDxfId="2687"/>
    <tableColumn id="10" name="(J)_x000a_Accounts Payable Balance_x000a_(H + I)" totalsRowFunction="sum" dataDxfId="2686" totalsRowDxfId="2685"/>
    <tableColumn id="11" name="(K)_x000a_Established _x000a_Accounts Receivable" totalsRowFunction="sum" dataDxfId="2684" totalsRowDxfId="2683"/>
    <tableColumn id="12" name="(L)_x000a_Recovered_x000a_ Accounts Receivable" totalsRowFunction="sum" dataDxfId="2682" totalsRowDxfId="2681"/>
    <tableColumn id="13" name="(M)_x000a_Accounts Receivable Balance_x000a_(K + L)" totalsRowFunction="sum" dataDxfId="2680" totalsRowDxfId="2679"/>
    <tableColumn id="14" name="(N)_x000a_Net Balance_x000a_(J minus M)" totalsRowFunction="sum" dataDxfId="2678" totalsRowDxfId="26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6.xml><?xml version="1.0" encoding="utf-8"?>
<table xmlns="http://schemas.openxmlformats.org/spreadsheetml/2006/main" id="216" name="Program186" displayName="Program186" ref="A1223:N1234" totalsRowCount="1" headerRowDxfId="2676" dataDxfId="2674" totalsRowDxfId="2672" headerRowBorderDxfId="2675" tableBorderDxfId="2673" totalsRowBorderDxfId="2671">
  <autoFilter ref="A1223:N1233"/>
  <tableColumns count="14">
    <tableColumn id="1" name="(A)_x000a_Program Name" totalsRowLabel="Total Program 186" dataDxfId="2670" totalsRowDxfId="2669"/>
    <tableColumn id="2" name="(B)_x000a_Fiscal _x000a_Year" totalsRowLabel="N/A" dataDxfId="2668" totalsRowDxfId="2667"/>
    <tableColumn id="3" name="(C)_x000a_Program_x000a_Costs" totalsRowFunction="sum" dataDxfId="2666" totalsRowDxfId="2665"/>
    <tableColumn id="4" name="(D)_x000a_Prior Period Adjustments" totalsRowFunction="sum" dataDxfId="2664" totalsRowDxfId="2663"/>
    <tableColumn id="5" name="(E)_x000a_Current Period Desk _x000a_Reviews" totalsRowFunction="sum" dataDxfId="2662" totalsRowDxfId="2661"/>
    <tableColumn id="6" name="(F)_x000a_Current Period _x000a_Final _x000a_Audits" totalsRowFunction="sum" dataDxfId="2660" totalsRowDxfId="2659"/>
    <tableColumn id="7" name="(G)_x000a_Current Period _x000a_Other Adjustments" totalsRowFunction="sum" dataDxfId="2658" totalsRowDxfId="2657"/>
    <tableColumn id="8" name="(H)_x000a_Net Program Costs_x000a_Sum (C through G)" totalsRowFunction="sum" dataDxfId="2656" totalsRowDxfId="2655"/>
    <tableColumn id="9" name="(I)_x000a_Payments_x000a_ and Offsets" totalsRowFunction="sum" dataDxfId="2654" totalsRowDxfId="2653"/>
    <tableColumn id="10" name="(J)_x000a_Accounts Payable Balance_x000a_(H + I)" totalsRowFunction="sum" dataDxfId="2652" totalsRowDxfId="2651"/>
    <tableColumn id="11" name="(K)_x000a_Established _x000a_Accounts Receivable" totalsRowFunction="sum" dataDxfId="2650" totalsRowDxfId="2649"/>
    <tableColumn id="12" name="(L)_x000a_Recovered_x000a_ Accounts Receivable" totalsRowFunction="sum" dataDxfId="2648" totalsRowDxfId="2647"/>
    <tableColumn id="13" name="(M)_x000a_Accounts Receivable Balance_x000a_(K + L)" totalsRowFunction="sum" dataDxfId="2646" totalsRowDxfId="2645"/>
    <tableColumn id="14" name="(N)_x000a_Net Balance_x000a_(J minus M)" totalsRowFunction="sum" dataDxfId="2644" totalsRowDxfId="26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7.xml><?xml version="1.0" encoding="utf-8"?>
<table xmlns="http://schemas.openxmlformats.org/spreadsheetml/2006/main" id="217" name="Program214" displayName="Program214" ref="A1236:N1242" totalsRowCount="1" headerRowDxfId="2642" dataDxfId="2640" totalsRowDxfId="2638" headerRowBorderDxfId="2641" tableBorderDxfId="2639" totalsRowBorderDxfId="2637">
  <autoFilter ref="A1236:N1241"/>
  <tableColumns count="14">
    <tableColumn id="1" name="(A)_x000a_Program Name" totalsRowLabel="Total Program 214" dataDxfId="2636" totalsRowDxfId="2635"/>
    <tableColumn id="2" name="(B)_x000a_Fiscal _x000a_Year" totalsRowLabel="N/A" dataDxfId="2634" totalsRowDxfId="2633"/>
    <tableColumn id="3" name="(C)_x000a_Program_x000a_Costs" totalsRowFunction="sum" dataDxfId="2632" totalsRowDxfId="2631"/>
    <tableColumn id="4" name="(D)_x000a_Prior Period Adjustments" totalsRowFunction="sum" dataDxfId="2630" totalsRowDxfId="2629"/>
    <tableColumn id="5" name="(E)_x000a_Current Period Desk _x000a_Reviews" totalsRowFunction="sum" dataDxfId="2628" totalsRowDxfId="2627"/>
    <tableColumn id="6" name="(F)_x000a_Current Period _x000a_Final _x000a_Audits" totalsRowFunction="sum" dataDxfId="2626" totalsRowDxfId="2625"/>
    <tableColumn id="7" name="(G)_x000a_Current Period _x000a_Other Adjustments" totalsRowFunction="sum" dataDxfId="2624" totalsRowDxfId="2623"/>
    <tableColumn id="8" name="(H)_x000a_Net Program Costs_x000a_Sum (C through G)" totalsRowFunction="sum" dataDxfId="2622" totalsRowDxfId="2621"/>
    <tableColumn id="9" name="(I)_x000a_Payments_x000a_ and Offsets" totalsRowFunction="sum" dataDxfId="2620" totalsRowDxfId="2619"/>
    <tableColumn id="10" name="(J)_x000a_Accounts Payable Balance_x000a_(H + I)" totalsRowFunction="sum" dataDxfId="2618" totalsRowDxfId="2617"/>
    <tableColumn id="11" name="(K)_x000a_Established _x000a_Accounts Receivable" totalsRowFunction="sum" dataDxfId="2616" totalsRowDxfId="2615"/>
    <tableColumn id="12" name="(L)_x000a_Recovered_x000a_ Accounts Receivable" totalsRowFunction="sum" dataDxfId="2614" totalsRowDxfId="2613"/>
    <tableColumn id="13" name="(M)_x000a_Accounts Receivable Balance_x000a_(K + L)" totalsRowFunction="sum" dataDxfId="2612" totalsRowDxfId="2611"/>
    <tableColumn id="14" name="(N)_x000a_Net Balance_x000a_(J minus M)" totalsRowFunction="sum" dataDxfId="2610" totalsRowDxfId="26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8.xml><?xml version="1.0" encoding="utf-8"?>
<table xmlns="http://schemas.openxmlformats.org/spreadsheetml/2006/main" id="218" name="Program195" displayName="Program195" ref="A1244:N1259" totalsRowCount="1" headerRowDxfId="2608" dataDxfId="2606" totalsRowDxfId="2604" headerRowBorderDxfId="2607" tableBorderDxfId="2605" totalsRowBorderDxfId="2603">
  <autoFilter ref="A1244:N1258"/>
  <tableColumns count="14">
    <tableColumn id="1" name="(A)_x000a_Program Name" totalsRowLabel="Total Program 195" dataDxfId="2602" totalsRowDxfId="2601"/>
    <tableColumn id="2" name="(B)_x000a_Fiscal _x000a_Year" totalsRowLabel="N/A" dataDxfId="2600" totalsRowDxfId="2599"/>
    <tableColumn id="3" name="(C)_x000a_Program_x000a_Costs" totalsRowFunction="sum" dataDxfId="2598" totalsRowDxfId="2597"/>
    <tableColumn id="4" name="(D)_x000a_Prior Period Adjustments" totalsRowFunction="sum" dataDxfId="2596" totalsRowDxfId="2595"/>
    <tableColumn id="5" name="(E)_x000a_Current Period Desk _x000a_Reviews" totalsRowFunction="sum" dataDxfId="2594" totalsRowDxfId="2593"/>
    <tableColumn id="6" name="(F)_x000a_Current Period _x000a_Final _x000a_Audits" totalsRowFunction="sum" dataDxfId="2592" totalsRowDxfId="2591"/>
    <tableColumn id="7" name="(G)_x000a_Current Period _x000a_Other Adjustments" totalsRowFunction="sum" dataDxfId="2590" totalsRowDxfId="2589"/>
    <tableColumn id="8" name="(H)_x000a_Net Program Costs_x000a_Sum (C through G)" totalsRowFunction="sum" dataDxfId="2588" totalsRowDxfId="2587"/>
    <tableColumn id="9" name="(I)_x000a_Payments_x000a_ and Offsets" totalsRowFunction="sum" dataDxfId="2586" totalsRowDxfId="2585"/>
    <tableColumn id="10" name="(J)_x000a_Accounts Payable Balance_x000a_(H + I)" totalsRowFunction="sum" dataDxfId="2584" totalsRowDxfId="2583"/>
    <tableColumn id="11" name="(K)_x000a_Established _x000a_Accounts Receivable" totalsRowFunction="sum" dataDxfId="2582" totalsRowDxfId="2581"/>
    <tableColumn id="12" name="(L)_x000a_Recovered_x000a_ Accounts Receivable" totalsRowFunction="sum" dataDxfId="2580" totalsRowDxfId="2579"/>
    <tableColumn id="13" name="(M)_x000a_Accounts Receivable Balance_x000a_(K + L)" totalsRowFunction="sum" dataDxfId="2578" totalsRowDxfId="2577"/>
    <tableColumn id="14" name="(N)_x000a_Net Balance_x000a_(J minus M)" totalsRowFunction="sum" dataDxfId="2576" totalsRowDxfId="25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19.xml><?xml version="1.0" encoding="utf-8"?>
<table xmlns="http://schemas.openxmlformats.org/spreadsheetml/2006/main" id="219" name="Program173" displayName="Program173" ref="A1261:N1286" totalsRowCount="1" headerRowDxfId="2574" dataDxfId="2572" totalsRowDxfId="2570" headerRowBorderDxfId="2573" tableBorderDxfId="2571" totalsRowBorderDxfId="2569">
  <autoFilter ref="A1261:N1285"/>
  <tableColumns count="14">
    <tableColumn id="1" name="(A)_x000a_Program Name" totalsRowLabel="Total Program 173" dataDxfId="2568" totalsRowDxfId="2567"/>
    <tableColumn id="2" name="(B)_x000a_Fiscal _x000a_Year" totalsRowLabel="N/A" dataDxfId="2566" totalsRowDxfId="2565"/>
    <tableColumn id="3" name="(C)_x000a_Program_x000a_Costs" totalsRowFunction="sum" dataDxfId="2564" totalsRowDxfId="2563"/>
    <tableColumn id="4" name="(D)_x000a_Prior Period Adjustments" totalsRowFunction="sum" dataDxfId="2562" totalsRowDxfId="2561"/>
    <tableColumn id="5" name="(E)_x000a_Current Period Desk _x000a_Reviews" totalsRowFunction="sum" dataDxfId="2560" totalsRowDxfId="2559"/>
    <tableColumn id="6" name="(F)_x000a_Current Period _x000a_Final _x000a_Audits" totalsRowFunction="sum" dataDxfId="2558" totalsRowDxfId="2557"/>
    <tableColumn id="7" name="(G)_x000a_Current Period _x000a_Other Adjustments" totalsRowFunction="sum" dataDxfId="2556" totalsRowDxfId="2555"/>
    <tableColumn id="8" name="(H)_x000a_Net Program Costs_x000a_Sum (C through G)" totalsRowFunction="sum" dataDxfId="2554" totalsRowDxfId="2553"/>
    <tableColumn id="9" name="(I)_x000a_Payments_x000a_ and Offsets" totalsRowFunction="sum" dataDxfId="2552" totalsRowDxfId="2551"/>
    <tableColumn id="10" name="(J)_x000a_Accounts Payable Balance_x000a_(H + I)" totalsRowFunction="sum" dataDxfId="2550" totalsRowDxfId="2549"/>
    <tableColumn id="11" name="(K)_x000a_Established _x000a_Accounts Receivable" totalsRowFunction="sum" dataDxfId="2548" totalsRowDxfId="2547"/>
    <tableColumn id="12" name="(L)_x000a_Recovered_x000a_ Accounts Receivable" totalsRowFunction="sum" dataDxfId="2546" totalsRowDxfId="2545"/>
    <tableColumn id="13" name="(M)_x000a_Accounts Receivable Balance_x000a_(K + L)" totalsRowFunction="sum" dataDxfId="2544" totalsRowDxfId="2543"/>
    <tableColumn id="14" name="(N)_x000a_Net Balance_x000a_(J minus M)" totalsRowFunction="sum" dataDxfId="2542" totalsRowDxfId="25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.xml><?xml version="1.0" encoding="utf-8"?>
<table xmlns="http://schemas.openxmlformats.org/spreadsheetml/2006/main" id="22" name="Program67" displayName="Program67" ref="A209:N230" totalsRowCount="1" headerRowDxfId="9268" dataDxfId="9266" totalsRowDxfId="9264" headerRowBorderDxfId="9267" tableBorderDxfId="9265" totalsRowBorderDxfId="9263">
  <autoFilter ref="A209:N229"/>
  <tableColumns count="14">
    <tableColumn id="1" name="(A)_x000a_Program Name" totalsRowLabel="Total Program 67" dataDxfId="9262" totalsRowDxfId="9261"/>
    <tableColumn id="2" name="(B)_x000a_Fiscal _x000a_Year" totalsRowLabel="N/A" dataDxfId="9260" totalsRowDxfId="9259"/>
    <tableColumn id="3" name="(C)_x000a_Program_x000a_Costs" totalsRowFunction="sum" dataDxfId="9258" totalsRowDxfId="9257"/>
    <tableColumn id="4" name="(D)_x000a_Prior Period Adjustments" totalsRowFunction="sum" dataDxfId="9256" totalsRowDxfId="9255"/>
    <tableColumn id="5" name="(E)_x000a_Current Period Desk _x000a_Reviews" totalsRowFunction="sum" dataDxfId="9254" totalsRowDxfId="9253"/>
    <tableColumn id="6" name="(F)_x000a_Current Period _x000a_Final _x000a_Audits" totalsRowFunction="sum" dataDxfId="9252" totalsRowDxfId="9251"/>
    <tableColumn id="7" name="(G)_x000a_Current Period _x000a_Other Adjustments" totalsRowFunction="sum" dataDxfId="9250" totalsRowDxfId="9249"/>
    <tableColumn id="8" name="(H)_x000a_Net Program Costs_x000a_Sum (C through G)" totalsRowFunction="sum" dataDxfId="9248" totalsRowDxfId="9247"/>
    <tableColumn id="9" name="(I)_x000a_Payments_x000a_ and Offsets" totalsRowFunction="sum" dataDxfId="9246" totalsRowDxfId="9245"/>
    <tableColumn id="10" name="(J)_x000a_Accounts Payable Balance_x000a_(H + I)" totalsRowFunction="sum" dataDxfId="9244" totalsRowDxfId="9243"/>
    <tableColumn id="11" name="(K)_x000a_Established _x000a_Accounts Receivable" totalsRowFunction="sum" dataDxfId="9242" totalsRowDxfId="9241"/>
    <tableColumn id="12" name="(L)_x000a_Recovered_x000a_ Accounts Receivable" totalsRowFunction="sum" dataDxfId="9240" totalsRowDxfId="9239"/>
    <tableColumn id="13" name="(M)_x000a_Accounts Receivable Balance_x000a_(K + L)" totalsRowFunction="sum" dataDxfId="9238" totalsRowDxfId="9237"/>
    <tableColumn id="14" name="(N)_x000a_Net Balance_x000a_(J minus M)" totalsRowFunction="sum" dataDxfId="9236" totalsRowDxfId="92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0.xml><?xml version="1.0" encoding="utf-8"?>
<table xmlns="http://schemas.openxmlformats.org/spreadsheetml/2006/main" id="220" name="Program304" displayName="Program304" ref="A1288:N1298" totalsRowCount="1" headerRowDxfId="2540" dataDxfId="2538" totalsRowDxfId="2536" headerRowBorderDxfId="2539" tableBorderDxfId="2537" totalsRowBorderDxfId="2535">
  <autoFilter ref="A1288:N1297"/>
  <tableColumns count="14">
    <tableColumn id="1" name="(A)_x000a_Program Name" totalsRowLabel="Total Program 304" dataDxfId="2534" totalsRowDxfId="2533"/>
    <tableColumn id="2" name="(B)_x000a_Fiscal _x000a_Year" totalsRowLabel="N/A" dataDxfId="2532" totalsRowDxfId="2531"/>
    <tableColumn id="3" name="(C)_x000a_Program_x000a_Costs" totalsRowFunction="sum" dataDxfId="2530" totalsRowDxfId="2529"/>
    <tableColumn id="4" name="(D)_x000a_Prior Period Adjustments" totalsRowFunction="sum" dataDxfId="2528" totalsRowDxfId="2527"/>
    <tableColumn id="5" name="(E)_x000a_Current Period Desk _x000a_Reviews" totalsRowFunction="sum" dataDxfId="2526" totalsRowDxfId="2525"/>
    <tableColumn id="6" name="(F)_x000a_Current Period _x000a_Final _x000a_Audits" totalsRowFunction="sum" dataDxfId="2524" totalsRowDxfId="2523"/>
    <tableColumn id="7" name="(G)_x000a_Current Period _x000a_Other Adjustments" totalsRowFunction="sum" dataDxfId="2522" totalsRowDxfId="2521"/>
    <tableColumn id="8" name="(H)_x000a_Net Program Costs_x000a_Sum (C through G)" totalsRowFunction="sum" dataDxfId="2520" totalsRowDxfId="2519"/>
    <tableColumn id="9" name="(I)_x000a_Payments_x000a_ and Offsets" totalsRowFunction="sum" dataDxfId="2518" totalsRowDxfId="2517"/>
    <tableColumn id="10" name="(J)_x000a_Accounts Payable Balance_x000a_(H + I)" totalsRowFunction="sum" dataDxfId="2516" totalsRowDxfId="2515"/>
    <tableColumn id="11" name="(K)_x000a_Established _x000a_Accounts Receivable" totalsRowFunction="sum" dataDxfId="2514" totalsRowDxfId="2513"/>
    <tableColumn id="12" name="(L)_x000a_Recovered_x000a_ Accounts Receivable" totalsRowFunction="sum" dataDxfId="2512" totalsRowDxfId="2511"/>
    <tableColumn id="13" name="(M)_x000a_Accounts Receivable Balance_x000a_(K + L)" totalsRowFunction="sum" dataDxfId="2510" totalsRowDxfId="2509"/>
    <tableColumn id="14" name="(N)_x000a_Net Balance_x000a_(J minus M)" totalsRowFunction="sum" dataDxfId="2508" totalsRowDxfId="25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1.xml><?xml version="1.0" encoding="utf-8"?>
<table xmlns="http://schemas.openxmlformats.org/spreadsheetml/2006/main" id="221" name="Program335" displayName="Program335" ref="A1300:N1314" totalsRowCount="1" headerRowDxfId="2506" dataDxfId="2504" totalsRowDxfId="2502" headerRowBorderDxfId="2505" tableBorderDxfId="2503" totalsRowBorderDxfId="2501">
  <autoFilter ref="A1300:N1313"/>
  <tableColumns count="14">
    <tableColumn id="1" name="(A)_x000a_Program Name" totalsRowLabel="Total Program 335" dataDxfId="2500" totalsRowDxfId="2499"/>
    <tableColumn id="2" name="(B)_x000a_Fiscal _x000a_Year" totalsRowLabel="N/A" dataDxfId="2498" totalsRowDxfId="2497"/>
    <tableColumn id="3" name="(C)_x000a_Program_x000a_Costs" totalsRowFunction="sum" dataDxfId="2496" totalsRowDxfId="2495"/>
    <tableColumn id="4" name="(D)_x000a_Prior Period Adjustments" totalsRowFunction="sum" dataDxfId="2494" totalsRowDxfId="2493"/>
    <tableColumn id="5" name="(E)_x000a_Current Period Desk _x000a_Reviews" totalsRowFunction="sum" dataDxfId="2492" totalsRowDxfId="2491"/>
    <tableColumn id="6" name="(F)_x000a_Current Period _x000a_Final _x000a_Audits" totalsRowFunction="sum" dataDxfId="2490" totalsRowDxfId="2489"/>
    <tableColumn id="7" name="(G)_x000a_Current Period _x000a_Other Adjustments" totalsRowFunction="sum" dataDxfId="2488" totalsRowDxfId="2487"/>
    <tableColumn id="8" name="(H)_x000a_Net Program Costs_x000a_Sum (C through G)" totalsRowFunction="sum" dataDxfId="2486" totalsRowDxfId="2485"/>
    <tableColumn id="9" name="(I)_x000a_Payments_x000a_ and Offsets" totalsRowFunction="sum" dataDxfId="2484" totalsRowDxfId="2483"/>
    <tableColumn id="10" name="(J)_x000a_Accounts Payable Balance_x000a_(H + I)" totalsRowFunction="sum" dataDxfId="2482" totalsRowDxfId="2481"/>
    <tableColumn id="11" name="(K)_x000a_Established _x000a_Accounts Receivable" totalsRowFunction="sum" dataDxfId="2480" totalsRowDxfId="2479"/>
    <tableColumn id="12" name="(L)_x000a_Recovered_x000a_ Accounts Receivable" totalsRowFunction="sum" dataDxfId="2478" totalsRowDxfId="2477"/>
    <tableColumn id="13" name="(M)_x000a_Accounts Receivable Balance_x000a_(K + L)" totalsRowFunction="sum" dataDxfId="2476" totalsRowDxfId="2475"/>
    <tableColumn id="14" name="(N)_x000a_Net Balance_x000a_(J minus M)" totalsRowFunction="sum" dataDxfId="2474" totalsRowDxfId="24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2.xml><?xml version="1.0" encoding="utf-8"?>
<table xmlns="http://schemas.openxmlformats.org/spreadsheetml/2006/main" id="222" name="Program151" displayName="Program151" ref="A1316:N1331" totalsRowCount="1" headerRowDxfId="2472" dataDxfId="2470" totalsRowDxfId="2468" headerRowBorderDxfId="2471" tableBorderDxfId="2469" totalsRowBorderDxfId="2467">
  <autoFilter ref="A1316:N1330"/>
  <tableColumns count="14">
    <tableColumn id="1" name="(A)_x000a_Program Name" totalsRowLabel="Total Program 151" dataDxfId="2466" totalsRowDxfId="2465"/>
    <tableColumn id="2" name="(B)_x000a_Fiscal _x000a_Year" totalsRowLabel="N/A" dataDxfId="2464" totalsRowDxfId="2463"/>
    <tableColumn id="3" name="(C)_x000a_Program_x000a_Costs" totalsRowFunction="sum" dataDxfId="2462" totalsRowDxfId="2461"/>
    <tableColumn id="4" name="(D)_x000a_Prior Period Adjustments" totalsRowFunction="sum" dataDxfId="2460" totalsRowDxfId="2459"/>
    <tableColumn id="5" name="(E)_x000a_Current Period Desk _x000a_Reviews" totalsRowFunction="sum" dataDxfId="2458" totalsRowDxfId="2457"/>
    <tableColumn id="6" name="(F)_x000a_Current Period _x000a_Final _x000a_Audits" totalsRowFunction="sum" dataDxfId="2456" totalsRowDxfId="2455"/>
    <tableColumn id="7" name="(G)_x000a_Current Period _x000a_Other Adjustments" totalsRowFunction="sum" dataDxfId="2454" totalsRowDxfId="2453"/>
    <tableColumn id="8" name="(H)_x000a_Net Program Costs_x000a_Sum (C through G)" totalsRowFunction="sum" dataDxfId="2452" totalsRowDxfId="2451"/>
    <tableColumn id="9" name="(I)_x000a_Payments_x000a_ and Offsets" totalsRowFunction="sum" dataDxfId="2450" totalsRowDxfId="2449"/>
    <tableColumn id="10" name="(J)_x000a_Accounts Payable Balance_x000a_(H + I)" totalsRowFunction="sum" dataDxfId="2448" totalsRowDxfId="2447"/>
    <tableColumn id="11" name="(K)_x000a_Established _x000a_Accounts Receivable" totalsRowFunction="sum" dataDxfId="2446" totalsRowDxfId="2445"/>
    <tableColumn id="12" name="(L)_x000a_Recovered_x000a_ Accounts Receivable" totalsRowFunction="sum" dataDxfId="2444" totalsRowDxfId="2443"/>
    <tableColumn id="13" name="(M)_x000a_Accounts Receivable Balance_x000a_(K + L)" totalsRowFunction="sum" dataDxfId="2442" totalsRowDxfId="2441"/>
    <tableColumn id="14" name="(N)_x000a_Net Balance_x000a_(J minus M)" totalsRowFunction="sum" dataDxfId="2440" totalsRowDxfId="24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3.xml><?xml version="1.0" encoding="utf-8"?>
<table xmlns="http://schemas.openxmlformats.org/spreadsheetml/2006/main" id="223" name="Program160" displayName="Program160" ref="A1333:N1340" totalsRowCount="1" headerRowDxfId="2438" dataDxfId="2436" totalsRowDxfId="2434" headerRowBorderDxfId="2437" tableBorderDxfId="2435" totalsRowBorderDxfId="2433">
  <autoFilter ref="A1333:N1339"/>
  <tableColumns count="14">
    <tableColumn id="1" name="(A)_x000a_Program Name" totalsRowLabel="Total Program 160" dataDxfId="2432" totalsRowDxfId="2431"/>
    <tableColumn id="2" name="(B)_x000a_Fiscal _x000a_Year" totalsRowLabel="N/A" dataDxfId="2430" totalsRowDxfId="2429"/>
    <tableColumn id="3" name="(C)_x000a_Program_x000a_Costs" totalsRowFunction="sum" dataDxfId="2428" totalsRowDxfId="2427"/>
    <tableColumn id="4" name="(D)_x000a_Prior Period Adjustments" totalsRowFunction="sum" dataDxfId="2426" totalsRowDxfId="2425"/>
    <tableColumn id="5" name="(E)_x000a_Current Period Desk _x000a_Reviews" totalsRowFunction="sum" dataDxfId="2424" totalsRowDxfId="2423"/>
    <tableColumn id="6" name="(F)_x000a_Current Period _x000a_Final _x000a_Audits" totalsRowFunction="sum" dataDxfId="2422" totalsRowDxfId="2421"/>
    <tableColumn id="7" name="(G)_x000a_Current Period _x000a_Other Adjustments" totalsRowFunction="sum" dataDxfId="2420" totalsRowDxfId="2419"/>
    <tableColumn id="8" name="(H)_x000a_Net Program Costs_x000a_Sum (C through G)" totalsRowFunction="sum" dataDxfId="2418" totalsRowDxfId="2417"/>
    <tableColumn id="9" name="(I)_x000a_Payments_x000a_ and Offsets" totalsRowFunction="sum" dataDxfId="2416" totalsRowDxfId="2415"/>
    <tableColumn id="10" name="(J)_x000a_Accounts Payable Balance_x000a_(H + I)" totalsRowFunction="sum" dataDxfId="2414" totalsRowDxfId="2413"/>
    <tableColumn id="11" name="(K)_x000a_Established _x000a_Accounts Receivable" totalsRowFunction="sum" dataDxfId="2412" totalsRowDxfId="2411"/>
    <tableColumn id="12" name="(L)_x000a_Recovered_x000a_ Accounts Receivable" totalsRowFunction="sum" dataDxfId="2410" totalsRowDxfId="2409"/>
    <tableColumn id="13" name="(M)_x000a_Accounts Receivable Balance_x000a_(K + L)" totalsRowFunction="sum" dataDxfId="2408" totalsRowDxfId="2407"/>
    <tableColumn id="14" name="(N)_x000a_Net Balance_x000a_(J minus M)" totalsRowFunction="sum" dataDxfId="2406" totalsRowDxfId="24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4.xml><?xml version="1.0" encoding="utf-8"?>
<table xmlns="http://schemas.openxmlformats.org/spreadsheetml/2006/main" id="224" name="Program165" displayName="Program165" ref="A1342:N1358" totalsRowCount="1" headerRowDxfId="2404" dataDxfId="2402" totalsRowDxfId="2400" headerRowBorderDxfId="2403" tableBorderDxfId="2401" totalsRowBorderDxfId="2399">
  <autoFilter ref="A1342:N1357"/>
  <tableColumns count="14">
    <tableColumn id="1" name="(A)_x000a_Program Name" totalsRowLabel="Total Program 165" dataDxfId="2398" totalsRowDxfId="2397"/>
    <tableColumn id="2" name="(B)_x000a_Fiscal _x000a_Year" totalsRowLabel="N/A" dataDxfId="2396" totalsRowDxfId="2395"/>
    <tableColumn id="3" name="(C)_x000a_Program_x000a_Costs" totalsRowFunction="sum" dataDxfId="2394" totalsRowDxfId="2393"/>
    <tableColumn id="4" name="(D)_x000a_Prior Period Adjustments" totalsRowFunction="sum" dataDxfId="2392" totalsRowDxfId="2391"/>
    <tableColumn id="5" name="(E)_x000a_Current Period Desk _x000a_Reviews" totalsRowFunction="sum" dataDxfId="2390" totalsRowDxfId="2389"/>
    <tableColumn id="6" name="(F)_x000a_Current Period _x000a_Final _x000a_Audits" totalsRowFunction="sum" dataDxfId="2388" totalsRowDxfId="2387"/>
    <tableColumn id="7" name="(G)_x000a_Current Period _x000a_Other Adjustments" totalsRowFunction="sum" dataDxfId="2386" totalsRowDxfId="2385"/>
    <tableColumn id="8" name="(H)_x000a_Net Program Costs_x000a_Sum (C through G)" totalsRowFunction="sum" dataDxfId="2384" totalsRowDxfId="2383"/>
    <tableColumn id="9" name="(I)_x000a_Payments_x000a_ and Offsets" totalsRowFunction="sum" dataDxfId="2382" totalsRowDxfId="2381"/>
    <tableColumn id="10" name="(J)_x000a_Accounts Payable Balance_x000a_(H + I)" totalsRowFunction="sum" dataDxfId="2380" totalsRowDxfId="2379"/>
    <tableColumn id="11" name="(K)_x000a_Established _x000a_Accounts Receivable" totalsRowFunction="sum" dataDxfId="2378" totalsRowDxfId="2377"/>
    <tableColumn id="12" name="(L)_x000a_Recovered_x000a_ Accounts Receivable" totalsRowFunction="sum" dataDxfId="2376" totalsRowDxfId="2375"/>
    <tableColumn id="13" name="(M)_x000a_Accounts Receivable Balance_x000a_(K + L)" totalsRowFunction="sum" dataDxfId="2374" totalsRowDxfId="2373"/>
    <tableColumn id="14" name="(N)_x000a_Net Balance_x000a_(J minus M)" totalsRowFunction="sum" dataDxfId="2372" totalsRowDxfId="23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5.xml><?xml version="1.0" encoding="utf-8"?>
<table xmlns="http://schemas.openxmlformats.org/spreadsheetml/2006/main" id="225" name="Program271" displayName="Program271" ref="A1360:N1376" totalsRowCount="1" headerRowDxfId="2370" dataDxfId="2368" totalsRowDxfId="2366" headerRowBorderDxfId="2369" tableBorderDxfId="2367" totalsRowBorderDxfId="2365">
  <autoFilter ref="A1360:N1375"/>
  <tableColumns count="14">
    <tableColumn id="1" name="(A)_x000a_Program Name" totalsRowLabel="Total Program 271" dataDxfId="2364" totalsRowDxfId="2363"/>
    <tableColumn id="2" name="(B)_x000a_Fiscal _x000a_Year" totalsRowLabel="N/A" dataDxfId="2362" totalsRowDxfId="2361"/>
    <tableColumn id="3" name="(C)_x000a_Program_x000a_Costs" totalsRowFunction="sum" dataDxfId="2360" totalsRowDxfId="2359"/>
    <tableColumn id="4" name="(D)_x000a_Prior Period Adjustments" totalsRowFunction="sum" dataDxfId="2358" totalsRowDxfId="2357"/>
    <tableColumn id="5" name="(E)_x000a_Current Period Desk _x000a_Reviews" totalsRowFunction="sum" dataDxfId="2356" totalsRowDxfId="2355"/>
    <tableColumn id="6" name="(F)_x000a_Current Period _x000a_Final _x000a_Audits" totalsRowFunction="sum" dataDxfId="2354" totalsRowDxfId="2353"/>
    <tableColumn id="7" name="(G)_x000a_Current Period _x000a_Other Adjustments" totalsRowFunction="sum" dataDxfId="2352" totalsRowDxfId="2351"/>
    <tableColumn id="8" name="(H)_x000a_Net Program Costs_x000a_Sum (C through G)" totalsRowFunction="sum" dataDxfId="2350" totalsRowDxfId="2349"/>
    <tableColumn id="9" name="(I)_x000a_Payments_x000a_ and Offsets" totalsRowFunction="sum" dataDxfId="2348" totalsRowDxfId="2347"/>
    <tableColumn id="10" name="(J)_x000a_Accounts Payable Balance_x000a_(H + I)" totalsRowFunction="sum" dataDxfId="2346" totalsRowDxfId="2345"/>
    <tableColumn id="11" name="(K)_x000a_Established _x000a_Accounts Receivable" totalsRowFunction="sum" dataDxfId="2344" totalsRowDxfId="2343"/>
    <tableColumn id="12" name="(L)_x000a_Recovered_x000a_ Accounts Receivable" totalsRowFunction="sum" dataDxfId="2342" totalsRowDxfId="2341"/>
    <tableColumn id="13" name="(M)_x000a_Accounts Receivable Balance_x000a_(K + L)" totalsRowFunction="sum" dataDxfId="2340" totalsRowDxfId="2339"/>
    <tableColumn id="14" name="(N)_x000a_Net Balance_x000a_(J minus M)" totalsRowFunction="sum" dataDxfId="2338" totalsRowDxfId="23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6.xml><?xml version="1.0" encoding="utf-8"?>
<table xmlns="http://schemas.openxmlformats.org/spreadsheetml/2006/main" id="226" name="Program325" displayName="Program325" ref="A1378:N1380" totalsRowCount="1" headerRowDxfId="2336" dataDxfId="2334" totalsRowDxfId="2332" headerRowBorderDxfId="2335" tableBorderDxfId="2333" totalsRowBorderDxfId="2331">
  <autoFilter ref="A1378:N1379"/>
  <tableColumns count="14">
    <tableColumn id="1" name="(A)_x000a_Program Name" totalsRowLabel="Total Program 325" dataDxfId="2330" totalsRowDxfId="2329"/>
    <tableColumn id="2" name="(B)_x000a_Fiscal _x000a_Year" totalsRowLabel="N/A" dataDxfId="2328" totalsRowDxfId="2327"/>
    <tableColumn id="3" name="(C)_x000a_Program_x000a_Costs" totalsRowFunction="sum" dataDxfId="2326" totalsRowDxfId="2325">
      <calculatedColumnFormula>SUBTOTAL(9,C1378:C1378)</calculatedColumnFormula>
    </tableColumn>
    <tableColumn id="4" name="(D)_x000a_Prior Period Adjustments" totalsRowFunction="sum" dataDxfId="2324" totalsRowDxfId="2323">
      <calculatedColumnFormula>SUBTOTAL(9,D1378:D1378)</calculatedColumnFormula>
    </tableColumn>
    <tableColumn id="5" name="(E)_x000a_Current Period Desk _x000a_Reviews" totalsRowFunction="sum" dataDxfId="2322" totalsRowDxfId="2321">
      <calculatedColumnFormula>SUBTOTAL(9,E1378:E1378)</calculatedColumnFormula>
    </tableColumn>
    <tableColumn id="6" name="(F)_x000a_Current Period _x000a_Final _x000a_Audits" totalsRowFunction="sum" dataDxfId="2320" totalsRowDxfId="2319">
      <calculatedColumnFormula>SUBTOTAL(9,F1378:F1378)</calculatedColumnFormula>
    </tableColumn>
    <tableColumn id="7" name="(G)_x000a_Current Period _x000a_Other Adjustments" totalsRowFunction="sum" dataDxfId="2318" totalsRowDxfId="2317">
      <calculatedColumnFormula>SUBTOTAL(9,G1378:G1378)</calculatedColumnFormula>
    </tableColumn>
    <tableColumn id="8" name="(H)_x000a_Net Program Costs_x000a_Sum (C through G)" totalsRowFunction="sum" dataDxfId="2316" totalsRowDxfId="2315">
      <calculatedColumnFormula>SUBTOTAL(9,H1378:H1378)</calculatedColumnFormula>
    </tableColumn>
    <tableColumn id="9" name="(I)_x000a_Payments_x000a_ and Offsets" totalsRowFunction="sum" dataDxfId="2314" totalsRowDxfId="2313">
      <calculatedColumnFormula>SUBTOTAL(9,I1378:I1378)</calculatedColumnFormula>
    </tableColumn>
    <tableColumn id="10" name="(J)_x000a_Accounts Payable Balance_x000a_(H + I)" totalsRowFunction="sum" dataDxfId="2312" totalsRowDxfId="2311">
      <calculatedColumnFormula>SUBTOTAL(9,J1378:J1378)</calculatedColumnFormula>
    </tableColumn>
    <tableColumn id="11" name="(K)_x000a_Established _x000a_Accounts Receivable" totalsRowFunction="sum" dataDxfId="2310" totalsRowDxfId="2309">
      <calculatedColumnFormula>SUBTOTAL(9,K1378:K1378)</calculatedColumnFormula>
    </tableColumn>
    <tableColumn id="12" name="(L)_x000a_Recovered_x000a_ Accounts Receivable" totalsRowFunction="sum" dataDxfId="2308" totalsRowDxfId="2307">
      <calculatedColumnFormula>SUBTOTAL(9,L1378:L1378)</calculatedColumnFormula>
    </tableColumn>
    <tableColumn id="13" name="(M)_x000a_Accounts Receivable Balance_x000a_(K + L)" totalsRowFunction="sum" dataDxfId="2306" totalsRowDxfId="2305">
      <calculatedColumnFormula>SUBTOTAL(9,M1378:M1378)</calculatedColumnFormula>
    </tableColumn>
    <tableColumn id="14" name="(N)_x000a_Net Balance_x000a_(J minus M)" totalsRowFunction="sum" dataDxfId="2304" totalsRowDxfId="2303">
      <calculatedColumnFormula>SUBTOTAL(9,N1378:N1378)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7.xml><?xml version="1.0" encoding="utf-8"?>
<table xmlns="http://schemas.openxmlformats.org/spreadsheetml/2006/main" id="227" name="Program326" displayName="Program326" ref="A1382:N1384" totalsRowCount="1" headerRowDxfId="2302" dataDxfId="2300" totalsRowDxfId="2298" headerRowBorderDxfId="2301" tableBorderDxfId="2299" totalsRowBorderDxfId="2297">
  <autoFilter ref="A1382:N1383"/>
  <tableColumns count="14">
    <tableColumn id="1" name="(A)_x000a_Program Name" totalsRowLabel="Total Program 326" dataDxfId="2296" totalsRowDxfId="2295"/>
    <tableColumn id="2" name="(B)_x000a_Fiscal _x000a_Year" totalsRowLabel="N/A" dataDxfId="2294" totalsRowDxfId="2293"/>
    <tableColumn id="3" name="(C)_x000a_Program_x000a_Costs" totalsRowFunction="sum" dataDxfId="2292" totalsRowDxfId="2291">
      <calculatedColumnFormula>SUBTOTAL(9,C1382:C1382)</calculatedColumnFormula>
    </tableColumn>
    <tableColumn id="4" name="(D)_x000a_Prior Period Adjustments" totalsRowFunction="sum" dataDxfId="2290" totalsRowDxfId="2289">
      <calculatedColumnFormula>SUBTOTAL(9,D1382:D1382)</calculatedColumnFormula>
    </tableColumn>
    <tableColumn id="5" name="(E)_x000a_Current Period Desk _x000a_Reviews" totalsRowFunction="sum" dataDxfId="2288" totalsRowDxfId="2287">
      <calculatedColumnFormula>SUBTOTAL(9,E1382:E1382)</calculatedColumnFormula>
    </tableColumn>
    <tableColumn id="6" name="(F)_x000a_Current Period _x000a_Final _x000a_Audits" totalsRowFunction="sum" dataDxfId="2286" totalsRowDxfId="2285">
      <calculatedColumnFormula>SUBTOTAL(9,F1382:F1382)</calculatedColumnFormula>
    </tableColumn>
    <tableColumn id="7" name="(G)_x000a_Current Period _x000a_Other Adjustments" totalsRowFunction="sum" dataDxfId="2284" totalsRowDxfId="2283">
      <calculatedColumnFormula>SUBTOTAL(9,G1382:G1382)</calculatedColumnFormula>
    </tableColumn>
    <tableColumn id="8" name="(H)_x000a_Net Program Costs_x000a_Sum (C through G)" totalsRowFunction="sum" dataDxfId="2282" totalsRowDxfId="2281">
      <calculatedColumnFormula>SUBTOTAL(9,H1382:H1382)</calculatedColumnFormula>
    </tableColumn>
    <tableColumn id="9" name="(I)_x000a_Payments_x000a_ and Offsets" totalsRowFunction="sum" dataDxfId="2280" totalsRowDxfId="2279">
      <calculatedColumnFormula>SUBTOTAL(9,I1382:I1382)</calculatedColumnFormula>
    </tableColumn>
    <tableColumn id="10" name="(J)_x000a_Accounts Payable Balance_x000a_(H + I)" totalsRowFunction="sum" dataDxfId="2278" totalsRowDxfId="2277">
      <calculatedColumnFormula>SUBTOTAL(9,J1382:J1382)</calculatedColumnFormula>
    </tableColumn>
    <tableColumn id="11" name="(K)_x000a_Established _x000a_Accounts Receivable" totalsRowFunction="sum" dataDxfId="2276" totalsRowDxfId="2275">
      <calculatedColumnFormula>SUBTOTAL(9,K1382:K1382)</calculatedColumnFormula>
    </tableColumn>
    <tableColumn id="12" name="(L)_x000a_Recovered_x000a_ Accounts Receivable" totalsRowFunction="sum" dataDxfId="2274" totalsRowDxfId="2273">
      <calculatedColumnFormula>SUBTOTAL(9,L1382:L1382)</calculatedColumnFormula>
    </tableColumn>
    <tableColumn id="13" name="(M)_x000a_Accounts Receivable Balance_x000a_(K + L)" totalsRowFunction="sum" dataDxfId="2272" totalsRowDxfId="2271">
      <calculatedColumnFormula>SUBTOTAL(9,M1382:M1382)</calculatedColumnFormula>
    </tableColumn>
    <tableColumn id="14" name="(N)_x000a_Net Balance_x000a_(J minus M)" totalsRowFunction="sum" dataDxfId="2270" totalsRowDxfId="2269">
      <calculatedColumnFormula>SUBTOTAL(9,N1382:N1382)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8.xml><?xml version="1.0" encoding="utf-8"?>
<table xmlns="http://schemas.openxmlformats.org/spreadsheetml/2006/main" id="228" name="Program327" displayName="Program327" ref="A1386:N1389" totalsRowCount="1" headerRowDxfId="2268" dataDxfId="2266" totalsRowDxfId="2264" headerRowBorderDxfId="2267" tableBorderDxfId="2265" totalsRowBorderDxfId="2263">
  <autoFilter ref="A1386:N1388"/>
  <tableColumns count="14">
    <tableColumn id="1" name="(A)_x000a_Program Name" totalsRowLabel="Total Program 327" dataDxfId="2262" totalsRowDxfId="2261"/>
    <tableColumn id="2" name="(B)_x000a_Fiscal _x000a_Year" totalsRowLabel="N/A" dataDxfId="2260" totalsRowDxfId="2259"/>
    <tableColumn id="3" name="(C)_x000a_Program_x000a_Costs" totalsRowFunction="sum" dataDxfId="2258" totalsRowDxfId="2257"/>
    <tableColumn id="4" name="(D)_x000a_Prior Period Adjustments" totalsRowFunction="sum" dataDxfId="2256" totalsRowDxfId="2255"/>
    <tableColumn id="5" name="(E)_x000a_Current Period Desk _x000a_Reviews" totalsRowFunction="sum" dataDxfId="2254" totalsRowDxfId="2253"/>
    <tableColumn id="6" name="(F)_x000a_Current Period _x000a_Final _x000a_Audits" totalsRowFunction="sum" dataDxfId="2252" totalsRowDxfId="2251"/>
    <tableColumn id="7" name="(G)_x000a_Current Period _x000a_Other Adjustments" totalsRowFunction="sum" dataDxfId="2250" totalsRowDxfId="2249"/>
    <tableColumn id="8" name="(H)_x000a_Net Program Costs_x000a_Sum (C through G)" totalsRowFunction="sum" dataDxfId="2248" totalsRowDxfId="2247"/>
    <tableColumn id="9" name="(I)_x000a_Payments_x000a_ and Offsets" totalsRowFunction="sum" dataDxfId="2246" totalsRowDxfId="2245"/>
    <tableColumn id="10" name="(J)_x000a_Accounts Payable Balance_x000a_(H + I)" totalsRowFunction="sum" dataDxfId="2244" totalsRowDxfId="2243"/>
    <tableColumn id="11" name="(K)_x000a_Established _x000a_Accounts Receivable" totalsRowFunction="sum" dataDxfId="2242" totalsRowDxfId="2241"/>
    <tableColumn id="12" name="(L)_x000a_Recovered_x000a_ Accounts Receivable" totalsRowFunction="sum" dataDxfId="2240" totalsRowDxfId="2239"/>
    <tableColumn id="13" name="(M)_x000a_Accounts Receivable Balance_x000a_(K + L)" totalsRowFunction="sum" dataDxfId="2238" totalsRowDxfId="2237"/>
    <tableColumn id="14" name="(N)_x000a_Net Balance_x000a_(J minus M)" totalsRowFunction="sum" dataDxfId="2236" totalsRowDxfId="22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29.xml><?xml version="1.0" encoding="utf-8"?>
<table xmlns="http://schemas.openxmlformats.org/spreadsheetml/2006/main" id="229" name="Program328" displayName="Program328" ref="A1391:N1394" totalsRowCount="1" headerRowDxfId="2234" dataDxfId="2232" totalsRowDxfId="2230" headerRowBorderDxfId="2233" tableBorderDxfId="2231" totalsRowBorderDxfId="2229">
  <autoFilter ref="A1391:N1393"/>
  <tableColumns count="14">
    <tableColumn id="1" name="(A)_x000a_Program Name" totalsRowLabel="Total Program 328" dataDxfId="2228" totalsRowDxfId="2227"/>
    <tableColumn id="2" name="(B)_x000a_Fiscal _x000a_Year" totalsRowLabel="N/A" dataDxfId="2226" totalsRowDxfId="2225"/>
    <tableColumn id="3" name="(C)_x000a_Program_x000a_Costs" totalsRowFunction="sum" dataDxfId="2224" totalsRowDxfId="2223"/>
    <tableColumn id="4" name="(D)_x000a_Prior Period Adjustments" totalsRowFunction="sum" dataDxfId="2222" totalsRowDxfId="2221"/>
    <tableColumn id="5" name="(E)_x000a_Current Period Desk _x000a_Reviews" totalsRowFunction="sum" dataDxfId="2220" totalsRowDxfId="2219"/>
    <tableColumn id="6" name="(F)_x000a_Current Period _x000a_Final _x000a_Audits" totalsRowFunction="sum" dataDxfId="2218" totalsRowDxfId="2217"/>
    <tableColumn id="7" name="(G)_x000a_Current Period _x000a_Other Adjustments" totalsRowFunction="sum" dataDxfId="2216" totalsRowDxfId="2215"/>
    <tableColumn id="8" name="(H)_x000a_Net Program Costs_x000a_Sum (C through G)" totalsRowFunction="sum" dataDxfId="2214" totalsRowDxfId="2213"/>
    <tableColumn id="9" name="(I)_x000a_Payments_x000a_ and Offsets" totalsRowFunction="sum" dataDxfId="2212" totalsRowDxfId="2211"/>
    <tableColumn id="10" name="(J)_x000a_Accounts Payable Balance_x000a_(H + I)" totalsRowFunction="sum" dataDxfId="2210" totalsRowDxfId="2209"/>
    <tableColumn id="11" name="(K)_x000a_Established _x000a_Accounts Receivable" totalsRowFunction="sum" dataDxfId="2208" totalsRowDxfId="2207"/>
    <tableColumn id="12" name="(L)_x000a_Recovered_x000a_ Accounts Receivable" totalsRowFunction="sum" dataDxfId="2206" totalsRowDxfId="2205"/>
    <tableColumn id="13" name="(M)_x000a_Accounts Receivable Balance_x000a_(K + L)" totalsRowFunction="sum" dataDxfId="2204" totalsRowDxfId="2203"/>
    <tableColumn id="14" name="(N)_x000a_Net Balance_x000a_(J minus M)" totalsRowFunction="sum" dataDxfId="2202" totalsRowDxfId="22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.xml><?xml version="1.0" encoding="utf-8"?>
<table xmlns="http://schemas.openxmlformats.org/spreadsheetml/2006/main" id="23" name="Program88" displayName="Program88" ref="A232:N249" totalsRowCount="1" headerRowDxfId="9234" dataDxfId="9232" totalsRowDxfId="9230" headerRowBorderDxfId="9233" tableBorderDxfId="9231" totalsRowBorderDxfId="9229">
  <autoFilter ref="A232:N248"/>
  <tableColumns count="14">
    <tableColumn id="1" name="(A)_x000a_Program Name" totalsRowLabel="Total Program 88" dataDxfId="9228" totalsRowDxfId="9227"/>
    <tableColumn id="2" name="(B)_x000a_Fiscal _x000a_Year" totalsRowLabel="N/A" dataDxfId="9226" totalsRowDxfId="9225"/>
    <tableColumn id="3" name="(C)_x000a_Program_x000a_Costs" totalsRowFunction="sum" dataDxfId="9224" totalsRowDxfId="9223"/>
    <tableColumn id="4" name="(D)_x000a_Prior Period Adjustments" totalsRowFunction="sum" dataDxfId="9222" totalsRowDxfId="9221"/>
    <tableColumn id="5" name="(E)_x000a_Current Period Desk _x000a_Reviews" totalsRowFunction="sum" dataDxfId="9220" totalsRowDxfId="9219"/>
    <tableColumn id="6" name="(F)_x000a_Current Period _x000a_Final _x000a_Audits" totalsRowFunction="sum" dataDxfId="9218" totalsRowDxfId="9217"/>
    <tableColumn id="7" name="(G)_x000a_Current Period _x000a_Other Adjustments" totalsRowFunction="sum" dataDxfId="9216" totalsRowDxfId="9215"/>
    <tableColumn id="8" name="(H)_x000a_Net Program Costs_x000a_Sum (C through G)" totalsRowFunction="sum" dataDxfId="9214" totalsRowDxfId="9213"/>
    <tableColumn id="9" name="(I)_x000a_Payments_x000a_ and Offsets" totalsRowFunction="sum" dataDxfId="9212" totalsRowDxfId="9211"/>
    <tableColumn id="10" name="(J)_x000a_Accounts Payable Balance_x000a_(H + I)" totalsRowFunction="sum" dataDxfId="9210" totalsRowDxfId="9209"/>
    <tableColumn id="11" name="(K)_x000a_Established _x000a_Accounts Receivable" totalsRowFunction="sum" dataDxfId="9208" totalsRowDxfId="9207"/>
    <tableColumn id="12" name="(L)_x000a_Recovered_x000a_ Accounts Receivable" totalsRowFunction="sum" dataDxfId="9206" totalsRowDxfId="9205"/>
    <tableColumn id="13" name="(M)_x000a_Accounts Receivable Balance_x000a_(K + L)" totalsRowFunction="sum" dataDxfId="9204" totalsRowDxfId="9203"/>
    <tableColumn id="14" name="(N)_x000a_Net Balance_x000a_(J minus M)" totalsRowFunction="sum" dataDxfId="9202" totalsRowDxfId="92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0.xml><?xml version="1.0" encoding="utf-8"?>
<table xmlns="http://schemas.openxmlformats.org/spreadsheetml/2006/main" id="230" name="Program329" displayName="Program329" ref="A1396:N1408" totalsRowCount="1" headerRowDxfId="2200" dataDxfId="2198" totalsRowDxfId="2196" headerRowBorderDxfId="2199" tableBorderDxfId="2197" totalsRowBorderDxfId="2195">
  <autoFilter ref="A1396:N1407"/>
  <tableColumns count="14">
    <tableColumn id="1" name="(A)_x000a_Program Name" totalsRowLabel="Total Program 329" dataDxfId="2194" totalsRowDxfId="2193"/>
    <tableColumn id="2" name="(B)_x000a_Fiscal _x000a_Year" totalsRowLabel="N/A" dataDxfId="2192" totalsRowDxfId="2191"/>
    <tableColumn id="3" name="(C)_x000a_Program_x000a_Costs" totalsRowFunction="sum" dataDxfId="2190" totalsRowDxfId="2189"/>
    <tableColumn id="4" name="(D)_x000a_Prior Period Adjustments" totalsRowFunction="sum" dataDxfId="2188" totalsRowDxfId="2187"/>
    <tableColumn id="5" name="(E)_x000a_Current Period Desk _x000a_Reviews" totalsRowFunction="sum" dataDxfId="2186" totalsRowDxfId="2185"/>
    <tableColumn id="6" name="(F)_x000a_Current Period _x000a_Final _x000a_Audits" totalsRowFunction="sum" dataDxfId="2184" totalsRowDxfId="2183"/>
    <tableColumn id="7" name="(G)_x000a_Current Period _x000a_Other Adjustments" totalsRowFunction="sum" dataDxfId="2182" totalsRowDxfId="2181"/>
    <tableColumn id="8" name="(H)_x000a_Net Program Costs_x000a_Sum (C through G)" totalsRowFunction="sum" dataDxfId="2180" totalsRowDxfId="2179"/>
    <tableColumn id="9" name="(I)_x000a_Payments_x000a_ and Offsets" totalsRowFunction="sum" dataDxfId="2178" totalsRowDxfId="2177"/>
    <tableColumn id="10" name="(J)_x000a_Accounts Payable Balance_x000a_(H + I)" totalsRowFunction="sum" dataDxfId="2176" totalsRowDxfId="2175"/>
    <tableColumn id="11" name="(K)_x000a_Established _x000a_Accounts Receivable" totalsRowFunction="sum" dataDxfId="2174" totalsRowDxfId="2173"/>
    <tableColumn id="12" name="(L)_x000a_Recovered_x000a_ Accounts Receivable" totalsRowFunction="sum" dataDxfId="2172" totalsRowDxfId="2171"/>
    <tableColumn id="13" name="(M)_x000a_Accounts Receivable Balance_x000a_(K + L)" totalsRowFunction="sum" dataDxfId="2170" totalsRowDxfId="2169"/>
    <tableColumn id="14" name="(N)_x000a_Net Balance_x000a_(J minus M)" totalsRowFunction="sum" dataDxfId="2168" totalsRowDxfId="21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1.xml><?xml version="1.0" encoding="utf-8"?>
<table xmlns="http://schemas.openxmlformats.org/spreadsheetml/2006/main" id="231" name="Program139" displayName="Program139" ref="A1410:N1424" totalsRowCount="1" headerRowDxfId="2166" dataDxfId="2164" totalsRowDxfId="2162" headerRowBorderDxfId="2165" tableBorderDxfId="2163" totalsRowBorderDxfId="2161">
  <autoFilter ref="A1410:N1423"/>
  <tableColumns count="14">
    <tableColumn id="1" name="(A)_x000a_Program Name" totalsRowLabel="Total Program 139" dataDxfId="2160" totalsRowDxfId="2159"/>
    <tableColumn id="2" name="(B)_x000a_Fiscal _x000a_Year" totalsRowLabel="N/A" dataDxfId="2158" totalsRowDxfId="2157"/>
    <tableColumn id="3" name="(C)_x000a_Program_x000a_Costs" totalsRowFunction="sum" dataDxfId="2156" totalsRowDxfId="2155"/>
    <tableColumn id="4" name="(D)_x000a_Prior Period Adjustments" totalsRowFunction="sum" dataDxfId="2154" totalsRowDxfId="2153"/>
    <tableColumn id="5" name="(E)_x000a_Current Period Desk _x000a_Reviews" totalsRowFunction="sum" dataDxfId="2152" totalsRowDxfId="2151"/>
    <tableColumn id="6" name="(F)_x000a_Current Period _x000a_Final _x000a_Audits" totalsRowFunction="sum" dataDxfId="2150" totalsRowDxfId="2149"/>
    <tableColumn id="7" name="(G)_x000a_Current Period _x000a_Other Adjustments" totalsRowFunction="sum" dataDxfId="2148" totalsRowDxfId="2147"/>
    <tableColumn id="8" name="(H)_x000a_Net Program Costs_x000a_Sum (C through G)" totalsRowFunction="sum" dataDxfId="2146" totalsRowDxfId="2145"/>
    <tableColumn id="9" name="(I)_x000a_Payments_x000a_ and Offsets" totalsRowFunction="sum" dataDxfId="2144" totalsRowDxfId="2143"/>
    <tableColumn id="10" name="(J)_x000a_Accounts Payable Balance_x000a_(H + I)" totalsRowFunction="sum" dataDxfId="2142" totalsRowDxfId="2141"/>
    <tableColumn id="11" name="(K)_x000a_Established _x000a_Accounts Receivable" totalsRowFunction="sum" dataDxfId="2140" totalsRowDxfId="2139"/>
    <tableColumn id="12" name="(L)_x000a_Recovered_x000a_ Accounts Receivable" totalsRowFunction="sum" dataDxfId="2138" totalsRowDxfId="2137"/>
    <tableColumn id="13" name="(M)_x000a_Accounts Receivable Balance_x000a_(K + L)" totalsRowFunction="sum" dataDxfId="2136" totalsRowDxfId="2135"/>
    <tableColumn id="14" name="(N)_x000a_Net Balance_x000a_(J minus M)" totalsRowFunction="sum" dataDxfId="2134" totalsRowDxfId="21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2.xml><?xml version="1.0" encoding="utf-8"?>
<table xmlns="http://schemas.openxmlformats.org/spreadsheetml/2006/main" id="232" name="Program261" displayName="Program261" ref="A1426:N1441" totalsRowCount="1" headerRowDxfId="2132" dataDxfId="2130" totalsRowDxfId="2128" headerRowBorderDxfId="2131" tableBorderDxfId="2129" totalsRowBorderDxfId="2127">
  <autoFilter ref="A1426:N1440"/>
  <tableColumns count="14">
    <tableColumn id="1" name="(A)_x000a_Program Name" totalsRowLabel="Total Program 261" dataDxfId="2126" totalsRowDxfId="2125"/>
    <tableColumn id="2" name="(B)_x000a_Fiscal _x000a_Year" totalsRowLabel="N/A" dataDxfId="2124" totalsRowDxfId="2123"/>
    <tableColumn id="3" name="(C)_x000a_Program_x000a_Costs" totalsRowFunction="sum" dataDxfId="2122" totalsRowDxfId="2121"/>
    <tableColumn id="4" name="(D)_x000a_Prior Period Adjustments" totalsRowFunction="sum" dataDxfId="2120" totalsRowDxfId="2119"/>
    <tableColumn id="5" name="(E)_x000a_Current Period Desk _x000a_Reviews" totalsRowFunction="sum" dataDxfId="2118" totalsRowDxfId="2117"/>
    <tableColumn id="6" name="(F)_x000a_Current Period _x000a_Final _x000a_Audits" totalsRowFunction="sum" dataDxfId="2116" totalsRowDxfId="2115"/>
    <tableColumn id="7" name="(G)_x000a_Current Period _x000a_Other Adjustments" totalsRowFunction="sum" dataDxfId="2114" totalsRowDxfId="2113"/>
    <tableColumn id="8" name="(H)_x000a_Net Program Costs_x000a_Sum (C through G)" totalsRowFunction="sum" dataDxfId="2112" totalsRowDxfId="2111"/>
    <tableColumn id="9" name="(I)_x000a_Payments_x000a_ and Offsets" totalsRowFunction="sum" dataDxfId="2110" totalsRowDxfId="2109"/>
    <tableColumn id="10" name="(J)_x000a_Accounts Payable Balance_x000a_(H + I)" totalsRowFunction="sum" dataDxfId="2108" totalsRowDxfId="2107"/>
    <tableColumn id="11" name="(K)_x000a_Established _x000a_Accounts Receivable" totalsRowFunction="sum" dataDxfId="2106" totalsRowDxfId="2105"/>
    <tableColumn id="12" name="(L)_x000a_Recovered_x000a_ Accounts Receivable" totalsRowFunction="sum" dataDxfId="2104" totalsRowDxfId="2103"/>
    <tableColumn id="13" name="(M)_x000a_Accounts Receivable Balance_x000a_(K + L)" totalsRowFunction="sum" dataDxfId="2102" totalsRowDxfId="2101"/>
    <tableColumn id="14" name="(N)_x000a_Net Balance_x000a_(J minus M)" totalsRowFunction="sum" dataDxfId="2100" totalsRowDxfId="20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3.xml><?xml version="1.0" encoding="utf-8"?>
<table xmlns="http://schemas.openxmlformats.org/spreadsheetml/2006/main" id="233" name="Program244" displayName="Program244" ref="A1443:N1466" totalsRowCount="1" headerRowDxfId="2098" dataDxfId="2096" totalsRowDxfId="2094" headerRowBorderDxfId="2097" tableBorderDxfId="2095" totalsRowBorderDxfId="2093">
  <autoFilter ref="A1443:N1465"/>
  <tableColumns count="14">
    <tableColumn id="1" name="(A)_x000a_Program Name" totalsRowLabel="Total Program 244" dataDxfId="2092" totalsRowDxfId="2091"/>
    <tableColumn id="2" name="(B)_x000a_Fiscal _x000a_Year" totalsRowLabel="N/A" dataDxfId="2090" totalsRowDxfId="2089"/>
    <tableColumn id="3" name="(C)_x000a_Program_x000a_Costs" totalsRowFunction="sum" dataDxfId="2088" totalsRowDxfId="2087"/>
    <tableColumn id="4" name="(D)_x000a_Prior Period Adjustments" totalsRowFunction="sum" dataDxfId="2086" totalsRowDxfId="2085"/>
    <tableColumn id="5" name="(E)_x000a_Current Period Desk _x000a_Reviews" totalsRowFunction="sum" dataDxfId="2084" totalsRowDxfId="2083"/>
    <tableColumn id="6" name="(F)_x000a_Current Period _x000a_Final _x000a_Audits" totalsRowFunction="sum" dataDxfId="2082" totalsRowDxfId="2081"/>
    <tableColumn id="7" name="(G)_x000a_Current Period _x000a_Other Adjustments" totalsRowFunction="sum" dataDxfId="2080" totalsRowDxfId="2079"/>
    <tableColumn id="8" name="(H)_x000a_Net Program Costs_x000a_Sum (C through G)" totalsRowFunction="sum" dataDxfId="2078" totalsRowDxfId="2077"/>
    <tableColumn id="9" name="(I)_x000a_Payments_x000a_ and Offsets" totalsRowFunction="sum" dataDxfId="2076" totalsRowDxfId="2075"/>
    <tableColumn id="10" name="(J)_x000a_Accounts Payable Balance_x000a_(H + I)" totalsRowFunction="sum" dataDxfId="2074" totalsRowDxfId="2073"/>
    <tableColumn id="11" name="(K)_x000a_Established _x000a_Accounts Receivable" totalsRowFunction="sum" dataDxfId="2072" totalsRowDxfId="2071"/>
    <tableColumn id="12" name="(L)_x000a_Recovered_x000a_ Accounts Receivable" totalsRowFunction="sum" dataDxfId="2070" totalsRowDxfId="2069"/>
    <tableColumn id="13" name="(M)_x000a_Accounts Receivable Balance_x000a_(K + L)" totalsRowFunction="sum" dataDxfId="2068" totalsRowDxfId="2067"/>
    <tableColumn id="14" name="(N)_x000a_Net Balance_x000a_(J minus M)" totalsRowFunction="sum" dataDxfId="2066" totalsRowDxfId="20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4.xml><?xml version="1.0" encoding="utf-8"?>
<table xmlns="http://schemas.openxmlformats.org/spreadsheetml/2006/main" id="234" name="Program182" displayName="Program182" ref="A1468:N1485" totalsRowCount="1" headerRowDxfId="2064" dataDxfId="2062" totalsRowDxfId="2060" headerRowBorderDxfId="2063" tableBorderDxfId="2061" totalsRowBorderDxfId="2059">
  <autoFilter ref="A1468:N1484"/>
  <tableColumns count="14">
    <tableColumn id="1" name="(A)_x000a_Program Name" totalsRowLabel="Total Program 182" dataDxfId="2058" totalsRowDxfId="2057"/>
    <tableColumn id="2" name="(B)_x000a_Fiscal _x000a_Year" totalsRowLabel="N/A" dataDxfId="2056" totalsRowDxfId="2055"/>
    <tableColumn id="3" name="(C)_x000a_Program_x000a_Costs" totalsRowFunction="sum" dataDxfId="2054" totalsRowDxfId="2053"/>
    <tableColumn id="4" name="(D)_x000a_Prior Period Adjustments" totalsRowFunction="sum" dataDxfId="2052" totalsRowDxfId="2051"/>
    <tableColumn id="5" name="(E)_x000a_Current Period Desk _x000a_Reviews" totalsRowFunction="sum" dataDxfId="2050" totalsRowDxfId="2049"/>
    <tableColumn id="6" name="(F)_x000a_Current Period _x000a_Final _x000a_Audits" totalsRowFunction="sum" dataDxfId="2048" totalsRowDxfId="2047"/>
    <tableColumn id="7" name="(G)_x000a_Current Period _x000a_Other Adjustments" totalsRowFunction="sum" dataDxfId="2046" totalsRowDxfId="2045"/>
    <tableColumn id="8" name="(H)_x000a_Net Program Costs_x000a_Sum (C through G)" totalsRowFunction="sum" dataDxfId="2044" totalsRowDxfId="2043"/>
    <tableColumn id="9" name="(I)_x000a_Payments_x000a_ and Offsets" totalsRowFunction="sum" dataDxfId="2042" totalsRowDxfId="2041"/>
    <tableColumn id="10" name="(J)_x000a_Accounts Payable Balance_x000a_(H + I)" totalsRowFunction="sum" dataDxfId="2040" totalsRowDxfId="2039"/>
    <tableColumn id="11" name="(K)_x000a_Established _x000a_Accounts Receivable" totalsRowFunction="sum" dataDxfId="2038" totalsRowDxfId="2037"/>
    <tableColumn id="12" name="(L)_x000a_Recovered_x000a_ Accounts Receivable" totalsRowFunction="sum" dataDxfId="2036" totalsRowDxfId="2035"/>
    <tableColumn id="13" name="(M)_x000a_Accounts Receivable Balance_x000a_(K + L)" totalsRowFunction="sum" dataDxfId="2034" totalsRowDxfId="2033"/>
    <tableColumn id="14" name="(N)_x000a_Net Balance_x000a_(J minus M)" totalsRowFunction="sum" dataDxfId="2032" totalsRowDxfId="20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5.xml><?xml version="1.0" encoding="utf-8"?>
<table xmlns="http://schemas.openxmlformats.org/spreadsheetml/2006/main" id="235" name="Program280" displayName="Program280" ref="A1487:N1502" totalsRowCount="1" headerRowDxfId="2030" dataDxfId="2028" totalsRowDxfId="2026" headerRowBorderDxfId="2029" tableBorderDxfId="2027" totalsRowBorderDxfId="2025">
  <autoFilter ref="A1487:N1501"/>
  <tableColumns count="14">
    <tableColumn id="1" name="(A)_x000a_Program Name" totalsRowLabel="Total Program 280" dataDxfId="2024" totalsRowDxfId="2023"/>
    <tableColumn id="2" name="(B)_x000a_Fiscal _x000a_Year" totalsRowLabel="N/A" dataDxfId="2022" totalsRowDxfId="2021"/>
    <tableColumn id="3" name="(C)_x000a_Program_x000a_Costs" totalsRowFunction="sum" dataDxfId="2020" totalsRowDxfId="2019"/>
    <tableColumn id="4" name="(D)_x000a_Prior Period Adjustments" totalsRowFunction="sum" dataDxfId="2018" totalsRowDxfId="2017"/>
    <tableColumn id="5" name="(E)_x000a_Current Period Desk _x000a_Reviews" totalsRowFunction="sum" dataDxfId="2016" totalsRowDxfId="2015"/>
    <tableColumn id="6" name="(F)_x000a_Current Period _x000a_Final _x000a_Audits" totalsRowFunction="sum" dataDxfId="2014" totalsRowDxfId="2013"/>
    <tableColumn id="7" name="(G)_x000a_Current Period _x000a_Other Adjustments" totalsRowFunction="sum" dataDxfId="2012" totalsRowDxfId="2011"/>
    <tableColumn id="8" name="(H)_x000a_Net Program Costs_x000a_Sum (C through G)" totalsRowFunction="sum" dataDxfId="2010" totalsRowDxfId="2009"/>
    <tableColumn id="9" name="(I)_x000a_Payments_x000a_ and Offsets" totalsRowFunction="sum" dataDxfId="2008" totalsRowDxfId="2007"/>
    <tableColumn id="10" name="(J)_x000a_Accounts Payable Balance_x000a_(H + I)" totalsRowFunction="sum" dataDxfId="2006" totalsRowDxfId="2005"/>
    <tableColumn id="11" name="(K)_x000a_Established _x000a_Accounts Receivable" totalsRowFunction="sum" dataDxfId="2004" totalsRowDxfId="2003"/>
    <tableColumn id="12" name="(L)_x000a_Recovered_x000a_ Accounts Receivable" totalsRowFunction="sum" dataDxfId="2002" totalsRowDxfId="2001"/>
    <tableColumn id="13" name="(M)_x000a_Accounts Receivable Balance_x000a_(K + L)" totalsRowFunction="sum" dataDxfId="2000" totalsRowDxfId="1999"/>
    <tableColumn id="14" name="(N)_x000a_Net Balance_x000a_(J minus M)" totalsRowFunction="sum" dataDxfId="1998" totalsRowDxfId="19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6.xml><?xml version="1.0" encoding="utf-8"?>
<table xmlns="http://schemas.openxmlformats.org/spreadsheetml/2006/main" id="236" name="Program176" displayName="Program176" ref="A1504:N1524" totalsRowCount="1" headerRowDxfId="1996" dataDxfId="1994" totalsRowDxfId="1992" headerRowBorderDxfId="1995" tableBorderDxfId="1993" totalsRowBorderDxfId="1991">
  <autoFilter ref="A1504:N1523"/>
  <tableColumns count="14">
    <tableColumn id="1" name="(A)_x000a_Program Name" totalsRowLabel="Total Program 176" dataDxfId="1990" totalsRowDxfId="1989"/>
    <tableColumn id="2" name="(B)_x000a_Fiscal _x000a_Year" totalsRowLabel="N/A" dataDxfId="1988" totalsRowDxfId="1987"/>
    <tableColumn id="3" name="(C)_x000a_Program_x000a_Costs" totalsRowFunction="sum" dataDxfId="1986" totalsRowDxfId="1985"/>
    <tableColumn id="4" name="(D)_x000a_Prior Period Adjustments" totalsRowFunction="sum" dataDxfId="1984" totalsRowDxfId="1983"/>
    <tableColumn id="5" name="(E)_x000a_Current Period Desk _x000a_Reviews" totalsRowFunction="sum" dataDxfId="1982" totalsRowDxfId="1981"/>
    <tableColumn id="6" name="(F)_x000a_Current Period _x000a_Final _x000a_Audits" totalsRowFunction="sum" dataDxfId="1980" totalsRowDxfId="1979"/>
    <tableColumn id="7" name="(G)_x000a_Current Period _x000a_Other Adjustments" totalsRowFunction="sum" dataDxfId="1978" totalsRowDxfId="1977"/>
    <tableColumn id="8" name="(H)_x000a_Net Program Costs_x000a_Sum (C through G)" totalsRowFunction="sum" dataDxfId="1976" totalsRowDxfId="1975"/>
    <tableColumn id="9" name="(I)_x000a_Payments_x000a_ and Offsets" totalsRowFunction="sum" dataDxfId="1974" totalsRowDxfId="1973"/>
    <tableColumn id="10" name="(J)_x000a_Accounts Payable Balance_x000a_(H + I)" totalsRowFunction="sum" dataDxfId="1972" totalsRowDxfId="1971"/>
    <tableColumn id="11" name="(K)_x000a_Established _x000a_Accounts Receivable" totalsRowFunction="sum" dataDxfId="1970" totalsRowDxfId="1969"/>
    <tableColumn id="12" name="(L)_x000a_Recovered_x000a_ Accounts Receivable" totalsRowFunction="sum" dataDxfId="1968" totalsRowDxfId="1967"/>
    <tableColumn id="13" name="(M)_x000a_Accounts Receivable Balance_x000a_(K + L)" totalsRowFunction="sum" dataDxfId="1966" totalsRowDxfId="1965"/>
    <tableColumn id="14" name="(N)_x000a_Net Balance_x000a_(J minus M)" totalsRowFunction="sum" dataDxfId="1964" totalsRowDxfId="19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7.xml><?xml version="1.0" encoding="utf-8"?>
<table xmlns="http://schemas.openxmlformats.org/spreadsheetml/2006/main" id="237" name="Program362" displayName="Program362" ref="A1526:N1533" totalsRowCount="1" headerRowDxfId="1962" dataDxfId="1960" totalsRowDxfId="1958" headerRowBorderDxfId="1961" tableBorderDxfId="1959" totalsRowBorderDxfId="1957">
  <autoFilter ref="A1526:N1532"/>
  <tableColumns count="14">
    <tableColumn id="1" name="(A)_x000a_Program Name" totalsRowLabel="Total Program 362" dataDxfId="1956" totalsRowDxfId="1955"/>
    <tableColumn id="2" name="(B)_x000a_Fiscal _x000a_Year" totalsRowLabel="N/A" dataDxfId="1954" totalsRowDxfId="1953"/>
    <tableColumn id="3" name="(C)_x000a_Program_x000a_Costs" totalsRowFunction="sum" dataDxfId="1952" totalsRowDxfId="1951"/>
    <tableColumn id="4" name="(D)_x000a_Prior Period Adjustments" totalsRowFunction="sum" dataDxfId="1950" totalsRowDxfId="1949"/>
    <tableColumn id="5" name="(E)_x000a_Current Period Desk _x000a_Reviews" totalsRowFunction="sum" dataDxfId="1948" totalsRowDxfId="1947"/>
    <tableColumn id="6" name="(F)_x000a_Current Period _x000a_Final _x000a_Audits" totalsRowFunction="sum" dataDxfId="1946" totalsRowDxfId="1945"/>
    <tableColumn id="7" name="(G)_x000a_Current Period _x000a_Other Adjustments" totalsRowFunction="sum" dataDxfId="1944" totalsRowDxfId="1943"/>
    <tableColumn id="8" name="(H)_x000a_Net Program Costs_x000a_Sum (C through G)" totalsRowFunction="sum" dataDxfId="1942" totalsRowDxfId="1941"/>
    <tableColumn id="9" name="(I)_x000a_Payments_x000a_ and Offsets" totalsRowFunction="sum" dataDxfId="1940" totalsRowDxfId="1939"/>
    <tableColumn id="10" name="(J)_x000a_Accounts Payable Balance_x000a_(H + I)" totalsRowFunction="sum" dataDxfId="1938" totalsRowDxfId="1937"/>
    <tableColumn id="11" name="(K)_x000a_Established _x000a_Accounts Receivable" totalsRowFunction="sum" dataDxfId="1936" totalsRowDxfId="1935"/>
    <tableColumn id="12" name="(L)_x000a_Recovered_x000a_ Accounts Receivable" totalsRowFunction="sum" dataDxfId="1934" totalsRowDxfId="1933"/>
    <tableColumn id="13" name="(M)_x000a_Accounts Receivable Balance_x000a_(K + L)" totalsRowFunction="sum" dataDxfId="1932" totalsRowDxfId="1931"/>
    <tableColumn id="14" name="(N)_x000a_Net Balance_x000a_(J minus M)" totalsRowFunction="sum" dataDxfId="1930" totalsRowDxfId="19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8.xml><?xml version="1.0" encoding="utf-8"?>
<table xmlns="http://schemas.openxmlformats.org/spreadsheetml/2006/main" id="238" name="Program57" displayName="Program57" ref="A1535:N1563" totalsRowCount="1" headerRowDxfId="1928" dataDxfId="1926" totalsRowDxfId="1924" headerRowBorderDxfId="1927" tableBorderDxfId="1925" totalsRowBorderDxfId="1923">
  <autoFilter ref="A1535:N1562"/>
  <tableColumns count="14">
    <tableColumn id="1" name="(A)_x000a_Program Name" totalsRowLabel="Total Program 57" dataDxfId="1922" totalsRowDxfId="1921"/>
    <tableColumn id="2" name="(B)_x000a_Fiscal _x000a_Year" totalsRowLabel="N/A" dataDxfId="1920" totalsRowDxfId="1919"/>
    <tableColumn id="3" name="(C)_x000a_Program_x000a_Costs" totalsRowFunction="sum" dataDxfId="1918" totalsRowDxfId="1917"/>
    <tableColumn id="4" name="(D)_x000a_Prior Period Adjustments" totalsRowFunction="sum" dataDxfId="1916" totalsRowDxfId="1915"/>
    <tableColumn id="5" name="(E)_x000a_Current Period Desk _x000a_Reviews" totalsRowFunction="sum" dataDxfId="1914" totalsRowDxfId="1913"/>
    <tableColumn id="6" name="(F)_x000a_Current Period _x000a_Final _x000a_Audits" totalsRowFunction="sum" dataDxfId="1912" totalsRowDxfId="1911"/>
    <tableColumn id="7" name="(G)_x000a_Current Period _x000a_Other Adjustments" totalsRowFunction="sum" dataDxfId="1910" totalsRowDxfId="1909"/>
    <tableColumn id="8" name="(H)_x000a_Net Program Costs_x000a_Sum (C through G)" totalsRowFunction="sum" dataDxfId="1908" totalsRowDxfId="1907"/>
    <tableColumn id="9" name="(I)_x000a_Payments_x000a_ and Offsets" totalsRowFunction="sum" dataDxfId="1906" totalsRowDxfId="1905"/>
    <tableColumn id="10" name="(J)_x000a_Accounts Payable Balance_x000a_(H + I)" totalsRowFunction="sum" dataDxfId="1904" totalsRowDxfId="1903"/>
    <tableColumn id="11" name="(K)_x000a_Established _x000a_Accounts Receivable" totalsRowFunction="sum" dataDxfId="1902" totalsRowDxfId="1901"/>
    <tableColumn id="12" name="(L)_x000a_Recovered_x000a_ Accounts Receivable" totalsRowFunction="sum" dataDxfId="1900" totalsRowDxfId="1899"/>
    <tableColumn id="13" name="(M)_x000a_Accounts Receivable Balance_x000a_(K + L)" totalsRowFunction="sum" dataDxfId="1898" totalsRowDxfId="1897"/>
    <tableColumn id="14" name="(N)_x000a_Net Balance_x000a_(J minus M)" totalsRowFunction="sum" dataDxfId="1896" totalsRowDxfId="18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39.xml><?xml version="1.0" encoding="utf-8"?>
<table xmlns="http://schemas.openxmlformats.org/spreadsheetml/2006/main" id="239" name="Program171" displayName="Program171" ref="A1565:N1589" totalsRowCount="1" headerRowDxfId="1894" dataDxfId="1892" totalsRowDxfId="1890" headerRowBorderDxfId="1893" tableBorderDxfId="1891" totalsRowBorderDxfId="1889">
  <autoFilter ref="A1565:N1588"/>
  <tableColumns count="14">
    <tableColumn id="1" name="(A)_x000a_Program Name" totalsRowLabel="Total Program 171" dataDxfId="1888" totalsRowDxfId="1887"/>
    <tableColumn id="2" name="(B)_x000a_Fiscal _x000a_Year" totalsRowLabel="N/A" dataDxfId="1886" totalsRowDxfId="1885"/>
    <tableColumn id="3" name="(C)_x000a_Program_x000a_Costs" totalsRowFunction="sum" dataDxfId="1884" totalsRowDxfId="1883"/>
    <tableColumn id="4" name="(D)_x000a_Prior Period Adjustments" totalsRowFunction="sum" dataDxfId="1882" totalsRowDxfId="1881"/>
    <tableColumn id="5" name="(E)_x000a_Current Period Desk _x000a_Reviews" totalsRowFunction="sum" dataDxfId="1880" totalsRowDxfId="1879"/>
    <tableColumn id="6" name="(F)_x000a_Current Period _x000a_Final _x000a_Audits" totalsRowFunction="sum" dataDxfId="1878" totalsRowDxfId="1877"/>
    <tableColumn id="7" name="(G)_x000a_Current Period _x000a_Other Adjustments" totalsRowFunction="sum" dataDxfId="1876" totalsRowDxfId="1875"/>
    <tableColumn id="8" name="(H)_x000a_Net Program Costs_x000a_Sum (C through G)" totalsRowFunction="sum" dataDxfId="1874" totalsRowDxfId="1873"/>
    <tableColumn id="9" name="(I)_x000a_Payments_x000a_ and Offsets" totalsRowFunction="sum" dataDxfId="1872" totalsRowDxfId="1871"/>
    <tableColumn id="10" name="(J)_x000a_Accounts Payable Balance_x000a_(H + I)" totalsRowFunction="sum" dataDxfId="1870" totalsRowDxfId="1869"/>
    <tableColumn id="11" name="(K)_x000a_Established _x000a_Accounts Receivable" totalsRowFunction="sum" dataDxfId="1868" totalsRowDxfId="1867"/>
    <tableColumn id="12" name="(L)_x000a_Recovered_x000a_ Accounts Receivable" totalsRowFunction="sum" dataDxfId="1866" totalsRowDxfId="1865"/>
    <tableColumn id="13" name="(M)_x000a_Accounts Receivable Balance_x000a_(K + L)" totalsRowFunction="sum" dataDxfId="1864" totalsRowDxfId="1863"/>
    <tableColumn id="14" name="(N)_x000a_Net Balance_x000a_(J minus M)" totalsRowFunction="sum" dataDxfId="1862" totalsRowDxfId="18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.xml><?xml version="1.0" encoding="utf-8"?>
<table xmlns="http://schemas.openxmlformats.org/spreadsheetml/2006/main" id="24" name="Program207" displayName="Program207" ref="A251:N260" totalsRowCount="1" headerRowDxfId="9200" dataDxfId="9198" totalsRowDxfId="9196" headerRowBorderDxfId="9199" tableBorderDxfId="9197" totalsRowBorderDxfId="9195">
  <autoFilter ref="A251:N259"/>
  <tableColumns count="14">
    <tableColumn id="1" name="(A)_x000a_Program Name" totalsRowLabel="Total Program 207" dataDxfId="9194" totalsRowDxfId="9193"/>
    <tableColumn id="2" name="(B)_x000a_Fiscal _x000a_Year" totalsRowLabel="N/A" dataDxfId="9192" totalsRowDxfId="9191"/>
    <tableColumn id="3" name="(C)_x000a_Program_x000a_Costs" totalsRowFunction="sum" dataDxfId="9190" totalsRowDxfId="9189"/>
    <tableColumn id="4" name="(D)_x000a_Prior Period Adjustments" totalsRowFunction="sum" dataDxfId="9188" totalsRowDxfId="9187"/>
    <tableColumn id="5" name="(E)_x000a_Current Period Desk _x000a_Reviews" totalsRowFunction="sum" dataDxfId="9186" totalsRowDxfId="9185"/>
    <tableColumn id="6" name="(F)_x000a_Current Period _x000a_Final _x000a_Audits" totalsRowFunction="sum" dataDxfId="9184" totalsRowDxfId="9183"/>
    <tableColumn id="7" name="(G)_x000a_Current Period _x000a_Other Adjustments" totalsRowFunction="sum" dataDxfId="9182" totalsRowDxfId="9181"/>
    <tableColumn id="8" name="(H)_x000a_Net Program Costs_x000a_Sum (C through G)" totalsRowFunction="sum" dataDxfId="9180" totalsRowDxfId="9179"/>
    <tableColumn id="9" name="(I)_x000a_Payments_x000a_ and Offsets" totalsRowFunction="sum" dataDxfId="9178" totalsRowDxfId="9177"/>
    <tableColumn id="10" name="(J)_x000a_Accounts Payable Balance_x000a_(H + I)" totalsRowFunction="sum" dataDxfId="9176" totalsRowDxfId="9175"/>
    <tableColumn id="11" name="(K)_x000a_Established _x000a_Accounts Receivable" totalsRowFunction="sum" dataDxfId="9174" totalsRowDxfId="9173"/>
    <tableColumn id="12" name="(L)_x000a_Recovered_x000a_ Accounts Receivable" totalsRowFunction="sum" dataDxfId="9172" totalsRowDxfId="9171"/>
    <tableColumn id="13" name="(M)_x000a_Accounts Receivable Balance_x000a_(K + L)" totalsRowFunction="sum" dataDxfId="9170" totalsRowDxfId="9169"/>
    <tableColumn id="14" name="(N)_x000a_Net Balance_x000a_(J minus M)" totalsRowFunction="sum" dataDxfId="9168" totalsRowDxfId="91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0.xml><?xml version="1.0" encoding="utf-8"?>
<table xmlns="http://schemas.openxmlformats.org/spreadsheetml/2006/main" id="240" name="Program137" displayName="Program137" ref="A1591:N1600" totalsRowCount="1" headerRowDxfId="1860" dataDxfId="1858" totalsRowDxfId="1856" headerRowBorderDxfId="1859" tableBorderDxfId="1857" totalsRowBorderDxfId="1855">
  <autoFilter ref="A1591:N1599"/>
  <tableColumns count="14">
    <tableColumn id="1" name="(A)_x000a_Program Name" totalsRowLabel="Total Program 137" dataDxfId="1854" totalsRowDxfId="1853"/>
    <tableColumn id="2" name="(B)_x000a_Fiscal _x000a_Year" totalsRowLabel="N/A" dataDxfId="1852" totalsRowDxfId="1851"/>
    <tableColumn id="3" name="(C)_x000a_Program_x000a_Costs" totalsRowFunction="sum" dataDxfId="1850" totalsRowDxfId="1849"/>
    <tableColumn id="4" name="(D)_x000a_Prior Period Adjustments" totalsRowFunction="sum" dataDxfId="1848" totalsRowDxfId="1847"/>
    <tableColumn id="5" name="(E)_x000a_Current Period Desk _x000a_Reviews" totalsRowFunction="sum" dataDxfId="1846" totalsRowDxfId="1845"/>
    <tableColumn id="6" name="(F)_x000a_Current Period _x000a_Final _x000a_Audits" totalsRowFunction="sum" dataDxfId="1844" totalsRowDxfId="1843"/>
    <tableColumn id="7" name="(G)_x000a_Current Period _x000a_Other Adjustments" totalsRowFunction="sum" dataDxfId="1842" totalsRowDxfId="1841"/>
    <tableColumn id="8" name="(H)_x000a_Net Program Costs_x000a_Sum (C through G)" totalsRowFunction="sum" dataDxfId="1840" totalsRowDxfId="1839"/>
    <tableColumn id="9" name="(I)_x000a_Payments_x000a_ and Offsets" totalsRowFunction="sum" dataDxfId="1838" totalsRowDxfId="1837"/>
    <tableColumn id="10" name="(J)_x000a_Accounts Payable Balance_x000a_(H + I)" totalsRowFunction="sum" dataDxfId="1836" totalsRowDxfId="1835"/>
    <tableColumn id="11" name="(K)_x000a_Established _x000a_Accounts Receivable" totalsRowFunction="sum" dataDxfId="1834" totalsRowDxfId="1833"/>
    <tableColumn id="12" name="(L)_x000a_Recovered_x000a_ Accounts Receivable" totalsRowFunction="sum" dataDxfId="1832" totalsRowDxfId="1831"/>
    <tableColumn id="13" name="(M)_x000a_Accounts Receivable Balance_x000a_(K + L)" totalsRowFunction="sum" dataDxfId="1830" totalsRowDxfId="1829"/>
    <tableColumn id="14" name="(N)_x000a_Net Balance_x000a_(J minus M)" totalsRowFunction="sum" dataDxfId="1828" totalsRowDxfId="18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1.xml><?xml version="1.0" encoding="utf-8"?>
<table xmlns="http://schemas.openxmlformats.org/spreadsheetml/2006/main" id="241" name="Program184" displayName="Program184" ref="A1602:N1610" totalsRowCount="1" headerRowDxfId="1826" dataDxfId="1824" totalsRowDxfId="1822" headerRowBorderDxfId="1825" tableBorderDxfId="1823" totalsRowBorderDxfId="1821">
  <autoFilter ref="A1602:N1609"/>
  <tableColumns count="14">
    <tableColumn id="1" name="(A)_x000a_Program Name" totalsRowLabel="Total Program 184" dataDxfId="1820" totalsRowDxfId="1819"/>
    <tableColumn id="2" name="(B)_x000a_Fiscal _x000a_Year" totalsRowLabel="N/A" dataDxfId="1818" totalsRowDxfId="1817"/>
    <tableColumn id="3" name="(C)_x000a_Program_x000a_Costs" totalsRowFunction="sum" dataDxfId="1816" totalsRowDxfId="1815"/>
    <tableColumn id="4" name="(D)_x000a_Prior Period Adjustments" totalsRowFunction="sum" dataDxfId="1814" totalsRowDxfId="1813"/>
    <tableColumn id="5" name="(E)_x000a_Current Period Desk _x000a_Reviews" totalsRowFunction="sum" dataDxfId="1812" totalsRowDxfId="1811"/>
    <tableColumn id="6" name="(F)_x000a_Current Period _x000a_Final _x000a_Audits" totalsRowFunction="sum" dataDxfId="1810" totalsRowDxfId="1809"/>
    <tableColumn id="7" name="(G)_x000a_Current Period _x000a_Other Adjustments" totalsRowFunction="sum" dataDxfId="1808" totalsRowDxfId="1807"/>
    <tableColumn id="8" name="(H)_x000a_Net Program Costs_x000a_Sum (C through G)" totalsRowFunction="sum" dataDxfId="1806" totalsRowDxfId="1805"/>
    <tableColumn id="9" name="(I)_x000a_Payments_x000a_ and Offsets" totalsRowFunction="sum" dataDxfId="1804" totalsRowDxfId="1803"/>
    <tableColumn id="10" name="(J)_x000a_Accounts Payable Balance_x000a_(H + I)" totalsRowFunction="sum" dataDxfId="1802" totalsRowDxfId="1801"/>
    <tableColumn id="11" name="(K)_x000a_Established _x000a_Accounts Receivable" totalsRowFunction="sum" dataDxfId="1800" totalsRowDxfId="1799"/>
    <tableColumn id="12" name="(L)_x000a_Recovered_x000a_ Accounts Receivable" totalsRowFunction="sum" dataDxfId="1798" totalsRowDxfId="1797"/>
    <tableColumn id="13" name="(M)_x000a_Accounts Receivable Balance_x000a_(K + L)" totalsRowFunction="sum" dataDxfId="1796" totalsRowDxfId="1795"/>
    <tableColumn id="14" name="(N)_x000a_Net Balance_x000a_(J minus M)" totalsRowFunction="sum" dataDxfId="1794" totalsRowDxfId="179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2.xml><?xml version="1.0" encoding="utf-8"?>
<table xmlns="http://schemas.openxmlformats.org/spreadsheetml/2006/main" id="242" name="Program190" displayName="Program190" ref="A1612:N1620" totalsRowCount="1" headerRowDxfId="1792" dataDxfId="1790" totalsRowDxfId="1788" headerRowBorderDxfId="1791" tableBorderDxfId="1789" totalsRowBorderDxfId="1787">
  <autoFilter ref="A1612:N1619"/>
  <tableColumns count="14">
    <tableColumn id="1" name="(A)_x000a_Program Name" totalsRowLabel="Total Program 190" dataDxfId="1786" totalsRowDxfId="1785"/>
    <tableColumn id="2" name="(B)_x000a_Fiscal _x000a_Year" totalsRowLabel="N/A" dataDxfId="1784" totalsRowDxfId="1783"/>
    <tableColumn id="3" name="(C)_x000a_Program_x000a_Costs" totalsRowFunction="sum" dataDxfId="1782" totalsRowDxfId="1781"/>
    <tableColumn id="4" name="(D)_x000a_Prior Period Adjustments" totalsRowFunction="sum" dataDxfId="1780" totalsRowDxfId="1779"/>
    <tableColumn id="5" name="(E)_x000a_Current Period Desk _x000a_Reviews" totalsRowFunction="min" dataDxfId="1778" totalsRowDxfId="1777"/>
    <tableColumn id="6" name="(F)_x000a_Current Period _x000a_Final _x000a_Audits" totalsRowFunction="sum" dataDxfId="1776" totalsRowDxfId="1775"/>
    <tableColumn id="7" name="(G)_x000a_Current Period _x000a_Other Adjustments" totalsRowFunction="sum" dataDxfId="1774" totalsRowDxfId="1773"/>
    <tableColumn id="8" name="(H)_x000a_Net Program Costs_x000a_Sum (C through G)" totalsRowFunction="sum" dataDxfId="1772" totalsRowDxfId="1771"/>
    <tableColumn id="9" name="(I)_x000a_Payments_x000a_ and Offsets" totalsRowFunction="sum" dataDxfId="1770" totalsRowDxfId="1769"/>
    <tableColumn id="10" name="(J)_x000a_Accounts Payable Balance_x000a_(H + I)" totalsRowFunction="sum" dataDxfId="1768" totalsRowDxfId="1767"/>
    <tableColumn id="11" name="(K)_x000a_Established _x000a_Accounts Receivable" totalsRowFunction="sum" dataDxfId="1766" totalsRowDxfId="1765"/>
    <tableColumn id="12" name="(L)_x000a_Recovered_x000a_ Accounts Receivable" totalsRowFunction="sum" dataDxfId="1764" totalsRowDxfId="1763"/>
    <tableColumn id="13" name="(M)_x000a_Accounts Receivable Balance_x000a_(K + L)" totalsRowFunction="sum" dataDxfId="1762" totalsRowDxfId="1761"/>
    <tableColumn id="14" name="(N)_x000a_Net Balance_x000a_(J minus M)" totalsRowFunction="sum" dataDxfId="1760" totalsRowDxfId="17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3.xml><?xml version="1.0" encoding="utf-8"?>
<table xmlns="http://schemas.openxmlformats.org/spreadsheetml/2006/main" id="243" name="Program109" displayName="Program109" ref="A1622:N1634" totalsRowCount="1" headerRowDxfId="1758" dataDxfId="1756" totalsRowDxfId="1754" headerRowBorderDxfId="1757" tableBorderDxfId="1755" totalsRowBorderDxfId="1753">
  <autoFilter ref="A1622:N1633"/>
  <tableColumns count="14">
    <tableColumn id="1" name="(A)_x000a_Program Name" totalsRowLabel="Total Program 109" dataDxfId="1752" totalsRowDxfId="1751"/>
    <tableColumn id="2" name="(B)_x000a_Fiscal _x000a_Year" totalsRowLabel="N/A" dataDxfId="1750" totalsRowDxfId="1749"/>
    <tableColumn id="3" name="(C)_x000a_Program_x000a_Costs" totalsRowFunction="sum" dataDxfId="1748" totalsRowDxfId="1747"/>
    <tableColumn id="4" name="(D)_x000a_Prior Period Adjustments" totalsRowFunction="sum" dataDxfId="1746" totalsRowDxfId="1745"/>
    <tableColumn id="5" name="(E)_x000a_Current Period Desk _x000a_Reviews" totalsRowFunction="sum" dataDxfId="1744" totalsRowDxfId="1743"/>
    <tableColumn id="6" name="(F)_x000a_Current Period _x000a_Final _x000a_Audits" totalsRowFunction="sum" dataDxfId="1742" totalsRowDxfId="1741"/>
    <tableColumn id="7" name="(G)_x000a_Current Period _x000a_Other Adjustments" totalsRowFunction="sum" dataDxfId="1740" totalsRowDxfId="1739"/>
    <tableColumn id="8" name="(H)_x000a_Net Program Costs_x000a_Sum (C through G)" totalsRowFunction="sum" dataDxfId="1738" totalsRowDxfId="1737"/>
    <tableColumn id="9" name="(I)_x000a_Payments_x000a_ and Offsets" totalsRowFunction="sum" dataDxfId="1736" totalsRowDxfId="1735"/>
    <tableColumn id="10" name="(J)_x000a_Accounts Payable Balance_x000a_(H + I)" totalsRowFunction="sum" dataDxfId="1734" totalsRowDxfId="1733"/>
    <tableColumn id="11" name="(K)_x000a_Established _x000a_Accounts Receivable" totalsRowFunction="sum" dataDxfId="1732" totalsRowDxfId="1731"/>
    <tableColumn id="12" name="(L)_x000a_Recovered_x000a_ Accounts Receivable" totalsRowFunction="sum" dataDxfId="1730" totalsRowDxfId="1729"/>
    <tableColumn id="13" name="(M)_x000a_Accounts Receivable Balance_x000a_(K + L)" totalsRowFunction="sum" dataDxfId="1728" totalsRowDxfId="1727"/>
    <tableColumn id="14" name="(N)_x000a_Net Balance_x000a_(J minus M)" totalsRowFunction="sum" dataDxfId="1726" totalsRowDxfId="17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4.xml><?xml version="1.0" encoding="utf-8"?>
<table xmlns="http://schemas.openxmlformats.org/spreadsheetml/2006/main" id="244" name="Program211" displayName="Program211" ref="A1636:N1648" totalsRowCount="1" headerRowDxfId="1724" dataDxfId="1722" totalsRowDxfId="1720" headerRowBorderDxfId="1723" tableBorderDxfId="1721" totalsRowBorderDxfId="1719">
  <autoFilter ref="A1636:N1647"/>
  <tableColumns count="14">
    <tableColumn id="1" name="(A)_x000a_Program Name" totalsRowLabel="Total Program 211" dataDxfId="1718" totalsRowDxfId="1717"/>
    <tableColumn id="2" name="(B)_x000a_Fiscal _x000a_Year" totalsRowLabel="N/A" dataDxfId="1716" totalsRowDxfId="1715"/>
    <tableColumn id="3" name="(C)_x000a_Program_x000a_Costs" totalsRowFunction="sum" dataDxfId="1714" totalsRowDxfId="1713"/>
    <tableColumn id="4" name="(D)_x000a_Prior Period Adjustments" totalsRowFunction="sum" dataDxfId="1712" totalsRowDxfId="1711"/>
    <tableColumn id="5" name="(E)_x000a_Current Period Desk _x000a_Reviews" totalsRowFunction="sum" dataDxfId="1710" totalsRowDxfId="1709"/>
    <tableColumn id="6" name="(F)_x000a_Current Period _x000a_Final _x000a_Audits" totalsRowFunction="sum" dataDxfId="1708" totalsRowDxfId="1707"/>
    <tableColumn id="7" name="(G)_x000a_Current Period _x000a_Other Adjustments" totalsRowFunction="sum" dataDxfId="1706" totalsRowDxfId="1705"/>
    <tableColumn id="8" name="(H)_x000a_Net Program Costs_x000a_Sum (C through G)" totalsRowFunction="sum" dataDxfId="1704" totalsRowDxfId="1703"/>
    <tableColumn id="9" name="(I)_x000a_Payments_x000a_ and Offsets" totalsRowFunction="sum" dataDxfId="1702" totalsRowDxfId="1701"/>
    <tableColumn id="10" name="(J)_x000a_Accounts Payable Balance_x000a_(H + I)" totalsRowFunction="sum" dataDxfId="1700" totalsRowDxfId="1699"/>
    <tableColumn id="11" name="(K)_x000a_Established _x000a_Accounts Receivable" totalsRowFunction="sum" dataDxfId="1698" totalsRowDxfId="1697"/>
    <tableColumn id="12" name="(L)_x000a_Recovered_x000a_ Accounts Receivable" totalsRowFunction="sum" dataDxfId="1696" totalsRowDxfId="1695"/>
    <tableColumn id="13" name="(M)_x000a_Accounts Receivable Balance_x000a_(K + L)" totalsRowFunction="sum" dataDxfId="1694" totalsRowDxfId="1693"/>
    <tableColumn id="14" name="(N)_x000a_Net Balance_x000a_(J minus M)" totalsRowFunction="sum" dataDxfId="1692" totalsRowDxfId="16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5.xml><?xml version="1.0" encoding="utf-8"?>
<table xmlns="http://schemas.openxmlformats.org/spreadsheetml/2006/main" id="245" name="Program258" displayName="Program258" ref="A1650:N1665" totalsRowCount="1" headerRowDxfId="1690" dataDxfId="1688" totalsRowDxfId="1686" headerRowBorderDxfId="1689" tableBorderDxfId="1687" totalsRowBorderDxfId="1685">
  <autoFilter ref="A1650:N1664"/>
  <tableColumns count="14">
    <tableColumn id="1" name="(A)_x000a_Program Name" totalsRowLabel="Total Program 258" dataDxfId="1684" totalsRowDxfId="1683"/>
    <tableColumn id="2" name="(B)_x000a_Fiscal _x000a_Year" totalsRowLabel="N/A" dataDxfId="1682" totalsRowDxfId="1681"/>
    <tableColumn id="3" name="(C)_x000a_Program_x000a_Costs" totalsRowFunction="sum" dataDxfId="1680" totalsRowDxfId="1679"/>
    <tableColumn id="4" name="(D)_x000a_Prior Period Adjustments" totalsRowFunction="sum" dataDxfId="1678" totalsRowDxfId="1677"/>
    <tableColumn id="5" name="(E)_x000a_Current Period Desk _x000a_Reviews" totalsRowFunction="sum" dataDxfId="1676" totalsRowDxfId="1675"/>
    <tableColumn id="6" name="(F)_x000a_Current Period _x000a_Final _x000a_Audits" totalsRowFunction="sum" dataDxfId="1674" totalsRowDxfId="1673"/>
    <tableColumn id="7" name="(G)_x000a_Current Period _x000a_Other Adjustments" totalsRowFunction="sum" dataDxfId="1672" totalsRowDxfId="1671"/>
    <tableColumn id="8" name="(H)_x000a_Net Program Costs_x000a_Sum (C through G)" totalsRowFunction="sum" dataDxfId="1670" totalsRowDxfId="1669"/>
    <tableColumn id="9" name="(I)_x000a_Payments_x000a_ and Offsets" totalsRowFunction="sum" dataDxfId="1668" totalsRowDxfId="1667"/>
    <tableColumn id="10" name="(J)_x000a_Accounts Payable Balance_x000a_(H + I)" totalsRowFunction="sum" dataDxfId="1666" totalsRowDxfId="1665"/>
    <tableColumn id="11" name="(K)_x000a_Established _x000a_Accounts Receivable" totalsRowFunction="sum" dataDxfId="1664" totalsRowDxfId="1663"/>
    <tableColumn id="12" name="(L)_x000a_Recovered_x000a_ Accounts Receivable" totalsRowFunction="sum" dataDxfId="1662" totalsRowDxfId="1661"/>
    <tableColumn id="13" name="(M)_x000a_Accounts Receivable Balance_x000a_(K + L)" totalsRowFunction="sum" dataDxfId="1660" totalsRowDxfId="1659"/>
    <tableColumn id="14" name="(N)_x000a_Net Balance_x000a_(J minus M)" totalsRowFunction="sum" dataDxfId="1658" totalsRowDxfId="16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6.xml><?xml version="1.0" encoding="utf-8"?>
<table xmlns="http://schemas.openxmlformats.org/spreadsheetml/2006/main" id="246" name="Program156" displayName="Program156" ref="A1667:N1678" totalsRowCount="1" headerRowDxfId="1656" dataDxfId="1654" totalsRowDxfId="1652" headerRowBorderDxfId="1655" tableBorderDxfId="1653" totalsRowBorderDxfId="1651">
  <autoFilter ref="A1667:N1677"/>
  <tableColumns count="14">
    <tableColumn id="1" name="(A)_x000a_Program Name" totalsRowLabel="Total Program 156" dataDxfId="1650" totalsRowDxfId="1649"/>
    <tableColumn id="2" name="(B)_x000a_Fiscal _x000a_Year" totalsRowLabel="N/A" dataDxfId="1648" totalsRowDxfId="1647"/>
    <tableColumn id="3" name="(C)_x000a_Program_x000a_Costs" totalsRowFunction="sum" dataDxfId="1646" totalsRowDxfId="1645"/>
    <tableColumn id="4" name="(D)_x000a_Prior Period Adjustments" totalsRowFunction="sum" dataDxfId="1644" totalsRowDxfId="1643"/>
    <tableColumn id="5" name="(E)_x000a_Current Period Desk _x000a_Reviews" totalsRowFunction="sum" dataDxfId="1642" totalsRowDxfId="1641"/>
    <tableColumn id="6" name="(F)_x000a_Current Period _x000a_Final _x000a_Audits" totalsRowFunction="sum" dataDxfId="1640" totalsRowDxfId="1639"/>
    <tableColumn id="7" name="(G)_x000a_Current Period _x000a_Other Adjustments" totalsRowFunction="sum" dataDxfId="1638" totalsRowDxfId="1637"/>
    <tableColumn id="8" name="(H)_x000a_Net Program Costs_x000a_Sum (C through G)" totalsRowFunction="sum" dataDxfId="1636" totalsRowDxfId="1635"/>
    <tableColumn id="9" name="(I)_x000a_Payments_x000a_ and Offsets" totalsRowFunction="sum" dataDxfId="1634" totalsRowDxfId="1633"/>
    <tableColumn id="10" name="(J)_x000a_Accounts Payable Balance_x000a_(H + I)" totalsRowFunction="sum" dataDxfId="1632" totalsRowDxfId="1631"/>
    <tableColumn id="11" name="(K)_x000a_Established _x000a_Accounts Receivable" totalsRowFunction="sum" dataDxfId="1630" totalsRowDxfId="1629"/>
    <tableColumn id="12" name="(L)_x000a_Recovered_x000a_ Accounts Receivable" totalsRowFunction="sum" dataDxfId="1628" totalsRowDxfId="1627"/>
    <tableColumn id="13" name="(M)_x000a_Accounts Receivable Balance_x000a_(K + L)" totalsRowFunction="sum" dataDxfId="1626" totalsRowDxfId="1625"/>
    <tableColumn id="14" name="(N)_x000a_Net Balance_x000a_(J minus M)" totalsRowFunction="sum" dataDxfId="1624" totalsRowDxfId="16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7.xml><?xml version="1.0" encoding="utf-8"?>
<table xmlns="http://schemas.openxmlformats.org/spreadsheetml/2006/main" id="247" name="Program228" displayName="Program228" ref="A1680:N1688" totalsRowCount="1" headerRowDxfId="1622" dataDxfId="1620" totalsRowDxfId="1618" headerRowBorderDxfId="1621" tableBorderDxfId="1619" totalsRowBorderDxfId="1617">
  <autoFilter ref="A1680:N1687"/>
  <tableColumns count="14">
    <tableColumn id="1" name="(A)_x000a_Program Name" totalsRowLabel="Total Program 228" dataDxfId="1616" totalsRowDxfId="1615"/>
    <tableColumn id="2" name="(B)_x000a_Fiscal _x000a_Year" totalsRowLabel="N/A" dataDxfId="1614" totalsRowDxfId="1613"/>
    <tableColumn id="3" name="(C)_x000a_Program_x000a_Costs" totalsRowFunction="sum" dataDxfId="1612" totalsRowDxfId="1611"/>
    <tableColumn id="4" name="(D)_x000a_Prior Period Adjustments" totalsRowFunction="sum" dataDxfId="1610" totalsRowDxfId="1609"/>
    <tableColumn id="5" name="(E)_x000a_Current Period Desk _x000a_Reviews" totalsRowFunction="sum" dataDxfId="1608" totalsRowDxfId="1607"/>
    <tableColumn id="6" name="(F)_x000a_Current Period _x000a_Final _x000a_Audits" totalsRowFunction="sum" dataDxfId="1606" totalsRowDxfId="1605"/>
    <tableColumn id="7" name="(G)_x000a_Current Period _x000a_Other Adjustments" totalsRowFunction="sum" dataDxfId="1604" totalsRowDxfId="1603"/>
    <tableColumn id="8" name="(H)_x000a_Net Program Costs_x000a_Sum (C through G)" totalsRowFunction="sum" dataDxfId="1602" totalsRowDxfId="1601"/>
    <tableColumn id="9" name="(I)_x000a_Payments_x000a_ and Offsets" totalsRowFunction="sum" dataDxfId="1600" totalsRowDxfId="1599"/>
    <tableColumn id="10" name="(J)_x000a_Accounts Payable Balance_x000a_(H + I)" totalsRowFunction="sum" dataDxfId="1598" totalsRowDxfId="1597"/>
    <tableColumn id="11" name="(K)_x000a_Established _x000a_Accounts Receivable" totalsRowFunction="sum" dataDxfId="1596" totalsRowDxfId="1595"/>
    <tableColumn id="12" name="(L)_x000a_Recovered_x000a_ Accounts Receivable" totalsRowFunction="sum" dataDxfId="1594" totalsRowDxfId="1593"/>
    <tableColumn id="13" name="(M)_x000a_Accounts Receivable Balance_x000a_(K + L)" totalsRowFunction="sum" dataDxfId="1592" totalsRowDxfId="1591"/>
    <tableColumn id="14" name="(N)_x000a_Net Balance_x000a_(J minus M)" totalsRowFunction="sum" dataDxfId="1590" totalsRowDxfId="15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8.xml><?xml version="1.0" encoding="utf-8"?>
<table xmlns="http://schemas.openxmlformats.org/spreadsheetml/2006/main" id="248" name="Program115" displayName="Program115" ref="A1690:N1699" totalsRowCount="1" headerRowDxfId="1588" dataDxfId="1586" totalsRowDxfId="1584" headerRowBorderDxfId="1587" tableBorderDxfId="1585" totalsRowBorderDxfId="1583">
  <autoFilter ref="A1690:N1698"/>
  <tableColumns count="14">
    <tableColumn id="1" name="(A)_x000a_Program Name" totalsRowLabel="Total Program 115" dataDxfId="1582" totalsRowDxfId="1581"/>
    <tableColumn id="2" name="(B)_x000a_Fiscal _x000a_Year" totalsRowLabel="N/A" dataDxfId="1580" totalsRowDxfId="1579"/>
    <tableColumn id="3" name="(C)_x000a_Program_x000a_Costs" totalsRowFunction="sum" dataDxfId="1578" totalsRowDxfId="1577"/>
    <tableColumn id="4" name="(D)_x000a_Prior Period Adjustments" totalsRowFunction="sum" dataDxfId="1576" totalsRowDxfId="1575"/>
    <tableColumn id="5" name="(E)_x000a_Current Period Desk _x000a_Reviews" totalsRowFunction="sum" dataDxfId="1574" totalsRowDxfId="1573"/>
    <tableColumn id="6" name="(F)_x000a_Current Period _x000a_Final _x000a_Audits" totalsRowFunction="sum" dataDxfId="1572" totalsRowDxfId="1571"/>
    <tableColumn id="7" name="(G)_x000a_Current Period _x000a_Other Adjustments" totalsRowFunction="sum" dataDxfId="1570" totalsRowDxfId="1569"/>
    <tableColumn id="8" name="(H)_x000a_Net Program Costs_x000a_Sum (C through G)" totalsRowFunction="sum" dataDxfId="1568" totalsRowDxfId="1567"/>
    <tableColumn id="9" name="(I)_x000a_Payments_x000a_ and Offsets" totalsRowFunction="sum" dataDxfId="1566" totalsRowDxfId="1565"/>
    <tableColumn id="10" name="(J)_x000a_Accounts Payable Balance_x000a_(H + I)" totalsRowFunction="sum" dataDxfId="1564" totalsRowDxfId="1563"/>
    <tableColumn id="11" name="(K)_x000a_Established _x000a_Accounts Receivable" totalsRowFunction="sum" dataDxfId="1562" totalsRowDxfId="1561"/>
    <tableColumn id="12" name="(L)_x000a_Recovered_x000a_ Accounts Receivable" totalsRowFunction="sum" dataDxfId="1560" totalsRowDxfId="1559"/>
    <tableColumn id="13" name="(M)_x000a_Accounts Receivable Balance_x000a_(K + L)" totalsRowFunction="sum" dataDxfId="1558" totalsRowDxfId="1557"/>
    <tableColumn id="14" name="(N)_x000a_Net Balance_x000a_(J minus M)" totalsRowFunction="sum" dataDxfId="1556" totalsRowDxfId="15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49.xml><?xml version="1.0" encoding="utf-8"?>
<table xmlns="http://schemas.openxmlformats.org/spreadsheetml/2006/main" id="249" name="Program146" displayName="Program146" ref="A1701:N1712" totalsRowCount="1" headerRowDxfId="1554" dataDxfId="1552" totalsRowDxfId="1550" headerRowBorderDxfId="1553" tableBorderDxfId="1551" totalsRowBorderDxfId="1549">
  <autoFilter ref="A1701:N1711"/>
  <tableColumns count="14">
    <tableColumn id="1" name="(A)_x000a_Program Name" totalsRowLabel="Total Program 146" dataDxfId="1548" totalsRowDxfId="1547"/>
    <tableColumn id="2" name="(B)_x000a_Fiscal _x000a_Year" totalsRowLabel="N/A" dataDxfId="1546" totalsRowDxfId="1545"/>
    <tableColumn id="3" name="(C)_x000a_Program_x000a_Costs" totalsRowFunction="sum" dataDxfId="1544" totalsRowDxfId="1543"/>
    <tableColumn id="4" name="(D)_x000a_Prior Period Adjustments" totalsRowFunction="sum" dataDxfId="1542" totalsRowDxfId="1541"/>
    <tableColumn id="5" name="(E)_x000a_Current Period Desk _x000a_Reviews" totalsRowFunction="sum" dataDxfId="1540" totalsRowDxfId="1539"/>
    <tableColumn id="6" name="(F)_x000a_Current Period _x000a_Final _x000a_Audits" totalsRowFunction="sum" dataDxfId="1538" totalsRowDxfId="1537"/>
    <tableColumn id="7" name="(G)_x000a_Current Period _x000a_Other Adjustments" totalsRowFunction="sum" dataDxfId="1536" totalsRowDxfId="1535"/>
    <tableColumn id="8" name="(H)_x000a_Net Program Costs_x000a_Sum (C through G)" totalsRowFunction="sum" dataDxfId="1534" totalsRowDxfId="1533"/>
    <tableColumn id="9" name="(I)_x000a_Payments_x000a_ and Offsets" totalsRowFunction="sum" dataDxfId="1532" totalsRowDxfId="1531"/>
    <tableColumn id="10" name="(J)_x000a_Accounts Payable Balance_x000a_(H + I)" totalsRowFunction="sum" dataDxfId="1530" totalsRowDxfId="1529"/>
    <tableColumn id="11" name="(K)_x000a_Established _x000a_Accounts Receivable" totalsRowFunction="sum" dataDxfId="1528" totalsRowDxfId="1527"/>
    <tableColumn id="12" name="(L)_x000a_Recovered_x000a_ Accounts Receivable" totalsRowFunction="sum" dataDxfId="1526" totalsRowDxfId="1525"/>
    <tableColumn id="13" name="(M)_x000a_Accounts Receivable Balance_x000a_(K + L)" totalsRowFunction="sum" dataDxfId="1524" totalsRowDxfId="1523"/>
    <tableColumn id="14" name="(N)_x000a_Net Balance_x000a_(J minus M)" totalsRowFunction="sum" dataDxfId="1522" totalsRowDxfId="15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.xml><?xml version="1.0" encoding="utf-8"?>
<table xmlns="http://schemas.openxmlformats.org/spreadsheetml/2006/main" id="25" name="Program90" displayName="Program90" ref="A262:N295" totalsRowCount="1" headerRowDxfId="9166" dataDxfId="9164" totalsRowDxfId="9162" headerRowBorderDxfId="9165" tableBorderDxfId="9163" totalsRowBorderDxfId="9161">
  <autoFilter ref="A262:N294"/>
  <tableColumns count="14">
    <tableColumn id="1" name="(A)_x000a_Program Name" totalsRowLabel="Total Program 90" dataDxfId="9160" totalsRowDxfId="9159"/>
    <tableColumn id="2" name="(B)_x000a_Fiscal _x000a_Year" totalsRowLabel="N/A" dataDxfId="9158" totalsRowDxfId="9157"/>
    <tableColumn id="3" name="(C)_x000a_Program_x000a_Costs" totalsRowFunction="sum" dataDxfId="9156" totalsRowDxfId="9155"/>
    <tableColumn id="4" name="(D)_x000a_Prior Period Adjustments" totalsRowFunction="sum" dataDxfId="9154" totalsRowDxfId="9153"/>
    <tableColumn id="5" name="(E)_x000a_Current Period Desk _x000a_Reviews" totalsRowFunction="sum" dataDxfId="9152" totalsRowDxfId="9151"/>
    <tableColumn id="6" name="(F)_x000a_Current Period _x000a_Final _x000a_Audits" totalsRowFunction="sum" dataDxfId="9150" totalsRowDxfId="9149"/>
    <tableColumn id="7" name="(G)_x000a_Current Period _x000a_Other Adjustments" totalsRowFunction="sum" dataDxfId="9148" totalsRowDxfId="9147"/>
    <tableColumn id="8" name="(H)_x000a_Net Program Costs_x000a_Sum (C through G)" totalsRowFunction="sum" dataDxfId="9146" totalsRowDxfId="9145"/>
    <tableColumn id="9" name="(I)_x000a_Payments_x000a_ and Offsets" totalsRowFunction="sum" dataDxfId="9144" totalsRowDxfId="9143"/>
    <tableColumn id="10" name="(J)_x000a_Accounts Payable Balance_x000a_(H + I)" totalsRowFunction="sum" dataDxfId="9142" totalsRowDxfId="9141"/>
    <tableColumn id="11" name="(K)_x000a_Established _x000a_Accounts Receivable" totalsRowFunction="sum" dataDxfId="9140" totalsRowDxfId="9139"/>
    <tableColumn id="12" name="(L)_x000a_Recovered_x000a_ Accounts Receivable" totalsRowFunction="sum" dataDxfId="9138" totalsRowDxfId="9137"/>
    <tableColumn id="13" name="(M)_x000a_Accounts Receivable Balance_x000a_(K + L)" totalsRowFunction="sum" dataDxfId="9136" totalsRowDxfId="9135"/>
    <tableColumn id="14" name="(N)_x000a_Net Balance_x000a_(J minus M)" totalsRowFunction="sum" dataDxfId="9134" totalsRowDxfId="91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0.xml><?xml version="1.0" encoding="utf-8"?>
<table xmlns="http://schemas.openxmlformats.org/spreadsheetml/2006/main" id="250" name="Program58" displayName="Program58" ref="A1714:N1740" totalsRowCount="1" headerRowDxfId="1520" dataDxfId="1518" totalsRowDxfId="1516" headerRowBorderDxfId="1519" tableBorderDxfId="1517" totalsRowBorderDxfId="1515">
  <autoFilter ref="A1714:N1739"/>
  <tableColumns count="14">
    <tableColumn id="1" name="(A)_x000a_Program Name" totalsRowLabel="Total Program 58" dataDxfId="1514" totalsRowDxfId="1513"/>
    <tableColumn id="2" name="(B)_x000a_Fiscal _x000a_Year" totalsRowLabel="N/A" dataDxfId="1512" totalsRowDxfId="1511"/>
    <tableColumn id="3" name="(C)_x000a_Program_x000a_Costs" totalsRowFunction="sum" dataDxfId="1510" totalsRowDxfId="1509"/>
    <tableColumn id="4" name="(D)_x000a_Prior Period Adjustments" totalsRowFunction="sum" dataDxfId="1508" totalsRowDxfId="1507"/>
    <tableColumn id="5" name="(E)_x000a_Current Period Desk _x000a_Reviews" totalsRowFunction="sum" dataDxfId="1506" totalsRowDxfId="1505"/>
    <tableColumn id="6" name="(F)_x000a_Current Period _x000a_Final _x000a_Audits" totalsRowFunction="sum" dataDxfId="1504" totalsRowDxfId="1503"/>
    <tableColumn id="7" name="(G)_x000a_Current Period _x000a_Other Adjustments" totalsRowFunction="sum" dataDxfId="1502" totalsRowDxfId="1501"/>
    <tableColumn id="8" name="(H)_x000a_Net Program Costs_x000a_Sum (C through G)" totalsRowFunction="sum" dataDxfId="1500" totalsRowDxfId="1499"/>
    <tableColumn id="9" name="(I)_x000a_Payments_x000a_ and Offsets" totalsRowFunction="sum" dataDxfId="1498" totalsRowDxfId="1497"/>
    <tableColumn id="10" name="(J)_x000a_Accounts Payable Balance_x000a_(H + I)" totalsRowFunction="sum" dataDxfId="1496" totalsRowDxfId="1495"/>
    <tableColumn id="11" name="(K)_x000a_Established _x000a_Accounts Receivable" totalsRowFunction="sum" dataDxfId="1494" totalsRowDxfId="1493"/>
    <tableColumn id="12" name="(L)_x000a_Recovered_x000a_ Accounts Receivable" totalsRowFunction="sum" dataDxfId="1492" totalsRowDxfId="1491"/>
    <tableColumn id="13" name="(M)_x000a_Accounts Receivable Balance_x000a_(K + L)" totalsRowFunction="sum" dataDxfId="1490" totalsRowDxfId="1489"/>
    <tableColumn id="14" name="(N)_x000a_Net Balance_x000a_(J minus M)" totalsRowFunction="sum" dataDxfId="1488" totalsRowDxfId="14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1.xml><?xml version="1.0" encoding="utf-8"?>
<table xmlns="http://schemas.openxmlformats.org/spreadsheetml/2006/main" id="251" name="Program208" displayName="Program208" ref="A1742:N1752" totalsRowCount="1" headerRowDxfId="1486" dataDxfId="1484" totalsRowDxfId="1482" headerRowBorderDxfId="1485" tableBorderDxfId="1483" totalsRowBorderDxfId="1481">
  <autoFilter ref="A1742:N1751"/>
  <tableColumns count="14">
    <tableColumn id="1" name="(A)_x000a_Program Name" totalsRowLabel="Total Program 208" dataDxfId="1480" totalsRowDxfId="1479"/>
    <tableColumn id="2" name="(B)_x000a_Fiscal _x000a_Year" totalsRowLabel="N/A" dataDxfId="1478" totalsRowDxfId="1477"/>
    <tableColumn id="3" name="(C)_x000a_Program_x000a_Costs" totalsRowFunction="sum" dataDxfId="1476" totalsRowDxfId="1475"/>
    <tableColumn id="4" name="(D)_x000a_Prior Period Adjustments" totalsRowFunction="sum" dataDxfId="1474" totalsRowDxfId="1473"/>
    <tableColumn id="5" name="(E)_x000a_Current Period Desk _x000a_Reviews" totalsRowFunction="sum" dataDxfId="1472" totalsRowDxfId="1471"/>
    <tableColumn id="6" name="(F)_x000a_Current Period _x000a_Final _x000a_Audits" totalsRowFunction="sum" dataDxfId="1470" totalsRowDxfId="1469"/>
    <tableColumn id="7" name="(G)_x000a_Current Period _x000a_Other Adjustments" totalsRowFunction="sum" dataDxfId="1468" totalsRowDxfId="1467"/>
    <tableColumn id="8" name="(H)_x000a_Net Program Costs_x000a_Sum (C through G)" totalsRowFunction="sum" dataDxfId="1466" totalsRowDxfId="1465"/>
    <tableColumn id="9" name="(I)_x000a_Payments_x000a_ and Offsets" totalsRowFunction="sum" dataDxfId="1464" totalsRowDxfId="1463"/>
    <tableColumn id="10" name="(J)_x000a_Accounts Payable Balance_x000a_(H + I)" totalsRowFunction="sum" dataDxfId="1462" totalsRowDxfId="1461"/>
    <tableColumn id="11" name="(K)_x000a_Established _x000a_Accounts Receivable" totalsRowFunction="sum" dataDxfId="1460" totalsRowDxfId="1459"/>
    <tableColumn id="12" name="(L)_x000a_Recovered_x000a_ Accounts Receivable" totalsRowFunction="sum" dataDxfId="1458" totalsRowDxfId="1457"/>
    <tableColumn id="13" name="(M)_x000a_Accounts Receivable Balance_x000a_(K + L)" totalsRowFunction="sum" dataDxfId="1456" totalsRowDxfId="1455"/>
    <tableColumn id="14" name="(N)_x000a_Net Balance_x000a_(J minus M)" totalsRowFunction="sum" dataDxfId="1454" totalsRowDxfId="14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2.xml><?xml version="1.0" encoding="utf-8"?>
<table xmlns="http://schemas.openxmlformats.org/spreadsheetml/2006/main" id="252" name="Program224" displayName="Program224" ref="A1754:N1757" totalsRowCount="1" headerRowDxfId="1452" dataDxfId="1450" totalsRowDxfId="1448" headerRowBorderDxfId="1451" tableBorderDxfId="1449" totalsRowBorderDxfId="1447">
  <autoFilter ref="A1754:N1756"/>
  <tableColumns count="14">
    <tableColumn id="1" name="(A)_x000a_Program Name" totalsRowLabel="Total Program 224" dataDxfId="1446" totalsRowDxfId="1445"/>
    <tableColumn id="2" name="(B)_x000a_Fiscal _x000a_Year" totalsRowLabel="N/A" dataDxfId="1444" totalsRowDxfId="1443"/>
    <tableColumn id="3" name="(C)_x000a_Program_x000a_Costs" totalsRowFunction="sum" dataDxfId="1442" totalsRowDxfId="1441"/>
    <tableColumn id="4" name="(D)_x000a_Prior Period Adjustments" totalsRowFunction="sum" dataDxfId="1440" totalsRowDxfId="1439"/>
    <tableColumn id="5" name="(E)_x000a_Current Period Desk _x000a_Reviews" totalsRowFunction="sum" dataDxfId="1438" totalsRowDxfId="1437"/>
    <tableColumn id="6" name="(F)_x000a_Current Period _x000a_Final _x000a_Audits" totalsRowFunction="sum" dataDxfId="1436" totalsRowDxfId="1435"/>
    <tableColumn id="7" name="(G)_x000a_Current Period _x000a_Other Adjustments" totalsRowFunction="sum" dataDxfId="1434" totalsRowDxfId="1433"/>
    <tableColumn id="8" name="(H)_x000a_Net Program Costs_x000a_Sum (C through G)" totalsRowFunction="sum" dataDxfId="1432" totalsRowDxfId="1431"/>
    <tableColumn id="9" name="(I)_x000a_Payments_x000a_ and Offsets" totalsRowFunction="sum" dataDxfId="1430" totalsRowDxfId="1429"/>
    <tableColumn id="10" name="(J)_x000a_Accounts Payable Balance_x000a_(H + I)" totalsRowFunction="sum" dataDxfId="1428" totalsRowDxfId="1427"/>
    <tableColumn id="11" name="(K)_x000a_Established _x000a_Accounts Receivable" totalsRowFunction="sum" dataDxfId="1426" totalsRowDxfId="1425"/>
    <tableColumn id="12" name="(L)_x000a_Recovered_x000a_ Accounts Receivable" totalsRowFunction="sum" dataDxfId="1424" totalsRowDxfId="1423"/>
    <tableColumn id="13" name="(M)_x000a_Accounts Receivable Balance_x000a_(K + L)" totalsRowFunction="sum" dataDxfId="1422" totalsRowDxfId="1421"/>
    <tableColumn id="14" name="(N)_x000a_Net Balance_x000a_(J minus M)" totalsRowFunction="sum" dataDxfId="1420" totalsRowDxfId="14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3.xml><?xml version="1.0" encoding="utf-8"?>
<table xmlns="http://schemas.openxmlformats.org/spreadsheetml/2006/main" id="253" name="Program308" displayName="Program308" ref="A1759:N1773" totalsRowCount="1" headerRowDxfId="1418" dataDxfId="1416" totalsRowDxfId="1414" headerRowBorderDxfId="1417" tableBorderDxfId="1415" totalsRowBorderDxfId="1413">
  <autoFilter ref="A1759:N1772"/>
  <tableColumns count="14">
    <tableColumn id="1" name="(A)_x000a_Program Name" totalsRowLabel="Total Program 308" dataDxfId="1412" totalsRowDxfId="1411"/>
    <tableColumn id="2" name="(B)_x000a_Fiscal _x000a_Year" totalsRowLabel="N/A" dataDxfId="1410" totalsRowDxfId="1409"/>
    <tableColumn id="3" name="(C)_x000a_Program_x000a_Costs" totalsRowFunction="sum" dataDxfId="1408" totalsRowDxfId="1407"/>
    <tableColumn id="4" name="(D)_x000a_Prior Period Adjustments" totalsRowFunction="sum" dataDxfId="1406" totalsRowDxfId="1405"/>
    <tableColumn id="5" name="(E)_x000a_Current Period Desk _x000a_Reviews" totalsRowFunction="sum" dataDxfId="1404" totalsRowDxfId="1403"/>
    <tableColumn id="6" name="(F)_x000a_Current Period _x000a_Final _x000a_Audits" totalsRowFunction="sum" dataDxfId="1402" totalsRowDxfId="1401"/>
    <tableColumn id="7" name="(G)_x000a_Current Period _x000a_Other Adjustments" totalsRowFunction="sum" dataDxfId="1400" totalsRowDxfId="1399"/>
    <tableColumn id="8" name="(H)_x000a_Net Program Costs_x000a_Sum (C through G)" totalsRowFunction="sum" dataDxfId="1398" totalsRowDxfId="1397"/>
    <tableColumn id="9" name="(I)_x000a_Payments_x000a_ and Offsets" totalsRowFunction="sum" dataDxfId="1396" totalsRowDxfId="1395"/>
    <tableColumn id="10" name="(J)_x000a_Accounts Payable Balance_x000a_(H + I)" totalsRowFunction="sum" dataDxfId="1394" totalsRowDxfId="1393"/>
    <tableColumn id="11" name="(K)_x000a_Established _x000a_Accounts Receivable" totalsRowFunction="sum" dataDxfId="1392" totalsRowDxfId="1391"/>
    <tableColumn id="12" name="(L)_x000a_Recovered_x000a_ Accounts Receivable" totalsRowFunction="sum" dataDxfId="1390" totalsRowDxfId="1389"/>
    <tableColumn id="13" name="(M)_x000a_Accounts Receivable Balance_x000a_(K + L)" totalsRowFunction="sum" dataDxfId="1388" totalsRowDxfId="1387"/>
    <tableColumn id="14" name="(N)_x000a_Net Balance_x000a_(J minus M)" totalsRowFunction="sum" dataDxfId="1386" totalsRowDxfId="13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4.xml><?xml version="1.0" encoding="utf-8"?>
<table xmlns="http://schemas.openxmlformats.org/spreadsheetml/2006/main" id="254" name="Program352" displayName="Program352" ref="A1775:N1781" totalsRowCount="1" headerRowDxfId="1384" dataDxfId="1382" totalsRowDxfId="1380" headerRowBorderDxfId="1383" tableBorderDxfId="1381" totalsRowBorderDxfId="1379">
  <autoFilter ref="A1775:N1780"/>
  <tableColumns count="14">
    <tableColumn id="1" name="(A)_x000a_Program Name" totalsRowLabel="Total Program 352" dataDxfId="1378" totalsRowDxfId="1377"/>
    <tableColumn id="2" name="(B)_x000a_Fiscal _x000a_Year" totalsRowLabel="N/A" dataDxfId="1376" totalsRowDxfId="1375"/>
    <tableColumn id="3" name="(C)_x000a_Program_x000a_Costs" totalsRowFunction="sum" dataDxfId="1374" totalsRowDxfId="1373"/>
    <tableColumn id="4" name="(D)_x000a_Prior Period Adjustments" totalsRowFunction="sum" dataDxfId="1372" totalsRowDxfId="1371"/>
    <tableColumn id="5" name="(E)_x000a_Current Period Desk _x000a_Reviews" totalsRowFunction="sum" dataDxfId="1370" totalsRowDxfId="1369"/>
    <tableColumn id="6" name="(F)_x000a_Current Period _x000a_Final _x000a_Audits" totalsRowFunction="sum" dataDxfId="1368" totalsRowDxfId="1367"/>
    <tableColumn id="7" name="(G)_x000a_Current Period _x000a_Other Adjustments" totalsRowFunction="sum" dataDxfId="1366" totalsRowDxfId="1365"/>
    <tableColumn id="8" name="(H)_x000a_Net Program Costs_x000a_Sum (C through G)" totalsRowFunction="sum" dataDxfId="1364" totalsRowDxfId="1363"/>
    <tableColumn id="9" name="(I)_x000a_Payments_x000a_ and Offsets" totalsRowFunction="sum" dataDxfId="1362" totalsRowDxfId="1361"/>
    <tableColumn id="10" name="(J)_x000a_Accounts Payable Balance_x000a_(H + I)" totalsRowFunction="sum" dataDxfId="1360" totalsRowDxfId="1359"/>
    <tableColumn id="11" name="(K)_x000a_Established _x000a_Accounts Receivable" totalsRowFunction="sum" dataDxfId="1358" totalsRowDxfId="1357"/>
    <tableColumn id="12" name="(L)_x000a_Recovered_x000a_ Accounts Receivable" totalsRowFunction="sum" dataDxfId="1356" totalsRowDxfId="1355"/>
    <tableColumn id="13" name="(M)_x000a_Accounts Receivable Balance_x000a_(K + L)" totalsRowFunction="sum" dataDxfId="1354" totalsRowDxfId="1353"/>
    <tableColumn id="14" name="(N)_x000a_Net Balance_x000a_(J minus M)" totalsRowFunction="sum" dataDxfId="1352" totalsRowDxfId="13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5.xml><?xml version="1.0" encoding="utf-8"?>
<table xmlns="http://schemas.openxmlformats.org/spreadsheetml/2006/main" id="255" name="Program252" displayName="Program252" ref="A1783:N1790" totalsRowCount="1" headerRowDxfId="1350" dataDxfId="1348" totalsRowDxfId="1346" headerRowBorderDxfId="1349" tableBorderDxfId="1347" totalsRowBorderDxfId="1345">
  <autoFilter ref="A1783:N1789"/>
  <tableColumns count="14">
    <tableColumn id="1" name="(A)_x000a_Program Name" totalsRowLabel="Total Program 252" dataDxfId="1344" totalsRowDxfId="1343"/>
    <tableColumn id="2" name="(B)_x000a_Fiscal _x000a_Year" totalsRowLabel="N/A" dataDxfId="1342" totalsRowDxfId="1341"/>
    <tableColumn id="3" name="(C)_x000a_Program_x000a_Costs" totalsRowFunction="sum" dataDxfId="1340" totalsRowDxfId="1339"/>
    <tableColumn id="4" name="(D)_x000a_Prior Period Adjustments" totalsRowFunction="sum" dataDxfId="1338" totalsRowDxfId="1337"/>
    <tableColumn id="5" name="(E)_x000a_Current Period Desk _x000a_Reviews" totalsRowFunction="sum" dataDxfId="1336" totalsRowDxfId="1335"/>
    <tableColumn id="6" name="(F)_x000a_Current Period _x000a_Final _x000a_Audits" totalsRowFunction="sum" dataDxfId="1334" totalsRowDxfId="1333"/>
    <tableColumn id="7" name="(G)_x000a_Current Period _x000a_Other Adjustments" totalsRowFunction="sum" dataDxfId="1332" totalsRowDxfId="1331"/>
    <tableColumn id="8" name="(H)_x000a_Net Program Costs_x000a_Sum (C through G)" totalsRowFunction="sum" dataDxfId="1330" totalsRowDxfId="1329"/>
    <tableColumn id="9" name="(I)_x000a_Payments_x000a_ and Offsets" totalsRowFunction="sum" dataDxfId="1328" totalsRowDxfId="1327"/>
    <tableColumn id="10" name="(J)_x000a_Accounts Payable Balance_x000a_(H + I)" totalsRowFunction="sum" dataDxfId="1326" totalsRowDxfId="1325"/>
    <tableColumn id="11" name="(K)_x000a_Established _x000a_Accounts Receivable" totalsRowFunction="sum" dataDxfId="1324" totalsRowDxfId="1323"/>
    <tableColumn id="12" name="(L)_x000a_Recovered_x000a_ Accounts Receivable" totalsRowFunction="sum" dataDxfId="1322" totalsRowDxfId="1321"/>
    <tableColumn id="13" name="(M)_x000a_Accounts Receivable Balance_x000a_(K + L)" totalsRowFunction="sum" dataDxfId="1320" totalsRowDxfId="1319"/>
    <tableColumn id="14" name="(N)_x000a_Net Balance_x000a_(J minus M)" totalsRowFunction="sum" dataDxfId="1318" totalsRowDxfId="131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6.xml><?xml version="1.0" encoding="utf-8"?>
<table xmlns="http://schemas.openxmlformats.org/spreadsheetml/2006/main" id="256" name="Program260" displayName="Program260" ref="A1792:N1815" totalsRowCount="1" headerRowDxfId="1316" dataDxfId="1314" totalsRowDxfId="1312" headerRowBorderDxfId="1315" tableBorderDxfId="1313" totalsRowBorderDxfId="1311">
  <autoFilter ref="A1792:N1814"/>
  <tableColumns count="14">
    <tableColumn id="1" name="(A)_x000a_Program Name" totalsRowLabel="Total Program 260" dataDxfId="1310" totalsRowDxfId="1309"/>
    <tableColumn id="2" name="(B)_x000a_Fiscal _x000a_Year" totalsRowLabel="N/A" dataDxfId="1308" totalsRowDxfId="1307"/>
    <tableColumn id="3" name="(C)_x000a_Program_x000a_Costs" totalsRowFunction="sum" dataDxfId="1306" totalsRowDxfId="1305"/>
    <tableColumn id="4" name="(D)_x000a_Prior Period Adjustments" totalsRowFunction="sum" dataDxfId="1304" totalsRowDxfId="1303"/>
    <tableColumn id="5" name="(E)_x000a_Current Period Desk _x000a_Reviews" totalsRowFunction="sum" dataDxfId="1302" totalsRowDxfId="1301"/>
    <tableColumn id="6" name="(F)_x000a_Current Period _x000a_Final _x000a_Audits" totalsRowFunction="sum" dataDxfId="1300" totalsRowDxfId="1299"/>
    <tableColumn id="7" name="(G)_x000a_Current Period _x000a_Other Adjustments" totalsRowFunction="sum" dataDxfId="1298" totalsRowDxfId="1297"/>
    <tableColumn id="8" name="(H)_x000a_Net Program Costs_x000a_Sum (C through G)" totalsRowFunction="sum" dataDxfId="1296" totalsRowDxfId="1295"/>
    <tableColumn id="9" name="(I)_x000a_Payments_x000a_ and Offsets" totalsRowFunction="sum" dataDxfId="1294" totalsRowDxfId="1293"/>
    <tableColumn id="10" name="(J)_x000a_Accounts Payable Balance_x000a_(H + I)" totalsRowFunction="sum" dataDxfId="1292" totalsRowDxfId="1291"/>
    <tableColumn id="11" name="(K)_x000a_Established _x000a_Accounts Receivable" totalsRowFunction="sum" dataDxfId="1290" totalsRowDxfId="1289"/>
    <tableColumn id="12" name="(L)_x000a_Recovered_x000a_ Accounts Receivable" totalsRowFunction="sum" dataDxfId="1288" totalsRowDxfId="1287"/>
    <tableColumn id="13" name="(M)_x000a_Accounts Receivable Balance_x000a_(K + L)" totalsRowFunction="sum" dataDxfId="1286" totalsRowDxfId="1285"/>
    <tableColumn id="14" name="(N)_x000a_Net Balance_x000a_(J minus M)" totalsRowFunction="sum" dataDxfId="1284" totalsRowDxfId="12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7.xml><?xml version="1.0" encoding="utf-8"?>
<table xmlns="http://schemas.openxmlformats.org/spreadsheetml/2006/main" id="257" name="Program367" displayName="Program367" ref="A1817:N1823" totalsRowCount="1" headerRowDxfId="1282" dataDxfId="1280" totalsRowDxfId="1278" headerRowBorderDxfId="1281" tableBorderDxfId="1279" totalsRowBorderDxfId="1277">
  <autoFilter ref="A1817:N1822"/>
  <tableColumns count="14">
    <tableColumn id="1" name="(A)_x000a_Program Name" totalsRowLabel="Total Program 367" dataDxfId="1276" totalsRowDxfId="1275"/>
    <tableColumn id="2" name="(B)_x000a_Fiscal _x000a_Year" totalsRowLabel="N/A" dataDxfId="1274" totalsRowDxfId="1273"/>
    <tableColumn id="3" name="(C)_x000a_Program_x000a_Costs" totalsRowFunction="sum" dataDxfId="1272" totalsRowDxfId="1271"/>
    <tableColumn id="4" name="(D)_x000a_Prior Period Adjustments" totalsRowFunction="sum" dataDxfId="1270" totalsRowDxfId="1269"/>
    <tableColumn id="5" name="(E)_x000a_Current Period Desk _x000a_Reviews" totalsRowFunction="sum" dataDxfId="1268" totalsRowDxfId="1267"/>
    <tableColumn id="6" name="(F)_x000a_Current Period _x000a_Final _x000a_Audits" totalsRowFunction="sum" dataDxfId="1266" totalsRowDxfId="1265"/>
    <tableColumn id="7" name="(G)_x000a_Current Period _x000a_Other Adjustments" totalsRowFunction="sum" dataDxfId="1264" totalsRowDxfId="1263"/>
    <tableColumn id="8" name="(H)_x000a_Net Program Costs_x000a_Sum (C through G)" totalsRowFunction="sum" dataDxfId="1262" totalsRowDxfId="1261"/>
    <tableColumn id="9" name="(I)_x000a_Payments_x000a_ and Offsets" totalsRowFunction="sum" dataDxfId="1260" totalsRowDxfId="1259"/>
    <tableColumn id="10" name="(J)_x000a_Accounts Payable Balance_x000a_(H + I)" totalsRowFunction="sum" dataDxfId="1258" totalsRowDxfId="1257"/>
    <tableColumn id="11" name="(K)_x000a_Established _x000a_Accounts Receivable" totalsRowFunction="sum" dataDxfId="1256" totalsRowDxfId="1255"/>
    <tableColumn id="12" name="(L)_x000a_Recovered_x000a_ Accounts Receivable" totalsRowFunction="sum" dataDxfId="1254" totalsRowDxfId="1253"/>
    <tableColumn id="13" name="(M)_x000a_Accounts Receivable Balance_x000a_(K + L)" totalsRowFunction="sum" dataDxfId="1252" totalsRowDxfId="1251"/>
    <tableColumn id="14" name="(N)_x000a_Net Balance_x000a_(J minus M)" totalsRowFunction="sum" dataDxfId="1250" totalsRowDxfId="12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8.xml><?xml version="1.0" encoding="utf-8"?>
<table xmlns="http://schemas.openxmlformats.org/spreadsheetml/2006/main" id="258" name="Program346" displayName="Program346" ref="A1825:N1841" totalsRowCount="1" headerRowDxfId="1248" dataDxfId="1246" totalsRowDxfId="1244" headerRowBorderDxfId="1247" tableBorderDxfId="1245" totalsRowBorderDxfId="1243">
  <autoFilter ref="A1825:N1840"/>
  <tableColumns count="14">
    <tableColumn id="1" name="(A)_x000a_Program Name" totalsRowLabel="Total Program 346" dataDxfId="1242" totalsRowDxfId="1241"/>
    <tableColumn id="2" name="(B)_x000a_Fiscal _x000a_Year" totalsRowLabel="N/A" dataDxfId="1240" totalsRowDxfId="1239"/>
    <tableColumn id="3" name="(C)_x000a_Program_x000a_Costs" totalsRowFunction="sum" dataDxfId="1238" totalsRowDxfId="1237"/>
    <tableColumn id="4" name="(D)_x000a_Prior Period Adjustments" totalsRowFunction="sum" dataDxfId="1236" totalsRowDxfId="1235"/>
    <tableColumn id="5" name="(E)_x000a_Current Period Desk _x000a_Reviews" totalsRowFunction="sum" dataDxfId="1234" totalsRowDxfId="1233"/>
    <tableColumn id="6" name="(F)_x000a_Current Period _x000a_Final _x000a_Audits" totalsRowFunction="sum" dataDxfId="1232" totalsRowDxfId="1231"/>
    <tableColumn id="7" name="(G)_x000a_Current Period _x000a_Other Adjustments" totalsRowFunction="sum" dataDxfId="1230" totalsRowDxfId="1229"/>
    <tableColumn id="8" name="(H)_x000a_Net Program Costs_x000a_Sum (C through G)" totalsRowFunction="sum" dataDxfId="1228" totalsRowDxfId="1227"/>
    <tableColumn id="9" name="(I)_x000a_Payments_x000a_ and Offsets" totalsRowFunction="sum" dataDxfId="1226" totalsRowDxfId="1225"/>
    <tableColumn id="10" name="(J)_x000a_Accounts Payable Balance_x000a_(H + I)" totalsRowFunction="sum" dataDxfId="1224" totalsRowDxfId="1223"/>
    <tableColumn id="11" name="(K)_x000a_Established _x000a_Accounts Receivable" totalsRowFunction="sum" dataDxfId="1222" totalsRowDxfId="1221"/>
    <tableColumn id="12" name="(L)_x000a_Recovered_x000a_ Accounts Receivable" totalsRowFunction="min" dataDxfId="1220" totalsRowDxfId="1219"/>
    <tableColumn id="13" name="(M)_x000a_Accounts Receivable Balance_x000a_(K + L)" totalsRowFunction="sum" dataDxfId="1218" totalsRowDxfId="1217"/>
    <tableColumn id="14" name="(N)_x000a_Net Balance_x000a_(J minus M)" totalsRowFunction="sum" dataDxfId="1216" totalsRowDxfId="12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59.xml><?xml version="1.0" encoding="utf-8"?>
<table xmlns="http://schemas.openxmlformats.org/spreadsheetml/2006/main" id="259" name="Program351" displayName="Program351" ref="A1843:N1859" totalsRowCount="1" headerRowDxfId="1214" dataDxfId="1212" totalsRowDxfId="1210" headerRowBorderDxfId="1213" tableBorderDxfId="1211" totalsRowBorderDxfId="1209">
  <autoFilter ref="A1843:N1858"/>
  <tableColumns count="14">
    <tableColumn id="1" name="(A)_x000a_Program Name" totalsRowLabel="Total Program 351" dataDxfId="1208" totalsRowDxfId="1207"/>
    <tableColumn id="2" name="(B)_x000a_Fiscal _x000a_Year" totalsRowLabel="N/A" dataDxfId="1206" totalsRowDxfId="1205"/>
    <tableColumn id="3" name="(C)_x000a_Program_x000a_Costs" totalsRowFunction="sum" dataDxfId="1204" totalsRowDxfId="1203"/>
    <tableColumn id="4" name="(D)_x000a_Prior Period Adjustments" totalsRowFunction="sum" dataDxfId="1202" totalsRowDxfId="1201"/>
    <tableColumn id="5" name="(E)_x000a_Current Period Desk _x000a_Reviews" totalsRowFunction="sum" dataDxfId="1200" totalsRowDxfId="1199"/>
    <tableColumn id="6" name="(F)_x000a_Current Period _x000a_Final _x000a_Audits" totalsRowFunction="sum" dataDxfId="1198" totalsRowDxfId="1197"/>
    <tableColumn id="7" name="(G)_x000a_Current Period _x000a_Other Adjustments" totalsRowFunction="sum" dataDxfId="1196" totalsRowDxfId="1195"/>
    <tableColumn id="8" name="(H)_x000a_Net Program Costs_x000a_Sum (C through G)" totalsRowFunction="sum" dataDxfId="1194" totalsRowDxfId="1193"/>
    <tableColumn id="9" name="(I)_x000a_Payments_x000a_ and Offsets" totalsRowFunction="sum" dataDxfId="1192" totalsRowDxfId="1191"/>
    <tableColumn id="10" name="(J)_x000a_Accounts Payable Balance_x000a_(H + I)" totalsRowFunction="sum" dataDxfId="1190" totalsRowDxfId="1189"/>
    <tableColumn id="11" name="(K)_x000a_Established _x000a_Accounts Receivable" totalsRowFunction="sum" dataDxfId="1188" totalsRowDxfId="1187"/>
    <tableColumn id="12" name="(L)_x000a_Recovered_x000a_ Accounts Receivable" totalsRowFunction="sum" dataDxfId="1186" totalsRowDxfId="1185"/>
    <tableColumn id="13" name="(M)_x000a_Accounts Receivable Balance_x000a_(K + L)" totalsRowFunction="sum" dataDxfId="1184" totalsRowDxfId="1183"/>
    <tableColumn id="14" name="(N)_x000a_Net Balance_x000a_(J minus M)" totalsRowFunction="sum" dataDxfId="1182" totalsRowDxfId="11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.xml><?xml version="1.0" encoding="utf-8"?>
<table xmlns="http://schemas.openxmlformats.org/spreadsheetml/2006/main" id="26" name="Program85" displayName="Program85" ref="A297:N306" totalsRowCount="1" headerRowDxfId="9132" dataDxfId="9130" totalsRowDxfId="9128" headerRowBorderDxfId="9131" tableBorderDxfId="9129" totalsRowBorderDxfId="9127">
  <autoFilter ref="A297:N305"/>
  <tableColumns count="14">
    <tableColumn id="1" name="(A)_x000a_Program Name" totalsRowLabel="Total Program 85" dataDxfId="9126" totalsRowDxfId="9125"/>
    <tableColumn id="2" name="(B)_x000a_Fiscal _x000a_Year" totalsRowLabel="N/A" dataDxfId="9124" totalsRowDxfId="9123"/>
    <tableColumn id="3" name="(C)_x000a_Program_x000a_Costs" totalsRowFunction="sum" dataDxfId="9122" totalsRowDxfId="9121"/>
    <tableColumn id="4" name="(D)_x000a_Prior Period Adjustments" totalsRowFunction="sum" dataDxfId="9120" totalsRowDxfId="9119"/>
    <tableColumn id="5" name="(E)_x000a_Current Period Desk _x000a_Reviews" totalsRowFunction="sum" dataDxfId="9118" totalsRowDxfId="9117"/>
    <tableColumn id="6" name="(F)_x000a_Current Period _x000a_Final _x000a_Audits" totalsRowFunction="sum" dataDxfId="9116" totalsRowDxfId="9115"/>
    <tableColumn id="7" name="(G)_x000a_Current Period _x000a_Other Adjustments" totalsRowFunction="sum" dataDxfId="9114" totalsRowDxfId="9113"/>
    <tableColumn id="8" name="(H)_x000a_Net Program Costs_x000a_Sum (C through G)" totalsRowFunction="sum" dataDxfId="9112" totalsRowDxfId="9111"/>
    <tableColumn id="9" name="(I)_x000a_Payments_x000a_ and Offsets" totalsRowFunction="sum" dataDxfId="9110" totalsRowDxfId="9109"/>
    <tableColumn id="10" name="(J)_x000a_Accounts Payable Balance_x000a_(H + I)" totalsRowFunction="sum" dataDxfId="9108" totalsRowDxfId="9107"/>
    <tableColumn id="11" name="(K)_x000a_Established _x000a_Accounts Receivable" totalsRowFunction="sum" dataDxfId="9106" totalsRowDxfId="9105"/>
    <tableColumn id="12" name="(L)_x000a_Recovered_x000a_ Accounts Receivable" totalsRowFunction="sum" dataDxfId="9104" totalsRowDxfId="9103"/>
    <tableColumn id="13" name="(M)_x000a_Accounts Receivable Balance_x000a_(K + L)" totalsRowFunction="sum" dataDxfId="9102" totalsRowDxfId="9101"/>
    <tableColumn id="14" name="(N)_x000a_Net Balance_x000a_(J minus M)" totalsRowFunction="sum" dataDxfId="9100" totalsRowDxfId="90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0.xml><?xml version="1.0" encoding="utf-8"?>
<table xmlns="http://schemas.openxmlformats.org/spreadsheetml/2006/main" id="260" name="GrandTotalSchoolDistricts" displayName="GrandTotalSchoolDistricts" ref="A1861:N1984" totalsRowCount="1" headerRowDxfId="1180" dataDxfId="1178" totalsRowDxfId="1176" headerRowBorderDxfId="1179" tableBorderDxfId="1177" totalsRowBorderDxfId="1175">
  <autoFilter ref="A1861:N1983"/>
  <tableColumns count="14">
    <tableColumn id="1" name="(A)_x000a_Program Name" totalsRowLabel="Grand Total School Districts" dataDxfId="1174" totalsRowDxfId="1173"/>
    <tableColumn id="2" name="(B)_x000a_Fiscal _x000a_Year" totalsRowLabel="N/A" dataDxfId="1172" totalsRowDxfId="1171"/>
    <tableColumn id="3" name="(C)_x000a_Program_x000a_Costs" totalsRowFunction="sum" dataDxfId="1170" totalsRowDxfId="1169"/>
    <tableColumn id="4" name="(D)_x000a_Prior Period Adjustments" totalsRowFunction="sum" dataDxfId="1168" totalsRowDxfId="1167"/>
    <tableColumn id="5" name="(E)_x000a_Current Period Desk _x000a_Reviews" totalsRowFunction="sum" dataDxfId="1166" totalsRowDxfId="1165"/>
    <tableColumn id="6" name="(F)_x000a_Current Period _x000a_Final _x000a_Audits" totalsRowFunction="sum" dataDxfId="1164" totalsRowDxfId="1163"/>
    <tableColumn id="7" name="(G)_x000a_Current Period _x000a_Other Adjustments" totalsRowFunction="sum" dataDxfId="1162" totalsRowDxfId="1161"/>
    <tableColumn id="8" name="(H)_x000a_Net Program Costs_x000a_Sum (C through G)" totalsRowFunction="sum" dataDxfId="1160" totalsRowDxfId="1159"/>
    <tableColumn id="9" name="(I)_x000a_Payments_x000a_ and Offsets" totalsRowFunction="sum" dataDxfId="1158" totalsRowDxfId="1157"/>
    <tableColumn id="10" name="(J)_x000a_Accounts Payable Balance_x000a_(H + I)" totalsRowFunction="sum" dataDxfId="1156" totalsRowDxfId="1155"/>
    <tableColumn id="11" name="(K)_x000a_Established _x000a_Accounts Receivable" totalsRowFunction="sum" dataDxfId="1154" totalsRowDxfId="1153"/>
    <tableColumn id="12" name="(L)_x000a_Recovered_x000a_ Accounts Receivable" totalsRowFunction="sum" dataDxfId="1152" totalsRowDxfId="1151"/>
    <tableColumn id="13" name="(M)_x000a_Accounts Receivable Balance_x000a_(K + L)" totalsRowFunction="sum" dataDxfId="1150" totalsRowDxfId="1149"/>
    <tableColumn id="14" name="(N)_x000a_Net Balance_x000a_(J minus M)" totalsRowFunction="sum" dataDxfId="1148" totalsRowDxfId="11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1.xml><?xml version="1.0" encoding="utf-8"?>
<table xmlns="http://schemas.openxmlformats.org/spreadsheetml/2006/main" id="261" name="Program231" displayName="Program231" ref="A2:N6" totalsRowCount="1" headerRowDxfId="1146" dataDxfId="1144" totalsRowDxfId="1142" headerRowBorderDxfId="1145" tableBorderDxfId="1143" totalsRowBorderDxfId="1141" dataCellStyle="Currency">
  <autoFilter ref="A2:N5"/>
  <tableColumns count="14">
    <tableColumn id="1" name="(A)_x000a_Program Name" totalsRowLabel="Total Program 231" totalsRowDxfId="1140"/>
    <tableColumn id="2" name="(B)_x000a_Fiscal _x000a_Year" totalsRowLabel="N/A" dataDxfId="1139" totalsRowDxfId="1138"/>
    <tableColumn id="3" name="(C)_x000a_Program_x000a_Costs" totalsRowFunction="sum" dataDxfId="1137" totalsRowDxfId="1136" dataCellStyle="Currency"/>
    <tableColumn id="4" name="(D)_x000a_Prior Period Adjustments" totalsRowFunction="sum" dataDxfId="1135" totalsRowDxfId="1134" dataCellStyle="Currency"/>
    <tableColumn id="5" name="(E)_x000a_Current Period Desk _x000a_Reviews" totalsRowFunction="sum" dataDxfId="1133" totalsRowDxfId="1132" dataCellStyle="Currency"/>
    <tableColumn id="6" name="(F)_x000a_Current Period _x000a_Final _x000a_Audits" totalsRowFunction="sum" dataDxfId="1131" totalsRowDxfId="1130" dataCellStyle="Currency"/>
    <tableColumn id="7" name="(G)_x000a_Current Period _x000a_Other Adjustments" totalsRowFunction="sum" dataDxfId="1129" totalsRowDxfId="1128" dataCellStyle="Currency"/>
    <tableColumn id="8" name="(H)_x000a_Net Program Costs_x000a_Sum (C through G)" totalsRowFunction="sum" dataDxfId="1127" totalsRowDxfId="1126" dataCellStyle="Currency">
      <calculatedColumnFormula>SUM(C3:G3)</calculatedColumnFormula>
    </tableColumn>
    <tableColumn id="9" name="(I)_x000a_Payments_x000a_ and Offsets" totalsRowFunction="sum" dataDxfId="1125" totalsRowDxfId="1124" dataCellStyle="Currency"/>
    <tableColumn id="10" name="(J)_x000a_Accounts Payable Balance_x000a_(H + I)" totalsRowFunction="sum" dataDxfId="1123" totalsRowDxfId="1122" dataCellStyle="Currency">
      <calculatedColumnFormula>H3+I3</calculatedColumnFormula>
    </tableColumn>
    <tableColumn id="11" name="(K)_x000a_Established _x000a_Accounts Receivable" totalsRowFunction="sum" dataDxfId="1121" totalsRowDxfId="1120" dataCellStyle="Currency"/>
    <tableColumn id="12" name="(L)_x000a_Recovered_x000a_ Accounts Receivable" totalsRowFunction="sum" dataDxfId="1119" totalsRowDxfId="1118" dataCellStyle="Currency"/>
    <tableColumn id="13" name="(M)_x000a_Accounts Receivable Balance_x000a_(K + L)" totalsRowFunction="sum" dataDxfId="1117" totalsRowDxfId="1116" dataCellStyle="Currency">
      <calculatedColumnFormula>K3+L3</calculatedColumnFormula>
    </tableColumn>
    <tableColumn id="14" name="(N)_x000a_Net Balance_x000a_(J minus M)" totalsRowFunction="sum" dataDxfId="1115" totalsRowDxfId="1114" dataCellStyle="Currency">
      <calculatedColumnFormula>J3-M3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2.xml><?xml version="1.0" encoding="utf-8"?>
<table xmlns="http://schemas.openxmlformats.org/spreadsheetml/2006/main" id="262" name="Program270" displayName="Program270" ref="A8:N21" totalsRowCount="1" headerRowDxfId="1113" dataDxfId="1111" totalsRowDxfId="1109" headerRowBorderDxfId="1112" tableBorderDxfId="1110" totalsRowBorderDxfId="1108" dataCellStyle="Currency">
  <autoFilter ref="A8:N20"/>
  <tableColumns count="14">
    <tableColumn id="1" name="(A)_x000a_Program Name" totalsRowLabel="Total Program 270" dataDxfId="1107" totalsRowDxfId="1106" dataCellStyle="Currency"/>
    <tableColumn id="2" name="(B)_x000a_Fiscal _x000a_Year" totalsRowLabel="N/A" dataDxfId="1105" totalsRowDxfId="1104"/>
    <tableColumn id="3" name="(C)_x000a_Program_x000a_Costs" totalsRowFunction="sum" dataDxfId="1103" totalsRowDxfId="1102" dataCellStyle="Currency"/>
    <tableColumn id="4" name="(D)_x000a_Prior Period Adjustments" totalsRowFunction="sum" dataDxfId="1101" totalsRowDxfId="1100" dataCellStyle="Currency"/>
    <tableColumn id="5" name="(E)_x000a_Current Period Desk _x000a_Reviews" totalsRowFunction="sum" dataDxfId="1099" totalsRowDxfId="1098" dataCellStyle="Currency"/>
    <tableColumn id="6" name="(F)_x000a_Current Period _x000a_Final _x000a_Audits" totalsRowFunction="sum" dataDxfId="1097" totalsRowDxfId="1096" dataCellStyle="Currency"/>
    <tableColumn id="7" name="(G)_x000a_Current Period _x000a_Other Adjustments" totalsRowFunction="sum" dataDxfId="1095" totalsRowDxfId="1094" dataCellStyle="Currency"/>
    <tableColumn id="8" name="(H)_x000a_Net Program Costs_x000a_Sum (C through G)" totalsRowFunction="sum" dataDxfId="1093" totalsRowDxfId="1092" dataCellStyle="Currency">
      <calculatedColumnFormula>SUM(C9:G9)</calculatedColumnFormula>
    </tableColumn>
    <tableColumn id="9" name="(I)_x000a_Payments_x000a_ and Offsets" totalsRowFunction="sum" dataDxfId="1091" totalsRowDxfId="1090" dataCellStyle="Currency"/>
    <tableColumn id="10" name="(J)_x000a_Accounts Payable Balance_x000a_(H + I)" totalsRowFunction="sum" dataDxfId="1089" totalsRowDxfId="1088" dataCellStyle="Currency">
      <calculatedColumnFormula>H9+I9</calculatedColumnFormula>
    </tableColumn>
    <tableColumn id="11" name="(K)_x000a_Established _x000a_Accounts Receivable" totalsRowFunction="sum" dataDxfId="1087" totalsRowDxfId="1086" dataCellStyle="Currency"/>
    <tableColumn id="12" name="(L)_x000a_Recovered_x000a_ Accounts Receivable" totalsRowFunction="sum" dataDxfId="1085" totalsRowDxfId="1084" dataCellStyle="Currency"/>
    <tableColumn id="13" name="(M)_x000a_Accounts Receivable Balance_x000a_(K + L)" totalsRowFunction="sum" dataDxfId="1083" totalsRowDxfId="1082" dataCellStyle="Currency">
      <calculatedColumnFormula>K9+L9</calculatedColumnFormula>
    </tableColumn>
    <tableColumn id="14" name="(N)_x000a_Net Balance_x000a_(J minus M)" totalsRowFunction="sum" dataDxfId="1081" totalsRowDxfId="1080" dataCellStyle="Currency">
      <calculatedColumnFormula>J9-M9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3.xml><?xml version="1.0" encoding="utf-8"?>
<table xmlns="http://schemas.openxmlformats.org/spreadsheetml/2006/main" id="263" name="Program302" displayName="Program302" ref="A23:N35" totalsRowCount="1" headerRowDxfId="1079" dataDxfId="1077" totalsRowDxfId="1075" headerRowBorderDxfId="1078" tableBorderDxfId="1076" totalsRowBorderDxfId="1074" dataCellStyle="Currency">
  <autoFilter ref="A23:N34"/>
  <tableColumns count="14">
    <tableColumn id="1" name="(A)_x000a_Program Name" totalsRowLabel="Total Program 302" dataDxfId="1073" totalsRowDxfId="1072" dataCellStyle="Currency"/>
    <tableColumn id="2" name="(B)_x000a_Fiscal _x000a_Year" totalsRowLabel="N/A" dataDxfId="1071" totalsRowDxfId="1070"/>
    <tableColumn id="3" name="(C)_x000a_Program_x000a_Costs" totalsRowFunction="sum" dataDxfId="1069" totalsRowDxfId="1068" dataCellStyle="Currency"/>
    <tableColumn id="4" name="(D)_x000a_Prior Period Adjustments" totalsRowFunction="sum" dataDxfId="1067" totalsRowDxfId="1066" dataCellStyle="Currency"/>
    <tableColumn id="5" name="(E)_x000a_Current Period Desk _x000a_Reviews" totalsRowFunction="sum" dataDxfId="1065" totalsRowDxfId="1064" dataCellStyle="Currency"/>
    <tableColumn id="6" name="(F)_x000a_Current Period _x000a_Final _x000a_Audits" totalsRowFunction="sum" dataDxfId="1063" totalsRowDxfId="1062" dataCellStyle="Currency"/>
    <tableColumn id="7" name="(G)_x000a_Current Period _x000a_Other Adjustments" totalsRowFunction="sum" dataDxfId="1061" totalsRowDxfId="1060" dataCellStyle="Currency"/>
    <tableColumn id="8" name="(H)_x000a_Net Program Costs_x000a_Sum (C through G)" totalsRowFunction="sum" dataDxfId="1059" totalsRowDxfId="1058" dataCellStyle="Currency">
      <calculatedColumnFormula>SUM(C24:G24)</calculatedColumnFormula>
    </tableColumn>
    <tableColumn id="9" name="(I)_x000a_Payments_x000a_ and Offsets" totalsRowFunction="sum" dataDxfId="1057" totalsRowDxfId="1056" dataCellStyle="Currency"/>
    <tableColumn id="10" name="(J)_x000a_Accounts Payable Balance_x000a_(H + I)" totalsRowFunction="sum" dataDxfId="1055" totalsRowDxfId="1054" dataCellStyle="Currency">
      <calculatedColumnFormula>H24+I24</calculatedColumnFormula>
    </tableColumn>
    <tableColumn id="11" name="(K)_x000a_Established _x000a_Accounts Receivable" totalsRowFunction="sum" dataDxfId="1053" totalsRowDxfId="1052" dataCellStyle="Currency"/>
    <tableColumn id="12" name="(L)_x000a_Recovered_x000a_ Accounts Receivable" totalsRowFunction="sum" dataDxfId="1051" totalsRowDxfId="1050" dataCellStyle="Currency"/>
    <tableColumn id="13" name="(M)_x000a_Accounts Receivable Balance_x000a_(K + L)" totalsRowFunction="sum" dataDxfId="1049" totalsRowDxfId="1048" dataCellStyle="Currency">
      <calculatedColumnFormula>K24+L24</calculatedColumnFormula>
    </tableColumn>
    <tableColumn id="14" name="(N)_x000a_Net Balance_x000a_(J minus M)" totalsRowFunction="sum" dataDxfId="1047" totalsRowDxfId="1046" dataCellStyle="Currency">
      <calculatedColumnFormula>J24-M24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4.xml><?xml version="1.0" encoding="utf-8"?>
<table xmlns="http://schemas.openxmlformats.org/spreadsheetml/2006/main" id="264" name="Program355" displayName="Program355" ref="A37:N44" totalsRowCount="1" headerRowDxfId="1045" dataDxfId="1043" totalsRowDxfId="1041" headerRowBorderDxfId="1044" tableBorderDxfId="1042" totalsRowBorderDxfId="1040" dataCellStyle="Currency">
  <autoFilter ref="A37:N43"/>
  <tableColumns count="14">
    <tableColumn id="1" name="(A)_x000a_Program Name" totalsRowLabel="Total Program 355" dataDxfId="1039" totalsRowDxfId="1038" dataCellStyle="Currency"/>
    <tableColumn id="2" name="(B)_x000a_Fiscal _x000a_Year" totalsRowLabel="N/A" dataDxfId="1037" totalsRowDxfId="1036"/>
    <tableColumn id="3" name="(C)_x000a_Program_x000a_Costs" totalsRowFunction="sum" dataDxfId="1035" totalsRowDxfId="1034" dataCellStyle="Currency"/>
    <tableColumn id="4" name="(D)_x000a_Prior Period Adjustments" totalsRowFunction="sum" dataDxfId="1033" totalsRowDxfId="1032" dataCellStyle="Currency"/>
    <tableColumn id="5" name="(E)_x000a_Current Period Desk _x000a_Reviews" totalsRowFunction="sum" dataDxfId="1031" totalsRowDxfId="1030" dataCellStyle="Currency"/>
    <tableColumn id="6" name="(F)_x000a_Current Period _x000a_Final _x000a_Audits" totalsRowFunction="sum" dataDxfId="1029" totalsRowDxfId="1028" dataCellStyle="Currency"/>
    <tableColumn id="7" name="(G)_x000a_Current Period _x000a_Other Adjustments" totalsRowFunction="sum" dataDxfId="1027" totalsRowDxfId="1026" dataCellStyle="Currency"/>
    <tableColumn id="8" name="(H)_x000a_Net Program Costs_x000a_Sum (C through G)" totalsRowFunction="sum" dataDxfId="1025" totalsRowDxfId="1024" dataCellStyle="Currency">
      <calculatedColumnFormula>SUM(C38:G38)</calculatedColumnFormula>
    </tableColumn>
    <tableColumn id="9" name="(I)_x000a_Payments_x000a_ and Offsets" totalsRowFunction="sum" dataDxfId="1023" totalsRowDxfId="1022" dataCellStyle="Currency"/>
    <tableColumn id="10" name="(J)_x000a_Accounts Payable Balance_x000a_(H + I)" totalsRowFunction="sum" dataDxfId="1021" totalsRowDxfId="1020" dataCellStyle="Currency">
      <calculatedColumnFormula>H38+I38</calculatedColumnFormula>
    </tableColumn>
    <tableColumn id="11" name="(K)_x000a_Established _x000a_Accounts Receivable" totalsRowFunction="sum" dataDxfId="1019" totalsRowDxfId="1018" dataCellStyle="Currency"/>
    <tableColumn id="12" name="(L)_x000a_Recovered_x000a_ Accounts Receivable" totalsRowFunction="sum" dataDxfId="1017" totalsRowDxfId="1016" dataCellStyle="Currency"/>
    <tableColumn id="13" name="(M)_x000a_Accounts Receivable Balance_x000a_(K + L)" totalsRowFunction="sum" dataDxfId="1015" totalsRowDxfId="1014" dataCellStyle="Currency">
      <calculatedColumnFormula>K38+L38</calculatedColumnFormula>
    </tableColumn>
    <tableColumn id="14" name="(N)_x000a_Net Balance_x000a_(J minus M)" totalsRowFunction="sum" dataDxfId="1013" totalsRowDxfId="1012" dataCellStyle="Currency">
      <calculatedColumnFormula>J38-M38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5.xml><?xml version="1.0" encoding="utf-8"?>
<table xmlns="http://schemas.openxmlformats.org/spreadsheetml/2006/main" id="265" name="Program287" displayName="Program287" ref="A46:N58" totalsRowCount="1" headerRowDxfId="1011" dataDxfId="1009" totalsRowDxfId="1007" headerRowBorderDxfId="1010" tableBorderDxfId="1008" totalsRowBorderDxfId="1006" dataCellStyle="Currency">
  <autoFilter ref="A46:N57"/>
  <tableColumns count="14">
    <tableColumn id="1" name="(A)_x000a_Program Name" totalsRowLabel="Total Program 287" dataDxfId="1005" totalsRowDxfId="1004" dataCellStyle="Currency"/>
    <tableColumn id="2" name="(B)_x000a_Fiscal _x000a_Year" totalsRowLabel="N/A" dataDxfId="1003" totalsRowDxfId="1002"/>
    <tableColumn id="3" name="(C)_x000a_Program_x000a_Costs" totalsRowFunction="sum" dataDxfId="1001" totalsRowDxfId="1000" dataCellStyle="Currency"/>
    <tableColumn id="4" name="(D)_x000a_Prior Period Adjustments" totalsRowFunction="sum" dataDxfId="999" totalsRowDxfId="998" dataCellStyle="Currency"/>
    <tableColumn id="5" name="(E)_x000a_Current Period Desk _x000a_Reviews" totalsRowFunction="sum" dataDxfId="997" totalsRowDxfId="996" dataCellStyle="Currency"/>
    <tableColumn id="6" name="(F)_x000a_Current Period _x000a_Final _x000a_Audits" totalsRowFunction="sum" dataDxfId="995" totalsRowDxfId="994" dataCellStyle="Currency"/>
    <tableColumn id="7" name="(G)_x000a_Current Period _x000a_Other Adjustments" totalsRowFunction="sum" dataDxfId="993" totalsRowDxfId="992" dataCellStyle="Currency"/>
    <tableColumn id="8" name="(H)_x000a_Net Program Costs_x000a_Sum (C through G)" totalsRowFunction="sum" dataDxfId="991" totalsRowDxfId="990" dataCellStyle="Currency">
      <calculatedColumnFormula>SUM(C47:G47)</calculatedColumnFormula>
    </tableColumn>
    <tableColumn id="9" name="(I)_x000a_Payments_x000a_ and Offsets" totalsRowFunction="sum" dataDxfId="989" totalsRowDxfId="988" dataCellStyle="Currency"/>
    <tableColumn id="10" name="(J)_x000a_Accounts Payable Balance_x000a_(H + I)" totalsRowFunction="sum" dataDxfId="987" totalsRowDxfId="986" dataCellStyle="Currency">
      <calculatedColumnFormula>H47+I47</calculatedColumnFormula>
    </tableColumn>
    <tableColumn id="11" name="(K)_x000a_Established _x000a_Accounts Receivable" totalsRowFunction="sum" dataDxfId="985" totalsRowDxfId="984" dataCellStyle="Currency"/>
    <tableColumn id="12" name="(L)_x000a_Recovered_x000a_ Accounts Receivable" totalsRowFunction="sum" dataDxfId="983" totalsRowDxfId="982" dataCellStyle="Currency"/>
    <tableColumn id="13" name="(M)_x000a_Accounts Receivable Balance_x000a_(K + L)" totalsRowFunction="sum" dataDxfId="981" totalsRowDxfId="980" dataCellStyle="Currency">
      <calculatedColumnFormula>K47+L47</calculatedColumnFormula>
    </tableColumn>
    <tableColumn id="14" name="(N)_x000a_Net Balance_x000a_(J minus M)" totalsRowFunction="sum" dataDxfId="979" totalsRowDxfId="978" dataCellStyle="Currency">
      <calculatedColumnFormula>J47-M47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6.xml><?xml version="1.0" encoding="utf-8"?>
<table xmlns="http://schemas.openxmlformats.org/spreadsheetml/2006/main" id="266" name="Program232" displayName="Program232" ref="A60:N82" totalsRowCount="1" headerRowDxfId="977" dataDxfId="975" totalsRowDxfId="973" headerRowBorderDxfId="976" tableBorderDxfId="974" totalsRowBorderDxfId="972" dataCellStyle="Currency">
  <autoFilter ref="A60:N81"/>
  <tableColumns count="14">
    <tableColumn id="1" name="(A)_x000a_Program Name" totalsRowLabel="Total Program 232" dataDxfId="971" totalsRowDxfId="970" dataCellStyle="Currency"/>
    <tableColumn id="2" name="(B)_x000a_Fiscal _x000a_Year" totalsRowLabel="N/A" dataDxfId="969" totalsRowDxfId="968"/>
    <tableColumn id="3" name="(C)_x000a_Program_x000a_Costs" totalsRowFunction="sum" dataDxfId="967" totalsRowDxfId="966" dataCellStyle="Currency"/>
    <tableColumn id="4" name="(D)_x000a_Prior Period Adjustments" totalsRowFunction="sum" dataDxfId="965" totalsRowDxfId="964" dataCellStyle="Currency"/>
    <tableColumn id="5" name="(E)_x000a_Current Period Desk _x000a_Reviews" totalsRowFunction="sum" dataDxfId="963" totalsRowDxfId="962" dataCellStyle="Currency"/>
    <tableColumn id="6" name="(F)_x000a_Current Period _x000a_Final _x000a_Audits" totalsRowFunction="sum" dataDxfId="961" totalsRowDxfId="960" dataCellStyle="Currency"/>
    <tableColumn id="7" name="(G)_x000a_Current Period _x000a_Other Adjustments" totalsRowFunction="sum" dataDxfId="959" totalsRowDxfId="958" dataCellStyle="Currency"/>
    <tableColumn id="8" name="(H)_x000a_Net Program Costs_x000a_Sum (C through G)" totalsRowFunction="sum" dataDxfId="957" totalsRowDxfId="956" dataCellStyle="Currency">
      <calculatedColumnFormula>SUM(C61:G61)</calculatedColumnFormula>
    </tableColumn>
    <tableColumn id="9" name="(I)_x000a_Payments_x000a_ and Offsets" totalsRowFunction="sum" dataDxfId="955" totalsRowDxfId="954" dataCellStyle="Currency"/>
    <tableColumn id="10" name="(J)_x000a_Accounts Payable Balance_x000a_(H + I)" totalsRowFunction="sum" dataDxfId="953" totalsRowDxfId="952" dataCellStyle="Currency">
      <calculatedColumnFormula>H61+I61</calculatedColumnFormula>
    </tableColumn>
    <tableColumn id="11" name="(K)_x000a_Established _x000a_Accounts Receivable" totalsRowFunction="sum" dataDxfId="951" totalsRowDxfId="950" dataCellStyle="Currency"/>
    <tableColumn id="12" name="(L)_x000a_Recovered_x000a_ Accounts Receivable" totalsRowFunction="sum" dataDxfId="949" totalsRowDxfId="948" dataCellStyle="Currency"/>
    <tableColumn id="13" name="(M)_x000a_Accounts Receivable Balance_x000a_(K + L)" totalsRowFunction="sum" dataDxfId="947" totalsRowDxfId="946" dataCellStyle="Currency">
      <calculatedColumnFormula>K61+L61</calculatedColumnFormula>
    </tableColumn>
    <tableColumn id="14" name="(N)_x000a_Net Balance_x000a_(J minus M)" totalsRowFunction="sum" dataDxfId="945" totalsRowDxfId="944" dataCellStyle="Currency">
      <calculatedColumnFormula>J61-M61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7.xml><?xml version="1.0" encoding="utf-8"?>
<table xmlns="http://schemas.openxmlformats.org/spreadsheetml/2006/main" id="267" name="Program332" displayName="Program332" ref="A84:N96" totalsRowCount="1" headerRowDxfId="943" dataDxfId="941" totalsRowDxfId="939" headerRowBorderDxfId="942" tableBorderDxfId="940" totalsRowBorderDxfId="938" dataCellStyle="Currency">
  <autoFilter ref="A84:N95"/>
  <tableColumns count="14">
    <tableColumn id="1" name="(A)_x000a_Program Name" totalsRowLabel="Total Program 332" dataDxfId="937" totalsRowDxfId="936" dataCellStyle="Currency"/>
    <tableColumn id="2" name="(B)_x000a_Fiscal _x000a_Year" totalsRowLabel="N/A" dataDxfId="935" totalsRowDxfId="934"/>
    <tableColumn id="3" name="(C)_x000a_Program_x000a_Costs" totalsRowFunction="sum" dataDxfId="933" totalsRowDxfId="932" dataCellStyle="Currency"/>
    <tableColumn id="4" name="(D)_x000a_Prior Period Adjustments" totalsRowFunction="sum" dataDxfId="931" totalsRowDxfId="930" dataCellStyle="Currency"/>
    <tableColumn id="5" name="(E)_x000a_Current Period Desk _x000a_Reviews" totalsRowFunction="sum" dataDxfId="929" totalsRowDxfId="928" dataCellStyle="Currency"/>
    <tableColumn id="6" name="(F)_x000a_Current Period _x000a_Final _x000a_Audits" totalsRowFunction="sum" dataDxfId="927" totalsRowDxfId="926" dataCellStyle="Currency"/>
    <tableColumn id="7" name="(G)_x000a_Current Period _x000a_Other Adjustments" totalsRowFunction="sum" dataDxfId="925" totalsRowDxfId="924" dataCellStyle="Currency"/>
    <tableColumn id="8" name="(H)_x000a_Net Program Costs_x000a_Sum (C through G)" totalsRowFunction="sum" dataDxfId="923" totalsRowDxfId="922" dataCellStyle="Currency">
      <calculatedColumnFormula>SUM(C85:G85)</calculatedColumnFormula>
    </tableColumn>
    <tableColumn id="9" name="(I)_x000a_Payments_x000a_ and Offsets" totalsRowFunction="sum" dataDxfId="921" totalsRowDxfId="920" dataCellStyle="Currency"/>
    <tableColumn id="10" name="(J)_x000a_Accounts Payable Balance_x000a_(H + I)" totalsRowFunction="sum" dataDxfId="919" totalsRowDxfId="918" dataCellStyle="Currency">
      <calculatedColumnFormula>H85+I85</calculatedColumnFormula>
    </tableColumn>
    <tableColumn id="11" name="(K)_x000a_Established _x000a_Accounts Receivable" totalsRowFunction="sum" dataDxfId="917" totalsRowDxfId="916" dataCellStyle="Currency"/>
    <tableColumn id="12" name="(L)_x000a_Recovered_x000a_ Accounts Receivable" totalsRowFunction="sum" dataDxfId="915" totalsRowDxfId="914" dataCellStyle="Currency"/>
    <tableColumn id="13" name="(M)_x000a_Accounts Receivable Balance_x000a_(K + L)" totalsRowFunction="sum" dataDxfId="913" totalsRowDxfId="912" dataCellStyle="Currency">
      <calculatedColumnFormula>K85+L85</calculatedColumnFormula>
    </tableColumn>
    <tableColumn id="14" name="(N)_x000a_Net Balance_x000a_(J minus M)" totalsRowFunction="sum" dataDxfId="911" totalsRowDxfId="910" dataCellStyle="Currency">
      <calculatedColumnFormula>J85-M85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8.xml><?xml version="1.0" encoding="utf-8"?>
<table xmlns="http://schemas.openxmlformats.org/spreadsheetml/2006/main" id="268" name="Program338" displayName="Program338" ref="A98:N100" totalsRowCount="1" headerRowDxfId="909" totalsRowDxfId="906" headerRowBorderDxfId="908" tableBorderDxfId="907" totalsRowBorderDxfId="905">
  <autoFilter ref="A98:N99"/>
  <tableColumns count="14">
    <tableColumn id="1" name="(A)_x000a_Program Name" totalsRowLabel="Total Program 338" dataDxfId="904" totalsRowDxfId="903"/>
    <tableColumn id="2" name="(B)_x000a_Fiscal _x000a_Year" totalsRowLabel="N/A" totalsRowDxfId="902"/>
    <tableColumn id="3" name="(C)_x000a_Program_x000a_Costs" totalsRowFunction="sum" totalsRowDxfId="901">
      <calculatedColumnFormula>SUBTOTAL(9,C98:C98)</calculatedColumnFormula>
    </tableColumn>
    <tableColumn id="4" name="(D)_x000a_Prior Period Adjustments" totalsRowFunction="sum" totalsRowDxfId="900">
      <calculatedColumnFormula>SUBTOTAL(9,D98:D98)</calculatedColumnFormula>
    </tableColumn>
    <tableColumn id="5" name="(E)_x000a_Current Period Desk _x000a_Reviews" totalsRowFunction="sum" totalsRowDxfId="899">
      <calculatedColumnFormula>SUBTOTAL(9,E98:E98)</calculatedColumnFormula>
    </tableColumn>
    <tableColumn id="6" name="(F)_x000a_Current Period _x000a_Final _x000a_Audits" totalsRowFunction="sum" totalsRowDxfId="898">
      <calculatedColumnFormula>SUBTOTAL(9,F98:F98)</calculatedColumnFormula>
    </tableColumn>
    <tableColumn id="7" name="(G)_x000a_Current Period _x000a_Other Adjustments" totalsRowFunction="sum" totalsRowDxfId="897">
      <calculatedColumnFormula>SUBTOTAL(9,G98:G98)</calculatedColumnFormula>
    </tableColumn>
    <tableColumn id="8" name="(H)_x000a_Net Program Costs_x000a_Sum (C through G)" totalsRowFunction="sum" totalsRowDxfId="896">
      <calculatedColumnFormula>SUM(C99:G99)</calculatedColumnFormula>
    </tableColumn>
    <tableColumn id="9" name="(I)_x000a_Payments_x000a_ and Offsets" totalsRowFunction="sum" totalsRowDxfId="895">
      <calculatedColumnFormula>SUBTOTAL(9,I98:I98)</calculatedColumnFormula>
    </tableColumn>
    <tableColumn id="10" name="(J)_x000a_Accounts Payable Balance_x000a_(H + I)" totalsRowFunction="sum" totalsRowDxfId="894">
      <calculatedColumnFormula>H99+I99</calculatedColumnFormula>
    </tableColumn>
    <tableColumn id="11" name="(K)_x000a_Established _x000a_Accounts Receivable" totalsRowFunction="sum" totalsRowDxfId="893">
      <calculatedColumnFormula>SUBTOTAL(9,K98:K98)</calculatedColumnFormula>
    </tableColumn>
    <tableColumn id="12" name="(L)_x000a_Recovered_x000a_ Accounts Receivable" totalsRowFunction="sum" totalsRowDxfId="892">
      <calculatedColumnFormula>SUBTOTAL(9,L98:L98)</calculatedColumnFormula>
    </tableColumn>
    <tableColumn id="13" name="(M)_x000a_Accounts Receivable Balance_x000a_(K + L)" totalsRowFunction="sum" totalsRowDxfId="891">
      <calculatedColumnFormula>K99+L99</calculatedColumnFormula>
    </tableColumn>
    <tableColumn id="14" name="(N)_x000a_Net Balance_x000a_(J minus M)" totalsRowFunction="sum" totalsRowDxfId="890">
      <calculatedColumnFormula>J99-M99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69.xml><?xml version="1.0" encoding="utf-8"?>
<table xmlns="http://schemas.openxmlformats.org/spreadsheetml/2006/main" id="269" name="Program339" displayName="Program339" ref="A102:N104" totalsRowCount="1" headerRowDxfId="889" totalsRowDxfId="886" headerRowBorderDxfId="888" tableBorderDxfId="887" totalsRowBorderDxfId="885">
  <autoFilter ref="A102:N103"/>
  <tableColumns count="14">
    <tableColumn id="1" name="(A)_x000a_Program Name" totalsRowLabel="Total Program 339" dataDxfId="884" totalsRowDxfId="883"/>
    <tableColumn id="2" name="(B)_x000a_Fiscal _x000a_Year" totalsRowLabel="N/A" totalsRowDxfId="882"/>
    <tableColumn id="3" name="(C)_x000a_Program_x000a_Costs" totalsRowFunction="sum" totalsRowDxfId="881">
      <calculatedColumnFormula>SUBTOTAL(9,C102:C102)</calculatedColumnFormula>
    </tableColumn>
    <tableColumn id="4" name="(D)_x000a_Prior Period Adjustments" totalsRowFunction="sum" totalsRowDxfId="880">
      <calculatedColumnFormula>SUBTOTAL(9,D102:D102)</calculatedColumnFormula>
    </tableColumn>
    <tableColumn id="5" name="(E)_x000a_Current Period Desk _x000a_Reviews" totalsRowFunction="sum" totalsRowDxfId="879">
      <calculatedColumnFormula>SUBTOTAL(9,E102:E102)</calculatedColumnFormula>
    </tableColumn>
    <tableColumn id="6" name="(F)_x000a_Current Period _x000a_Final _x000a_Audits" totalsRowFunction="sum" totalsRowDxfId="878">
      <calculatedColumnFormula>SUBTOTAL(9,F102:F102)</calculatedColumnFormula>
    </tableColumn>
    <tableColumn id="7" name="(G)_x000a_Current Period _x000a_Other Adjustments" totalsRowFunction="sum" totalsRowDxfId="877">
      <calculatedColumnFormula>SUBTOTAL(9,G102:G102)</calculatedColumnFormula>
    </tableColumn>
    <tableColumn id="8" name="(H)_x000a_Net Program Costs_x000a_Sum (C through G)" totalsRowFunction="sum" totalsRowDxfId="876">
      <calculatedColumnFormula>SUBTOTAL(9,H102:H102)</calculatedColumnFormula>
    </tableColumn>
    <tableColumn id="9" name="(I)_x000a_Payments_x000a_ and Offsets" totalsRowFunction="sum" totalsRowDxfId="875">
      <calculatedColumnFormula>SUBTOTAL(9,I102:I102)</calculatedColumnFormula>
    </tableColumn>
    <tableColumn id="10" name="(J)_x000a_Accounts Payable Balance_x000a_(H + I)" totalsRowFunction="sum" totalsRowDxfId="874">
      <calculatedColumnFormula>SUBTOTAL(9,J102:J102)</calculatedColumnFormula>
    </tableColumn>
    <tableColumn id="11" name="(K)_x000a_Established _x000a_Accounts Receivable" totalsRowFunction="sum" totalsRowDxfId="873">
      <calculatedColumnFormula>SUBTOTAL(9,K102:K102)</calculatedColumnFormula>
    </tableColumn>
    <tableColumn id="12" name="(L)_x000a_Recovered_x000a_ Accounts Receivable" totalsRowFunction="sum" totalsRowDxfId="872">
      <calculatedColumnFormula>SUBTOTAL(9,L102:L102)</calculatedColumnFormula>
    </tableColumn>
    <tableColumn id="13" name="(M)_x000a_Accounts Receivable Balance_x000a_(K + L)" totalsRowFunction="sum" totalsRowDxfId="871">
      <calculatedColumnFormula>SUBTOTAL(9,M102:M102)</calculatedColumnFormula>
    </tableColumn>
    <tableColumn id="14" name="(N)_x000a_Net Balance_x000a_(J minus M)" totalsRowFunction="sum" totalsRowDxfId="870">
      <calculatedColumnFormula>SUBTOTAL(9,N102:N102)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.xml><?xml version="1.0" encoding="utf-8"?>
<table xmlns="http://schemas.openxmlformats.org/spreadsheetml/2006/main" id="27" name="Program8" displayName="Program8" ref="A308:N314" totalsRowCount="1" headerRowDxfId="9098" dataDxfId="9096" totalsRowDxfId="9094" headerRowBorderDxfId="9097" tableBorderDxfId="9095" totalsRowBorderDxfId="9093">
  <autoFilter ref="A308:N313"/>
  <tableColumns count="14">
    <tableColumn id="1" name="(A)_x000a_Program Name" totalsRowLabel="Total Program 8" dataDxfId="9092" totalsRowDxfId="9091"/>
    <tableColumn id="2" name="(B)_x000a_Fiscal _x000a_Year" totalsRowLabel="N/A" dataDxfId="9090" totalsRowDxfId="9089"/>
    <tableColumn id="3" name="(C)_x000a_Program_x000a_Costs" totalsRowFunction="sum" dataDxfId="9088" totalsRowDxfId="9087"/>
    <tableColumn id="4" name="(D)_x000a_Prior Period Adjustments" totalsRowFunction="sum" dataDxfId="9086" totalsRowDxfId="9085"/>
    <tableColumn id="5" name="(E)_x000a_Current Period Desk _x000a_Reviews" totalsRowFunction="sum" dataDxfId="9084" totalsRowDxfId="9083"/>
    <tableColumn id="6" name="(F)_x000a_Current Period _x000a_Final _x000a_Audits" totalsRowFunction="sum" dataDxfId="9082" totalsRowDxfId="9081"/>
    <tableColumn id="7" name="(G)_x000a_Current Period _x000a_Other Adjustments" totalsRowFunction="sum" dataDxfId="9080" totalsRowDxfId="9079"/>
    <tableColumn id="8" name="(H)_x000a_Net Program Costs_x000a_Sum (C through G)" totalsRowFunction="sum" dataDxfId="9078" totalsRowDxfId="9077"/>
    <tableColumn id="9" name="(I)_x000a_Payments_x000a_ and Offsets" totalsRowFunction="sum" dataDxfId="9076" totalsRowDxfId="9075"/>
    <tableColumn id="10" name="(J)_x000a_Accounts Payable Balance_x000a_(H + I)" totalsRowFunction="sum" dataDxfId="9074" totalsRowDxfId="9073"/>
    <tableColumn id="11" name="(K)_x000a_Established _x000a_Accounts Receivable" totalsRowFunction="sum" dataDxfId="9072" totalsRowDxfId="9071"/>
    <tableColumn id="12" name="(L)_x000a_Recovered_x000a_ Accounts Receivable" totalsRowFunction="sum" dataDxfId="9070" totalsRowDxfId="9069"/>
    <tableColumn id="13" name="(M)_x000a_Accounts Receivable Balance_x000a_(K + L)" totalsRowFunction="sum" dataDxfId="9068" totalsRowDxfId="9067"/>
    <tableColumn id="14" name="(N)_x000a_Net Balance_x000a_(J minus M)" totalsRowFunction="sum" dataDxfId="9066" totalsRowDxfId="90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0.xml><?xml version="1.0" encoding="utf-8"?>
<table xmlns="http://schemas.openxmlformats.org/spreadsheetml/2006/main" id="270" name="Program340" displayName="Program340" ref="A106:N116" totalsRowCount="1" headerRowDxfId="869" dataDxfId="867" totalsRowDxfId="865" headerRowBorderDxfId="868" tableBorderDxfId="866" totalsRowBorderDxfId="864" dataCellStyle="Currency">
  <autoFilter ref="A106:N115"/>
  <tableColumns count="14">
    <tableColumn id="1" name="(A)_x000a_Program Name" totalsRowLabel="Total Program 340" dataDxfId="863" totalsRowDxfId="862" dataCellStyle="Currency"/>
    <tableColumn id="2" name="(B)_x000a_Fiscal _x000a_Year" totalsRowLabel="N/A" dataDxfId="861" totalsRowDxfId="860"/>
    <tableColumn id="3" name="(C)_x000a_Program_x000a_Costs" totalsRowFunction="sum" dataDxfId="859" totalsRowDxfId="858" dataCellStyle="Currency"/>
    <tableColumn id="4" name="(D)_x000a_Prior Period Adjustments" totalsRowFunction="sum" dataDxfId="857" totalsRowDxfId="856" dataCellStyle="Currency"/>
    <tableColumn id="5" name="(E)_x000a_Current Period Desk _x000a_Reviews" totalsRowFunction="sum" dataDxfId="855" totalsRowDxfId="854" dataCellStyle="Currency"/>
    <tableColumn id="6" name="(F)_x000a_Current Period _x000a_Final _x000a_Audits" totalsRowFunction="sum" dataDxfId="853" totalsRowDxfId="852" dataCellStyle="Currency"/>
    <tableColumn id="7" name="(G)_x000a_Current Period _x000a_Other Adjustments" totalsRowFunction="sum" dataDxfId="851" totalsRowDxfId="850" dataCellStyle="Currency"/>
    <tableColumn id="8" name="(H)_x000a_Net Program Costs_x000a_Sum (C through G)" totalsRowFunction="sum" dataDxfId="849" totalsRowDxfId="848" dataCellStyle="Currency">
      <calculatedColumnFormula>SUM(C107:G107)</calculatedColumnFormula>
    </tableColumn>
    <tableColumn id="9" name="(I)_x000a_Payments_x000a_ and Offsets" totalsRowFunction="sum" dataDxfId="847" totalsRowDxfId="846" dataCellStyle="Currency"/>
    <tableColumn id="10" name="(J)_x000a_Accounts Payable Balance_x000a_(H + I)" totalsRowFunction="sum" dataDxfId="845" totalsRowDxfId="844" dataCellStyle="Currency">
      <calculatedColumnFormula>H107+I107</calculatedColumnFormula>
    </tableColumn>
    <tableColumn id="11" name="(K)_x000a_Established _x000a_Accounts Receivable" totalsRowFunction="sum" dataDxfId="843" totalsRowDxfId="842" dataCellStyle="Currency"/>
    <tableColumn id="12" name="(L)_x000a_Recovered_x000a_ Accounts Receivable" totalsRowFunction="sum" dataDxfId="841" totalsRowDxfId="840" dataCellStyle="Currency"/>
    <tableColumn id="13" name="(M)_x000a_Accounts Receivable Balance_x000a_(K + L)" totalsRowFunction="sum" dataDxfId="839" totalsRowDxfId="838" dataCellStyle="Currency">
      <calculatedColumnFormula>K107+L107</calculatedColumnFormula>
    </tableColumn>
    <tableColumn id="14" name="(N)_x000a_Net Balance_x000a_(J minus M)" totalsRowFunction="sum" dataDxfId="837" totalsRowDxfId="836" dataCellStyle="Currency">
      <calculatedColumnFormula>J107-M107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1.xml><?xml version="1.0" encoding="utf-8"?>
<table xmlns="http://schemas.openxmlformats.org/spreadsheetml/2006/main" id="271" name="Program343" displayName="Program343" ref="A118:N120" totalsRowCount="1" headerRowDxfId="835" totalsRowDxfId="832" headerRowBorderDxfId="834" tableBorderDxfId="833" totalsRowBorderDxfId="831">
  <autoFilter ref="A118:N119"/>
  <tableColumns count="14">
    <tableColumn id="1" name="(A)_x000a_Program Name" totalsRowLabel="Total Program 343" dataDxfId="830" totalsRowDxfId="829"/>
    <tableColumn id="2" name="(B)_x000a_Fiscal _x000a_Year" totalsRowLabel="N/A" totalsRowDxfId="828"/>
    <tableColumn id="3" name="(C)_x000a_Program_x000a_Costs" totalsRowFunction="sum" totalsRowDxfId="827">
      <calculatedColumnFormula>SUBTOTAL(9,C118:C118)</calculatedColumnFormula>
    </tableColumn>
    <tableColumn id="4" name="(D)_x000a_Prior Period Adjustments" totalsRowFunction="sum" totalsRowDxfId="826">
      <calculatedColumnFormula>SUBTOTAL(9,D118:D118)</calculatedColumnFormula>
    </tableColumn>
    <tableColumn id="5" name="(E)_x000a_Current Period Desk _x000a_Reviews" totalsRowFunction="sum" totalsRowDxfId="825">
      <calculatedColumnFormula>SUBTOTAL(9,E118:E118)</calculatedColumnFormula>
    </tableColumn>
    <tableColumn id="6" name="(F)_x000a_Current Period _x000a_Final _x000a_Audits" totalsRowFunction="sum" totalsRowDxfId="824">
      <calculatedColumnFormula>SUBTOTAL(9,F118:F118)</calculatedColumnFormula>
    </tableColumn>
    <tableColumn id="7" name="(G)_x000a_Current Period _x000a_Other Adjustments" totalsRowFunction="sum" totalsRowDxfId="823">
      <calculatedColumnFormula>SUBTOTAL(9,G118:G118)</calculatedColumnFormula>
    </tableColumn>
    <tableColumn id="8" name="(H)_x000a_Net Program Costs_x000a_Sum (C through G)" totalsRowFunction="sum" totalsRowDxfId="822">
      <calculatedColumnFormula>SUM(C119:G119)</calculatedColumnFormula>
    </tableColumn>
    <tableColumn id="9" name="(I)_x000a_Payments_x000a_ and Offsets" totalsRowFunction="sum" totalsRowDxfId="821">
      <calculatedColumnFormula>SUBTOTAL(9,I118:I118)</calculatedColumnFormula>
    </tableColumn>
    <tableColumn id="10" name="(J)_x000a_Accounts Payable Balance_x000a_(H + I)" totalsRowFunction="sum" totalsRowDxfId="820">
      <calculatedColumnFormula>H119+I119</calculatedColumnFormula>
    </tableColumn>
    <tableColumn id="11" name="(K)_x000a_Established _x000a_Accounts Receivable" totalsRowFunction="sum" totalsRowDxfId="819">
      <calculatedColumnFormula>SUBTOTAL(9,K118:K118)</calculatedColumnFormula>
    </tableColumn>
    <tableColumn id="12" name="(L)_x000a_Recovered_x000a_ Accounts Receivable" totalsRowFunction="sum" totalsRowDxfId="818">
      <calculatedColumnFormula>SUBTOTAL(9,L118:L118)</calculatedColumnFormula>
    </tableColumn>
    <tableColumn id="13" name="(M)_x000a_Accounts Receivable Balance_x000a_(K + L)" totalsRowFunction="sum" totalsRowDxfId="817">
      <calculatedColumnFormula>K119+L119</calculatedColumnFormula>
    </tableColumn>
    <tableColumn id="14" name="(N)_x000a_Net Balance_x000a_(J minus M)" totalsRowFunction="sum" totalsRowDxfId="816">
      <calculatedColumnFormula>J119-M119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2.xml><?xml version="1.0" encoding="utf-8"?>
<table xmlns="http://schemas.openxmlformats.org/spreadsheetml/2006/main" id="272" name="Program344" displayName="Program344" ref="A122:N133" totalsRowCount="1" headerRowDxfId="815" dataDxfId="813" totalsRowDxfId="811" headerRowBorderDxfId="814" tableBorderDxfId="812" totalsRowBorderDxfId="810" dataCellStyle="Currency">
  <autoFilter ref="A122:N132"/>
  <tableColumns count="14">
    <tableColumn id="1" name="(A)_x000a_Program Name" totalsRowLabel="Total Program 344" dataDxfId="809" totalsRowDxfId="808" dataCellStyle="Currency"/>
    <tableColumn id="2" name="(B)_x000a_Fiscal _x000a_Year" totalsRowLabel="N/A" dataDxfId="807" totalsRowDxfId="806"/>
    <tableColumn id="3" name="(C)_x000a_Program_x000a_Costs" totalsRowFunction="sum" dataDxfId="805" totalsRowDxfId="804" dataCellStyle="Currency"/>
    <tableColumn id="4" name="(D)_x000a_Prior Period Adjustments" totalsRowFunction="sum" dataDxfId="803" totalsRowDxfId="802" dataCellStyle="Currency"/>
    <tableColumn id="5" name="(E)_x000a_Current Period Desk _x000a_Reviews" totalsRowFunction="sum" dataDxfId="801" totalsRowDxfId="800" dataCellStyle="Currency"/>
    <tableColumn id="6" name="(F)_x000a_Current Period _x000a_Final _x000a_Audits" totalsRowFunction="sum" dataDxfId="799" totalsRowDxfId="798" dataCellStyle="Currency"/>
    <tableColumn id="7" name="(G)_x000a_Current Period _x000a_Other Adjustments" totalsRowFunction="sum" dataDxfId="797" totalsRowDxfId="796" dataCellStyle="Currency"/>
    <tableColumn id="8" name="(H)_x000a_Net Program Costs_x000a_Sum (C through G)" totalsRowFunction="sum" dataDxfId="795" totalsRowDxfId="794" dataCellStyle="Currency">
      <calculatedColumnFormula>SUM(C123:G123)</calculatedColumnFormula>
    </tableColumn>
    <tableColumn id="9" name="(I)_x000a_Payments_x000a_ and Offsets" totalsRowFunction="sum" dataDxfId="793" totalsRowDxfId="792" dataCellStyle="Currency"/>
    <tableColumn id="10" name="(J)_x000a_Accounts Payable Balance_x000a_(H + I)" totalsRowFunction="sum" dataDxfId="791" totalsRowDxfId="790" dataCellStyle="Currency">
      <calculatedColumnFormula>H123+I123</calculatedColumnFormula>
    </tableColumn>
    <tableColumn id="11" name="(K)_x000a_Established _x000a_Accounts Receivable" totalsRowFunction="sum" dataDxfId="789" totalsRowDxfId="788" dataCellStyle="Currency"/>
    <tableColumn id="12" name="(L)_x000a_Recovered_x000a_ Accounts Receivable" totalsRowFunction="sum" dataDxfId="787" totalsRowDxfId="786" dataCellStyle="Currency"/>
    <tableColumn id="13" name="(M)_x000a_Accounts Receivable Balance_x000a_(K + L)" totalsRowFunction="sum" dataDxfId="785" totalsRowDxfId="784" dataCellStyle="Currency">
      <calculatedColumnFormula>K123+L123</calculatedColumnFormula>
    </tableColumn>
    <tableColumn id="14" name="(N)_x000a_Net Balance_x000a_(J minus M)" totalsRowFunction="sum" dataDxfId="783" totalsRowDxfId="782" dataCellStyle="Currency">
      <calculatedColumnFormula>J123-M123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3.xml><?xml version="1.0" encoding="utf-8"?>
<table xmlns="http://schemas.openxmlformats.org/spreadsheetml/2006/main" id="273" name="Program267" displayName="Program267" ref="A135:N153" totalsRowCount="1" headerRowDxfId="781" dataDxfId="779" totalsRowDxfId="777" headerRowBorderDxfId="780" tableBorderDxfId="778" totalsRowBorderDxfId="776" dataCellStyle="Currency">
  <autoFilter ref="A135:N152"/>
  <tableColumns count="14">
    <tableColumn id="1" name="(A)_x000a_Program Name" totalsRowLabel="Total Program 267" dataDxfId="775" totalsRowDxfId="774" dataCellStyle="Currency"/>
    <tableColumn id="2" name="(B)_x000a_Fiscal _x000a_Year" totalsRowLabel="N/A" dataDxfId="773" totalsRowDxfId="772"/>
    <tableColumn id="3" name="(C)_x000a_Program_x000a_Costs" totalsRowFunction="sum" dataDxfId="771" totalsRowDxfId="770" dataCellStyle="Currency"/>
    <tableColumn id="4" name="(D)_x000a_Prior Period Adjustments" totalsRowFunction="sum" dataDxfId="769" totalsRowDxfId="768" dataCellStyle="Currency"/>
    <tableColumn id="5" name="(E)_x000a_Current Period Desk _x000a_Reviews" totalsRowFunction="sum" dataDxfId="767" totalsRowDxfId="766" dataCellStyle="Currency"/>
    <tableColumn id="6" name="(F)_x000a_Current Period _x000a_Final _x000a_Audits" totalsRowFunction="sum" dataDxfId="765" totalsRowDxfId="764" dataCellStyle="Currency"/>
    <tableColumn id="7" name="(G)_x000a_Current Period _x000a_Other Adjustments" totalsRowFunction="sum" dataDxfId="763" totalsRowDxfId="762" dataCellStyle="Currency"/>
    <tableColumn id="8" name="(H)_x000a_Net Program Costs_x000a_Sum (C through G)" totalsRowFunction="sum" dataDxfId="761" totalsRowDxfId="760" dataCellStyle="Currency">
      <calculatedColumnFormula>SUM(C136:G136)</calculatedColumnFormula>
    </tableColumn>
    <tableColumn id="9" name="(I)_x000a_Payments_x000a_ and Offsets" totalsRowFunction="sum" dataDxfId="759" totalsRowDxfId="758" dataCellStyle="Currency"/>
    <tableColumn id="10" name="(J)_x000a_Accounts Payable Balance_x000a_(H + I)" totalsRowFunction="sum" dataDxfId="757" totalsRowDxfId="756" dataCellStyle="Currency">
      <calculatedColumnFormula>H136+I136</calculatedColumnFormula>
    </tableColumn>
    <tableColumn id="11" name="(K)_x000a_Established _x000a_Accounts Receivable" totalsRowFunction="sum" dataDxfId="755" totalsRowDxfId="754" dataCellStyle="Currency"/>
    <tableColumn id="12" name="(L)_x000a_Recovered_x000a_ Accounts Receivable" totalsRowFunction="sum" dataDxfId="753" totalsRowDxfId="752" dataCellStyle="Currency"/>
    <tableColumn id="13" name="(M)_x000a_Accounts Receivable Balance_x000a_(K + L)" totalsRowFunction="sum" dataDxfId="751" totalsRowDxfId="750" dataCellStyle="Currency">
      <calculatedColumnFormula>K136+L136</calculatedColumnFormula>
    </tableColumn>
    <tableColumn id="14" name="(N)_x000a_Net Balance_x000a_(J minus M)" totalsRowFunction="sum" dataDxfId="749" totalsRowDxfId="748" dataCellStyle="Currency">
      <calculatedColumnFormula>J136-M136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4.xml><?xml version="1.0" encoding="utf-8"?>
<table xmlns="http://schemas.openxmlformats.org/spreadsheetml/2006/main" id="274" name="Program243" displayName="Program243" ref="A155:N160" totalsRowCount="1" headerRowDxfId="747" dataDxfId="745" totalsRowDxfId="743" headerRowBorderDxfId="746" tableBorderDxfId="744" totalsRowBorderDxfId="742" dataCellStyle="Currency">
  <autoFilter ref="A155:N159"/>
  <tableColumns count="14">
    <tableColumn id="1" name="(A)_x000a_Program Name" totalsRowLabel="Total Program 243" dataDxfId="741" totalsRowDxfId="740" dataCellStyle="Currency"/>
    <tableColumn id="2" name="(B)_x000a_Fiscal _x000a_Year" totalsRowLabel="N/A" dataDxfId="739" totalsRowDxfId="738"/>
    <tableColumn id="3" name="(C)_x000a_Program_x000a_Costs" totalsRowFunction="sum" dataDxfId="737" totalsRowDxfId="736" dataCellStyle="Currency"/>
    <tableColumn id="4" name="(D)_x000a_Prior Period Adjustments" totalsRowFunction="sum" dataDxfId="735" totalsRowDxfId="734" dataCellStyle="Currency"/>
    <tableColumn id="5" name="(E)_x000a_Current Period Desk _x000a_Reviews" totalsRowFunction="sum" dataDxfId="733" totalsRowDxfId="732" dataCellStyle="Currency"/>
    <tableColumn id="6" name="(F)_x000a_Current Period _x000a_Final _x000a_Audits" totalsRowFunction="sum" dataDxfId="731" totalsRowDxfId="730" dataCellStyle="Currency"/>
    <tableColumn id="7" name="(G)_x000a_Current Period _x000a_Other Adjustments" totalsRowFunction="sum" dataDxfId="729" totalsRowDxfId="728" dataCellStyle="Currency"/>
    <tableColumn id="8" name="(H)_x000a_Net Program Costs_x000a_Sum (C through G)" totalsRowFunction="sum" dataDxfId="727" totalsRowDxfId="726" dataCellStyle="Currency">
      <calculatedColumnFormula>SUM(C156:G156)</calculatedColumnFormula>
    </tableColumn>
    <tableColumn id="9" name="(I)_x000a_Payments_x000a_ and Offsets" totalsRowFunction="sum" dataDxfId="725" totalsRowDxfId="724" dataCellStyle="Currency"/>
    <tableColumn id="10" name="(J)_x000a_Accounts Payable Balance_x000a_(H + I)" totalsRowFunction="sum" dataDxfId="723" totalsRowDxfId="722" dataCellStyle="Currency">
      <calculatedColumnFormula>H156+I156</calculatedColumnFormula>
    </tableColumn>
    <tableColumn id="11" name="(K)_x000a_Established _x000a_Accounts Receivable" totalsRowFunction="sum" dataDxfId="721" totalsRowDxfId="720" dataCellStyle="Currency"/>
    <tableColumn id="12" name="(L)_x000a_Recovered_x000a_ Accounts Receivable" totalsRowFunction="sum" dataDxfId="719" totalsRowDxfId="718" dataCellStyle="Currency"/>
    <tableColumn id="13" name="(M)_x000a_Accounts Receivable Balance_x000a_(K + L)" totalsRowFunction="sum" dataDxfId="717" totalsRowDxfId="716" dataCellStyle="Currency">
      <calculatedColumnFormula>K156+L156</calculatedColumnFormula>
    </tableColumn>
    <tableColumn id="14" name="(N)_x000a_Net Balance_x000a_(J minus M)" totalsRowFunction="sum" dataDxfId="715" totalsRowDxfId="714" dataCellStyle="Currency">
      <calculatedColumnFormula>J156-M156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5.xml><?xml version="1.0" encoding="utf-8"?>
<table xmlns="http://schemas.openxmlformats.org/spreadsheetml/2006/main" id="275" name="Program233" displayName="Program233" ref="A162:N167" totalsRowCount="1" headerRowDxfId="713" dataDxfId="711" totalsRowDxfId="709" headerRowBorderDxfId="712" tableBorderDxfId="710" totalsRowBorderDxfId="708" dataCellStyle="Currency">
  <autoFilter ref="A162:N166"/>
  <tableColumns count="14">
    <tableColumn id="1" name="(A)_x000a_Program Name" totalsRowLabel="Total Program 233" dataDxfId="707" totalsRowDxfId="706" dataCellStyle="Currency"/>
    <tableColumn id="2" name="(B)_x000a_Fiscal _x000a_Year" totalsRowLabel="N/A" dataDxfId="705" totalsRowDxfId="704"/>
    <tableColumn id="3" name="(C)_x000a_Program_x000a_Costs" totalsRowFunction="sum" dataDxfId="703" totalsRowDxfId="702" dataCellStyle="Currency"/>
    <tableColumn id="4" name="(D)_x000a_Prior Period Adjustments" totalsRowFunction="sum" dataDxfId="701" totalsRowDxfId="700" dataCellStyle="Currency"/>
    <tableColumn id="5" name="(E)_x000a_Current Period Desk _x000a_Reviews" totalsRowFunction="sum" dataDxfId="699" totalsRowDxfId="698" dataCellStyle="Currency"/>
    <tableColumn id="6" name="(F)_x000a_Current Period _x000a_Final _x000a_Audits" totalsRowFunction="sum" dataDxfId="697" totalsRowDxfId="696" dataCellStyle="Currency"/>
    <tableColumn id="7" name="(G)_x000a_Current Period _x000a_Other Adjustments" totalsRowFunction="sum" dataDxfId="695" totalsRowDxfId="694" dataCellStyle="Currency"/>
    <tableColumn id="8" name="(H)_x000a_Net Program Costs_x000a_Sum (C through G)" totalsRowFunction="sum" dataDxfId="693" totalsRowDxfId="692" dataCellStyle="Currency">
      <calculatedColumnFormula>SUM(C163:G163)</calculatedColumnFormula>
    </tableColumn>
    <tableColumn id="9" name="(I)_x000a_Payments_x000a_ and Offsets" totalsRowFunction="sum" dataDxfId="691" totalsRowDxfId="690" dataCellStyle="Currency"/>
    <tableColumn id="10" name="(J)_x000a_Accounts Payable Balance_x000a_(H + I)" totalsRowFunction="sum" dataDxfId="689" totalsRowDxfId="688" dataCellStyle="Currency">
      <calculatedColumnFormula>H163+I163</calculatedColumnFormula>
    </tableColumn>
    <tableColumn id="11" name="(K)_x000a_Established _x000a_Accounts Receivable" totalsRowFunction="sum" dataDxfId="687" totalsRowDxfId="686" dataCellStyle="Currency"/>
    <tableColumn id="12" name="(L)_x000a_Recovered_x000a_ Accounts Receivable" totalsRowFunction="sum" dataDxfId="685" totalsRowDxfId="684" dataCellStyle="Currency"/>
    <tableColumn id="13" name="(M)_x000a_Accounts Receivable Balance_x000a_(K + L)" totalsRowFunction="sum" dataDxfId="683" totalsRowDxfId="682" dataCellStyle="Currency">
      <calculatedColumnFormula>K163+L163</calculatedColumnFormula>
    </tableColumn>
    <tableColumn id="14" name="(N)_x000a_Net Balance_x000a_(J minus M)" totalsRowFunction="sum" dataDxfId="681" totalsRowDxfId="680" dataCellStyle="Currency">
      <calculatedColumnFormula>J163-M163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6.xml><?xml version="1.0" encoding="utf-8"?>
<table xmlns="http://schemas.openxmlformats.org/spreadsheetml/2006/main" id="276" name="Program29" displayName="Program29" ref="A169:N177" totalsRowCount="1" headerRowDxfId="679" dataDxfId="677" totalsRowDxfId="675" headerRowBorderDxfId="678" tableBorderDxfId="676" totalsRowBorderDxfId="674" dataCellStyle="Currency">
  <autoFilter ref="A169:N176"/>
  <tableColumns count="14">
    <tableColumn id="1" name="(A)_x000a_Program Name" totalsRowLabel="Total Program 29" dataDxfId="673" totalsRowDxfId="672" dataCellStyle="Currency"/>
    <tableColumn id="2" name="(B)_x000a_Fiscal _x000a_Year" totalsRowLabel="N/A" dataDxfId="671" totalsRowDxfId="670"/>
    <tableColumn id="3" name="(C)_x000a_Program_x000a_Costs" totalsRowFunction="sum" dataDxfId="669" totalsRowDxfId="668" dataCellStyle="Currency"/>
    <tableColumn id="4" name="(D)_x000a_Prior Period Adjustments" totalsRowFunction="sum" dataDxfId="667" totalsRowDxfId="666" dataCellStyle="Currency"/>
    <tableColumn id="5" name="(E)_x000a_Current Period Desk _x000a_Reviews" totalsRowFunction="sum" dataDxfId="665" totalsRowDxfId="664" dataCellStyle="Currency"/>
    <tableColumn id="6" name="(F)_x000a_Current Period _x000a_Final _x000a_Audits" totalsRowFunction="sum" dataDxfId="663" totalsRowDxfId="662" dataCellStyle="Currency"/>
    <tableColumn id="7" name="(G)_x000a_Current Period _x000a_Other Adjustments" totalsRowFunction="sum" dataDxfId="661" totalsRowDxfId="660" dataCellStyle="Currency"/>
    <tableColumn id="8" name="(H)_x000a_Net Program Costs_x000a_Sum (C through G)" totalsRowFunction="sum" dataDxfId="659" totalsRowDxfId="658" dataCellStyle="Currency">
      <calculatedColumnFormula>SUM(C170:G170)</calculatedColumnFormula>
    </tableColumn>
    <tableColumn id="9" name="(I)_x000a_Payments_x000a_ and Offsets" totalsRowFunction="sum" dataDxfId="657" totalsRowDxfId="656" dataCellStyle="Currency"/>
    <tableColumn id="10" name="(J)_x000a_Accounts Payable Balance_x000a_(H + I)" totalsRowFunction="sum" dataDxfId="655" totalsRowDxfId="654" dataCellStyle="Currency">
      <calculatedColumnFormula>H170+I170</calculatedColumnFormula>
    </tableColumn>
    <tableColumn id="11" name="(K)_x000a_Established _x000a_Accounts Receivable" totalsRowFunction="sum" dataDxfId="653" totalsRowDxfId="652" dataCellStyle="Currency"/>
    <tableColumn id="12" name="(L)_x000a_Recovered_x000a_ Accounts Receivable" totalsRowFunction="sum" dataDxfId="651" totalsRowDxfId="650" dataCellStyle="Currency"/>
    <tableColumn id="13" name="(M)_x000a_Accounts Receivable Balance_x000a_(K + L)" totalsRowFunction="sum" dataDxfId="649" totalsRowDxfId="648" dataCellStyle="Currency">
      <calculatedColumnFormula>K170+L170</calculatedColumnFormula>
    </tableColumn>
    <tableColumn id="14" name="(N)_x000a_Net Balance_x000a_(J minus M)" totalsRowFunction="sum" dataDxfId="647" totalsRowDxfId="646" dataCellStyle="Currency">
      <calculatedColumnFormula>J170-M170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7.xml><?xml version="1.0" encoding="utf-8"?>
<table xmlns="http://schemas.openxmlformats.org/spreadsheetml/2006/main" id="277" name="Program234" displayName="Program234" ref="A179:N199" totalsRowCount="1" headerRowDxfId="645" dataDxfId="643" totalsRowDxfId="641" headerRowBorderDxfId="644" tableBorderDxfId="642" totalsRowBorderDxfId="640" dataCellStyle="Currency">
  <autoFilter ref="A179:N198"/>
  <tableColumns count="14">
    <tableColumn id="1" name="(A)_x000a_Program Name" totalsRowLabel="Total Program 234" dataDxfId="639" totalsRowDxfId="638" dataCellStyle="Currency"/>
    <tableColumn id="2" name="(B)_x000a_Fiscal _x000a_Year" totalsRowLabel="N/A" dataDxfId="637" totalsRowDxfId="636"/>
    <tableColumn id="3" name="(C)_x000a_Program_x000a_Costs" totalsRowFunction="sum" dataDxfId="635" totalsRowDxfId="634" dataCellStyle="Currency"/>
    <tableColumn id="4" name="(D)_x000a_Prior Period Adjustments" totalsRowFunction="sum" dataDxfId="633" totalsRowDxfId="632" dataCellStyle="Currency"/>
    <tableColumn id="5" name="(E)_x000a_Current Period Desk _x000a_Reviews" totalsRowFunction="sum" dataDxfId="631" totalsRowDxfId="630" dataCellStyle="Currency"/>
    <tableColumn id="6" name="(F)_x000a_Current Period _x000a_Final _x000a_Audits" totalsRowFunction="sum" dataDxfId="629" totalsRowDxfId="628" dataCellStyle="Currency"/>
    <tableColumn id="7" name="(G)_x000a_Current Period _x000a_Other Adjustments" totalsRowFunction="sum" dataDxfId="627" totalsRowDxfId="626" dataCellStyle="Currency"/>
    <tableColumn id="8" name="(H)_x000a_Net Program Costs_x000a_Sum (C through G)" totalsRowFunction="sum" dataDxfId="625" totalsRowDxfId="624" dataCellStyle="Currency">
      <calculatedColumnFormula>SUM(C180:G180)</calculatedColumnFormula>
    </tableColumn>
    <tableColumn id="9" name="(I)_x000a_Payments_x000a_ and Offsets" totalsRowFunction="sum" dataDxfId="623" totalsRowDxfId="622" dataCellStyle="Currency"/>
    <tableColumn id="10" name="(J)_x000a_Accounts Payable Balance_x000a_(H + I)" totalsRowFunction="sum" dataDxfId="621" totalsRowDxfId="620" dataCellStyle="Currency">
      <calculatedColumnFormula>H180+I180</calculatedColumnFormula>
    </tableColumn>
    <tableColumn id="11" name="(K)_x000a_Established _x000a_Accounts Receivable" totalsRowFunction="sum" dataDxfId="619" totalsRowDxfId="618" dataCellStyle="Currency"/>
    <tableColumn id="12" name="(L)_x000a_Recovered_x000a_ Accounts Receivable" totalsRowFunction="sum" dataDxfId="617" totalsRowDxfId="616" dataCellStyle="Currency"/>
    <tableColumn id="13" name="(M)_x000a_Accounts Receivable Balance_x000a_(K + L)" totalsRowFunction="sum" dataDxfId="615" totalsRowDxfId="614" dataCellStyle="Currency">
      <calculatedColumnFormula>K180+L180</calculatedColumnFormula>
    </tableColumn>
    <tableColumn id="14" name="(N)_x000a_Net Balance_x000a_(J minus M)" totalsRowFunction="sum" dataDxfId="613" totalsRowDxfId="612" dataCellStyle="Currency">
      <calculatedColumnFormula>J180-M180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8.xml><?xml version="1.0" encoding="utf-8"?>
<table xmlns="http://schemas.openxmlformats.org/spreadsheetml/2006/main" id="278" name="Program256" displayName="Program256" ref="A201:N214" totalsRowCount="1" headerRowDxfId="611" dataDxfId="609" totalsRowDxfId="607" headerRowBorderDxfId="610" tableBorderDxfId="608" totalsRowBorderDxfId="606" dataCellStyle="Currency">
  <autoFilter ref="A201:N213"/>
  <tableColumns count="14">
    <tableColumn id="1" name="(A)_x000a_Program Name" totalsRowLabel="Total Program 256" dataDxfId="605" totalsRowDxfId="604" dataCellStyle="Currency"/>
    <tableColumn id="2" name="(B)_x000a_Fiscal _x000a_Year" totalsRowLabel="N/A" dataDxfId="603" totalsRowDxfId="602"/>
    <tableColumn id="3" name="(C)_x000a_Program_x000a_Costs" totalsRowFunction="sum" dataDxfId="601" totalsRowDxfId="600" dataCellStyle="Currency"/>
    <tableColumn id="4" name="(D)_x000a_Prior Period Adjustments" totalsRowFunction="sum" dataDxfId="599" totalsRowDxfId="598" dataCellStyle="Currency"/>
    <tableColumn id="5" name="(E)_x000a_Current Period Desk _x000a_Reviews" totalsRowFunction="sum" dataDxfId="597" totalsRowDxfId="596" dataCellStyle="Currency"/>
    <tableColumn id="6" name="(F)_x000a_Current Period _x000a_Final _x000a_Audits" totalsRowFunction="sum" dataDxfId="595" totalsRowDxfId="594" dataCellStyle="Currency"/>
    <tableColumn id="7" name="(G)_x000a_Current Period _x000a_Other Adjustments" totalsRowFunction="sum" dataDxfId="593" totalsRowDxfId="592" dataCellStyle="Currency"/>
    <tableColumn id="8" name="(H)_x000a_Net Program Costs_x000a_Sum (C through G)" totalsRowFunction="sum" dataDxfId="591" totalsRowDxfId="590" dataCellStyle="Currency">
      <calculatedColumnFormula>SUM(C202:G202)</calculatedColumnFormula>
    </tableColumn>
    <tableColumn id="9" name="(I)_x000a_Payments_x000a_ and Offsets" totalsRowFunction="sum" dataDxfId="589" totalsRowDxfId="588" dataCellStyle="Currency"/>
    <tableColumn id="10" name="(J)_x000a_Accounts Payable Balance_x000a_(H + I)" totalsRowFunction="sum" dataDxfId="587" totalsRowDxfId="586" dataCellStyle="Currency">
      <calculatedColumnFormula>H202+I202</calculatedColumnFormula>
    </tableColumn>
    <tableColumn id="11" name="(K)_x000a_Established _x000a_Accounts Receivable" totalsRowFunction="sum" dataDxfId="585" totalsRowDxfId="584" dataCellStyle="Currency"/>
    <tableColumn id="12" name="(L)_x000a_Recovered_x000a_ Accounts Receivable" totalsRowFunction="sum" dataDxfId="583" totalsRowDxfId="582" dataCellStyle="Currency"/>
    <tableColumn id="13" name="(M)_x000a_Accounts Receivable Balance_x000a_(K + L)" totalsRowFunction="sum" dataDxfId="581" totalsRowDxfId="580" dataCellStyle="Currency">
      <calculatedColumnFormula>K202+L202</calculatedColumnFormula>
    </tableColumn>
    <tableColumn id="14" name="(N)_x000a_Net Balance_x000a_(J minus M)" totalsRowFunction="sum" dataDxfId="579" totalsRowDxfId="578" dataCellStyle="Currency">
      <calculatedColumnFormula>J202-M202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79.xml><?xml version="1.0" encoding="utf-8"?>
<table xmlns="http://schemas.openxmlformats.org/spreadsheetml/2006/main" id="279" name="Program235" displayName="Program235" ref="A216:N221" totalsRowCount="1" headerRowDxfId="577" dataDxfId="575" headerRowBorderDxfId="576" tableBorderDxfId="574" dataCellStyle="Currency">
  <autoFilter ref="A216:N220"/>
  <tableColumns count="14">
    <tableColumn id="1" name="(A)_x000a_Program Name" totalsRowLabel="Total Program 235" dataDxfId="573" totalsRowDxfId="572" dataCellStyle="Currency"/>
    <tableColumn id="2" name="(B)_x000a_Fiscal _x000a_Year" totalsRowLabel="N/A" dataDxfId="571" totalsRowDxfId="570"/>
    <tableColumn id="3" name="(C)_x000a_Program_x000a_Costs" totalsRowFunction="sum" dataDxfId="569" totalsRowDxfId="568" dataCellStyle="Currency"/>
    <tableColumn id="4" name="(D)_x000a_Prior Period Adjustments" totalsRowFunction="sum" dataDxfId="567" totalsRowDxfId="566" dataCellStyle="Currency"/>
    <tableColumn id="5" name="(E)_x000a_Current Period Desk _x000a_Reviews" totalsRowFunction="sum" dataDxfId="565" totalsRowDxfId="564" dataCellStyle="Currency"/>
    <tableColumn id="6" name="(F)_x000a_Current Period _x000a_Final _x000a_Audits" totalsRowFunction="sum" dataDxfId="563" totalsRowDxfId="562" dataCellStyle="Currency"/>
    <tableColumn id="7" name="(G)_x000a_Current Period _x000a_Other Adjustments" totalsRowFunction="sum" dataDxfId="561" totalsRowDxfId="560" dataCellStyle="Currency"/>
    <tableColumn id="8" name="(H)_x000a_Net Program Costs_x000a_Sum (C through G)" totalsRowFunction="sum" dataDxfId="559" totalsRowDxfId="558" dataCellStyle="Currency">
      <calculatedColumnFormula>SUM(C217:G217)</calculatedColumnFormula>
    </tableColumn>
    <tableColumn id="9" name="(I)_x000a_Payments_x000a_ and Offsets" totalsRowFunction="sum" dataDxfId="557" totalsRowDxfId="556" dataCellStyle="Currency"/>
    <tableColumn id="10" name="(J)_x000a_Accounts Payable Balance_x000a_(H + I)" totalsRowFunction="sum" dataDxfId="555" totalsRowDxfId="554" dataCellStyle="Currency">
      <calculatedColumnFormula>H217+I217</calculatedColumnFormula>
    </tableColumn>
    <tableColumn id="11" name="(K)_x000a_Established _x000a_Accounts Receivable" totalsRowFunction="sum" dataDxfId="553" totalsRowDxfId="552" dataCellStyle="Currency"/>
    <tableColumn id="12" name="(L)_x000a_Recovered_x000a_ Accounts Receivable" totalsRowFunction="sum" dataDxfId="551" totalsRowDxfId="550" dataCellStyle="Currency"/>
    <tableColumn id="13" name="(M)_x000a_Accounts Receivable Balance_x000a_(K + L)" totalsRowFunction="sum" dataDxfId="549" totalsRowDxfId="548" dataCellStyle="Currency">
      <calculatedColumnFormula>K217+L217</calculatedColumnFormula>
    </tableColumn>
    <tableColumn id="14" name="(N)_x000a_Net Balance_x000a_(J minus M)" totalsRowFunction="sum" dataDxfId="547" totalsRowDxfId="546" dataCellStyle="Currency">
      <calculatedColumnFormula>J217-M217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.xml><?xml version="1.0" encoding="utf-8"?>
<table xmlns="http://schemas.openxmlformats.org/spreadsheetml/2006/main" id="28" name="Program310" displayName="Program310" ref="A316:N328" totalsRowCount="1" headerRowDxfId="9064" dataDxfId="9062" totalsRowDxfId="9060" headerRowBorderDxfId="9063" tableBorderDxfId="9061" totalsRowBorderDxfId="9059">
  <autoFilter ref="A316:N327"/>
  <tableColumns count="14">
    <tableColumn id="1" name="(A)_x000a_Program Name" totalsRowLabel="Total Program 310" dataDxfId="9058" totalsRowDxfId="9057"/>
    <tableColumn id="2" name="(B)_x000a_Fiscal _x000a_Year" totalsRowLabel="N/A" dataDxfId="9056" totalsRowDxfId="9055"/>
    <tableColumn id="3" name="(C)_x000a_Program_x000a_Costs" totalsRowFunction="sum" dataDxfId="9054" totalsRowDxfId="9053"/>
    <tableColumn id="4" name="(D)_x000a_Prior Period Adjustments" totalsRowFunction="sum" dataDxfId="9052" totalsRowDxfId="9051"/>
    <tableColumn id="5" name="(E)_x000a_Current Period Desk _x000a_Reviews" totalsRowFunction="sum" dataDxfId="9050" totalsRowDxfId="9049"/>
    <tableColumn id="6" name="(F)_x000a_Current Period _x000a_Final _x000a_Audits" totalsRowFunction="sum" dataDxfId="9048" totalsRowDxfId="9047"/>
    <tableColumn id="7" name="(G)_x000a_Current Period _x000a_Other Adjustments" totalsRowFunction="sum" dataDxfId="9046" totalsRowDxfId="9045"/>
    <tableColumn id="8" name="(H)_x000a_Net Program Costs_x000a_Sum (C through G)" totalsRowFunction="sum" dataDxfId="9044" totalsRowDxfId="9043"/>
    <tableColumn id="9" name="(I)_x000a_Payments_x000a_ and Offsets" totalsRowFunction="sum" dataDxfId="9042" totalsRowDxfId="9041"/>
    <tableColumn id="10" name="(J)_x000a_Accounts Payable Balance_x000a_(H + I)" totalsRowFunction="sum" dataDxfId="9040" totalsRowDxfId="9039"/>
    <tableColumn id="11" name="(K)_x000a_Established _x000a_Accounts Receivable" totalsRowFunction="sum" dataDxfId="9038" totalsRowDxfId="9037"/>
    <tableColumn id="12" name="(L)_x000a_Recovered_x000a_ Accounts Receivable" totalsRowFunction="sum" dataDxfId="9036" totalsRowDxfId="9035"/>
    <tableColumn id="13" name="(M)_x000a_Accounts Receivable Balance_x000a_(K + L)" totalsRowFunction="sum" dataDxfId="9034" totalsRowDxfId="9033"/>
    <tableColumn id="14" name="(N)_x000a_Net Balance_x000a_(J minus M)" totalsRowFunction="sum" dataDxfId="9032" totalsRowDxfId="90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0.xml><?xml version="1.0" encoding="utf-8"?>
<table xmlns="http://schemas.openxmlformats.org/spreadsheetml/2006/main" id="280" name="Program212" displayName="Program212" ref="A223:N233" totalsRowCount="1" headerRowDxfId="545" dataDxfId="543" totalsRowDxfId="541" headerRowBorderDxfId="544" tableBorderDxfId="542" totalsRowBorderDxfId="540" dataCellStyle="Currency">
  <autoFilter ref="A223:N232"/>
  <tableColumns count="14">
    <tableColumn id="1" name="(A)_x000a_Program Name" totalsRowLabel="Total Program 212" dataDxfId="539" totalsRowDxfId="538" dataCellStyle="Currency"/>
    <tableColumn id="2" name="(B)_x000a_Fiscal _x000a_Year" totalsRowLabel="N/A" dataDxfId="537" totalsRowDxfId="536"/>
    <tableColumn id="3" name="(C)_x000a_Program_x000a_Costs" totalsRowFunction="sum" dataDxfId="535" totalsRowDxfId="534" dataCellStyle="Currency"/>
    <tableColumn id="4" name="(D)_x000a_Prior Period Adjustments" totalsRowFunction="sum" dataDxfId="533" totalsRowDxfId="532" dataCellStyle="Currency"/>
    <tableColumn id="5" name="(E)_x000a_Current Period Desk _x000a_Reviews" totalsRowFunction="sum" dataDxfId="531" totalsRowDxfId="530" dataCellStyle="Currency"/>
    <tableColumn id="6" name="(F)_x000a_Current Period _x000a_Final _x000a_Audits" totalsRowFunction="sum" dataDxfId="529" totalsRowDxfId="528" dataCellStyle="Currency"/>
    <tableColumn id="7" name="(G)_x000a_Current Period _x000a_Other Adjustments" totalsRowFunction="sum" dataDxfId="527" totalsRowDxfId="526" dataCellStyle="Currency"/>
    <tableColumn id="8" name="(H)_x000a_Net Program Costs_x000a_Sum (C through G)" totalsRowFunction="sum" dataDxfId="525" totalsRowDxfId="524" dataCellStyle="Currency">
      <calculatedColumnFormula>SUM(C224:G224)</calculatedColumnFormula>
    </tableColumn>
    <tableColumn id="9" name="(I)_x000a_Payments_x000a_ and Offsets" totalsRowFunction="sum" dataDxfId="523" totalsRowDxfId="522" dataCellStyle="Currency"/>
    <tableColumn id="10" name="(J)_x000a_Accounts Payable Balance_x000a_(H + I)" totalsRowFunction="sum" dataDxfId="521" totalsRowDxfId="520" dataCellStyle="Currency">
      <calculatedColumnFormula>H224+I224</calculatedColumnFormula>
    </tableColumn>
    <tableColumn id="11" name="(K)_x000a_Established _x000a_Accounts Receivable" totalsRowFunction="sum" dataDxfId="519" totalsRowDxfId="518" dataCellStyle="Currency"/>
    <tableColumn id="12" name="(L)_x000a_Recovered_x000a_ Accounts Receivable" totalsRowFunction="sum" dataDxfId="517" totalsRowDxfId="516" dataCellStyle="Currency"/>
    <tableColumn id="13" name="(M)_x000a_Accounts Receivable Balance_x000a_(K + L)" totalsRowFunction="sum" dataDxfId="515" totalsRowDxfId="514" dataCellStyle="Currency">
      <calculatedColumnFormula>K224+L224</calculatedColumnFormula>
    </tableColumn>
    <tableColumn id="14" name="(N)_x000a_Net Balance_x000a_(J minus M)" totalsRowFunction="sum" dataDxfId="513" totalsRowDxfId="512" dataCellStyle="Currency">
      <calculatedColumnFormula>J224-M224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1.xml><?xml version="1.0" encoding="utf-8"?>
<table xmlns="http://schemas.openxmlformats.org/spreadsheetml/2006/main" id="281" name="Program236" displayName="Program236" ref="A235:N240" totalsRowCount="1" headerRowDxfId="511" dataDxfId="509" totalsRowDxfId="507" headerRowBorderDxfId="510" tableBorderDxfId="508" totalsRowBorderDxfId="506" dataCellStyle="Currency">
  <autoFilter ref="A235:N239"/>
  <tableColumns count="14">
    <tableColumn id="1" name="(A)_x000a_Program Name" totalsRowLabel="Total Program 236" dataDxfId="505" totalsRowDxfId="504" dataCellStyle="Currency"/>
    <tableColumn id="2" name="(B)_x000a_Fiscal _x000a_Year" totalsRowLabel="N/A" dataDxfId="503" totalsRowDxfId="502"/>
    <tableColumn id="3" name="(C)_x000a_Program_x000a_Costs" totalsRowFunction="sum" dataDxfId="501" totalsRowDxfId="500" dataCellStyle="Currency"/>
    <tableColumn id="4" name="(D)_x000a_Prior Period Adjustments" totalsRowFunction="sum" dataDxfId="499" totalsRowDxfId="498" dataCellStyle="Currency"/>
    <tableColumn id="5" name="(E)_x000a_Current Period Desk _x000a_Reviews" totalsRowFunction="sum" dataDxfId="497" totalsRowDxfId="496" dataCellStyle="Currency"/>
    <tableColumn id="6" name="(F)_x000a_Current Period _x000a_Final _x000a_Audits" totalsRowFunction="sum" dataDxfId="495" totalsRowDxfId="494" dataCellStyle="Currency"/>
    <tableColumn id="7" name="(G)_x000a_Current Period _x000a_Other Adjustments" totalsRowFunction="sum" dataDxfId="493" totalsRowDxfId="492" dataCellStyle="Currency"/>
    <tableColumn id="8" name="(H)_x000a_Net Program Costs_x000a_Sum (C through G)" totalsRowFunction="sum" dataDxfId="491" totalsRowDxfId="490" dataCellStyle="Currency">
      <calculatedColumnFormula>SUM(C236:G236)</calculatedColumnFormula>
    </tableColumn>
    <tableColumn id="9" name="(I)_x000a_Payments_x000a_ and Offsets" totalsRowFunction="sum" dataDxfId="489" totalsRowDxfId="488" dataCellStyle="Currency"/>
    <tableColumn id="10" name="(J)_x000a_Accounts Payable Balance_x000a_(H + I)" totalsRowFunction="sum" dataDxfId="487" totalsRowDxfId="486" dataCellStyle="Currency">
      <calculatedColumnFormula>H236+I236</calculatedColumnFormula>
    </tableColumn>
    <tableColumn id="11" name="(K)_x000a_Established _x000a_Accounts Receivable" totalsRowFunction="sum" dataDxfId="485" totalsRowDxfId="484" dataCellStyle="Currency"/>
    <tableColumn id="12" name="(L)_x000a_Recovered_x000a_ Accounts Receivable" totalsRowFunction="sum" dataDxfId="483" totalsRowDxfId="482" dataCellStyle="Currency"/>
    <tableColumn id="13" name="(M)_x000a_Accounts Receivable Balance_x000a_(K + L)" totalsRowFunction="sum" dataDxfId="481" totalsRowDxfId="480" dataCellStyle="Currency">
      <calculatedColumnFormula>K236+L236</calculatedColumnFormula>
    </tableColumn>
    <tableColumn id="14" name="(N)_x000a_Net Balance_x000a_(J minus M)" totalsRowFunction="sum" dataDxfId="479" totalsRowDxfId="478" dataCellStyle="Currency">
      <calculatedColumnFormula>J236-M236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2.xml><?xml version="1.0" encoding="utf-8"?>
<table xmlns="http://schemas.openxmlformats.org/spreadsheetml/2006/main" id="282" name="Program237" displayName="Program237" ref="A242:N256" totalsRowCount="1" headerRowDxfId="477" dataDxfId="475" totalsRowDxfId="473" headerRowBorderDxfId="476" tableBorderDxfId="474" totalsRowBorderDxfId="472" dataCellStyle="Currency">
  <autoFilter ref="A242:N255"/>
  <tableColumns count="14">
    <tableColumn id="1" name="(A)_x000a_Program Name" totalsRowLabel="Total Program 237" dataDxfId="471" totalsRowDxfId="470" dataCellStyle="Currency"/>
    <tableColumn id="2" name="(B)_x000a_Fiscal _x000a_Year" totalsRowLabel="N/A" dataDxfId="469" totalsRowDxfId="468"/>
    <tableColumn id="3" name="(C)_x000a_Program_x000a_Costs" totalsRowFunction="sum" dataDxfId="467" totalsRowDxfId="466" dataCellStyle="Currency"/>
    <tableColumn id="4" name="(D)_x000a_Prior Period Adjustments" totalsRowFunction="sum" dataDxfId="465" totalsRowDxfId="464" dataCellStyle="Currency"/>
    <tableColumn id="5" name="(E)_x000a_Current Period Desk _x000a_Reviews" totalsRowFunction="sum" dataDxfId="463" totalsRowDxfId="462" dataCellStyle="Currency"/>
    <tableColumn id="6" name="(F)_x000a_Current Period _x000a_Final _x000a_Audits" totalsRowFunction="sum" dataDxfId="461" totalsRowDxfId="460" dataCellStyle="Currency"/>
    <tableColumn id="7" name="(G)_x000a_Current Period _x000a_Other Adjustments" totalsRowFunction="sum" dataDxfId="459" totalsRowDxfId="458" dataCellStyle="Currency"/>
    <tableColumn id="8" name="(H)_x000a_Net Program Costs_x000a_Sum (C through G)" totalsRowFunction="sum" dataDxfId="457" totalsRowDxfId="456" dataCellStyle="Currency">
      <calculatedColumnFormula>SUM(C243:G243)</calculatedColumnFormula>
    </tableColumn>
    <tableColumn id="9" name="(I)_x000a_Payments_x000a_ and Offsets" totalsRowFunction="sum" dataDxfId="455" totalsRowDxfId="454" dataCellStyle="Currency"/>
    <tableColumn id="10" name="(J)_x000a_Accounts Payable Balance_x000a_(H + I)" totalsRowFunction="sum" dataDxfId="453" totalsRowDxfId="452" dataCellStyle="Currency">
      <calculatedColumnFormula>H243+I243</calculatedColumnFormula>
    </tableColumn>
    <tableColumn id="11" name="(K)_x000a_Established _x000a_Accounts Receivable" totalsRowFunction="sum" dataDxfId="451" totalsRowDxfId="450" dataCellStyle="Currency"/>
    <tableColumn id="12" name="(L)_x000a_Recovered_x000a_ Accounts Receivable" totalsRowFunction="sum" dataDxfId="449" totalsRowDxfId="448" dataCellStyle="Currency"/>
    <tableColumn id="13" name="(M)_x000a_Accounts Receivable Balance_x000a_(K + L)" totalsRowFunction="sum" dataDxfId="447" totalsRowDxfId="446" dataCellStyle="Currency">
      <calculatedColumnFormula>K243+L243</calculatedColumnFormula>
    </tableColumn>
    <tableColumn id="14" name="(N)_x000a_Net Balance_x000a_(J minus M)" totalsRowFunction="sum" dataDxfId="445" totalsRowDxfId="444" dataCellStyle="Currency">
      <calculatedColumnFormula>J243-M243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3.xml><?xml version="1.0" encoding="utf-8"?>
<table xmlns="http://schemas.openxmlformats.org/spreadsheetml/2006/main" id="283" name="Program320" displayName="Program320" ref="A258:N261" totalsRowCount="1" headerRowDxfId="443" totalsRowDxfId="440" headerRowBorderDxfId="442" tableBorderDxfId="441" totalsRowBorderDxfId="439">
  <autoFilter ref="A258:N260"/>
  <tableColumns count="14">
    <tableColumn id="1" name="(A)_x000a_Program Name" totalsRowLabel="Total Program 320" totalsRowDxfId="438"/>
    <tableColumn id="2" name="(B)_x000a_Fiscal _x000a_Year" totalsRowLabel="N/A" totalsRowDxfId="437"/>
    <tableColumn id="3" name="(C)_x000a_Program_x000a_Costs" totalsRowFunction="sum" totalsRowDxfId="436"/>
    <tableColumn id="4" name="(D)_x000a_Prior Period Adjustments" totalsRowFunction="sum" totalsRowDxfId="435"/>
    <tableColumn id="5" name="(E)_x000a_Current Period Desk _x000a_Reviews" totalsRowFunction="sum" totalsRowDxfId="434"/>
    <tableColumn id="6" name="(F)_x000a_Current Period _x000a_Final _x000a_Audits" totalsRowFunction="sum" totalsRowDxfId="433"/>
    <tableColumn id="7" name="(G)_x000a_Current Period _x000a_Other Adjustments" totalsRowFunction="sum" totalsRowDxfId="432"/>
    <tableColumn id="8" name="(H)_x000a_Net Program Costs_x000a_Sum (C through G)" totalsRowFunction="sum" totalsRowDxfId="431">
      <calculatedColumnFormula>SUM(C259:G259)</calculatedColumnFormula>
    </tableColumn>
    <tableColumn id="9" name="(I)_x000a_Payments_x000a_ and Offsets" totalsRowFunction="sum" totalsRowDxfId="430"/>
    <tableColumn id="10" name="(J)_x000a_Accounts Payable Balance_x000a_(H + I)" totalsRowFunction="sum" totalsRowDxfId="429">
      <calculatedColumnFormula>H259+I259</calculatedColumnFormula>
    </tableColumn>
    <tableColumn id="11" name="(K)_x000a_Established _x000a_Accounts Receivable" totalsRowFunction="sum" totalsRowDxfId="428"/>
    <tableColumn id="12" name="(L)_x000a_Recovered_x000a_ Accounts Receivable" totalsRowFunction="sum" totalsRowDxfId="427"/>
    <tableColumn id="13" name="(M)_x000a_Accounts Receivable Balance_x000a_(K + L)" totalsRowFunction="sum" totalsRowDxfId="426">
      <calculatedColumnFormula>K259+L259</calculatedColumnFormula>
    </tableColumn>
    <tableColumn id="14" name="(N)_x000a_Net Balance_x000a_(J minus M)" totalsRowFunction="sum" totalsRowDxfId="425">
      <calculatedColumnFormula>J259-M259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4.xml><?xml version="1.0" encoding="utf-8"?>
<table xmlns="http://schemas.openxmlformats.org/spreadsheetml/2006/main" id="284" name="Program317" displayName="Program317" ref="A263:N265" totalsRowCount="1" headerRowDxfId="424" totalsRowDxfId="421" headerRowBorderDxfId="423" tableBorderDxfId="422" totalsRowBorderDxfId="420">
  <autoFilter ref="A263:N264"/>
  <tableColumns count="14">
    <tableColumn id="1" name="(A)_x000a_Program Name" totalsRowLabel="Total Program 317" totalsRowDxfId="419"/>
    <tableColumn id="2" name="(B)_x000a_Fiscal _x000a_Year" totalsRowLabel="N/A" totalsRowDxfId="418"/>
    <tableColumn id="3" name="(C)_x000a_Program_x000a_Costs" totalsRowFunction="sum" totalsRowDxfId="417">
      <calculatedColumnFormula>SUBTOTAL(9,C263:C263)</calculatedColumnFormula>
    </tableColumn>
    <tableColumn id="4" name="(D)_x000a_Prior Period Adjustments" totalsRowFunction="sum" totalsRowDxfId="416">
      <calculatedColumnFormula>SUBTOTAL(9,D263:D263)</calculatedColumnFormula>
    </tableColumn>
    <tableColumn id="5" name="(E)_x000a_Current Period Desk _x000a_Reviews" totalsRowFunction="sum" totalsRowDxfId="415">
      <calculatedColumnFormula>SUBTOTAL(9,E263:E263)</calculatedColumnFormula>
    </tableColumn>
    <tableColumn id="6" name="(F)_x000a_Current Period _x000a_Final _x000a_Audits" totalsRowFunction="sum" totalsRowDxfId="414">
      <calculatedColumnFormula>SUBTOTAL(9,F263:F263)</calculatedColumnFormula>
    </tableColumn>
    <tableColumn id="7" name="(G)_x000a_Current Period _x000a_Other Adjustments" totalsRowFunction="sum" totalsRowDxfId="413">
      <calculatedColumnFormula>SUBTOTAL(9,G263:G263)</calculatedColumnFormula>
    </tableColumn>
    <tableColumn id="8" name="(H)_x000a_Net Program Costs_x000a_Sum (C through G)" totalsRowFunction="sum" totalsRowDxfId="412">
      <calculatedColumnFormula>SUM(C264:G264)</calculatedColumnFormula>
    </tableColumn>
    <tableColumn id="9" name="(I)_x000a_Payments_x000a_ and Offsets" totalsRowFunction="sum" totalsRowDxfId="411">
      <calculatedColumnFormula>SUBTOTAL(9,I263:I263)</calculatedColumnFormula>
    </tableColumn>
    <tableColumn id="10" name="(J)_x000a_Accounts Payable Balance_x000a_(H + I)" totalsRowFunction="sum" totalsRowDxfId="410">
      <calculatedColumnFormula>H264+I264</calculatedColumnFormula>
    </tableColumn>
    <tableColumn id="11" name="(K)_x000a_Established _x000a_Accounts Receivable" totalsRowFunction="sum" totalsRowDxfId="409">
      <calculatedColumnFormula>SUBTOTAL(9,K263:K263)</calculatedColumnFormula>
    </tableColumn>
    <tableColumn id="12" name="(L)_x000a_Recovered_x000a_ Accounts Receivable" totalsRowFunction="sum" totalsRowDxfId="408">
      <calculatedColumnFormula>SUBTOTAL(9,L263:L263)</calculatedColumnFormula>
    </tableColumn>
    <tableColumn id="13" name="(M)_x000a_Accounts Receivable Balance_x000a_(K + L)" totalsRowFunction="sum" totalsRowDxfId="407">
      <calculatedColumnFormula>K264+L264</calculatedColumnFormula>
    </tableColumn>
    <tableColumn id="14" name="(N)_x000a_Net Balance_x000a_(J minus M)" totalsRowFunction="sum" totalsRowDxfId="406">
      <calculatedColumnFormula>J264-M264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5.xml><?xml version="1.0" encoding="utf-8"?>
<table xmlns="http://schemas.openxmlformats.org/spreadsheetml/2006/main" id="285" name="Program347" displayName="Program347" ref="A267:N282" totalsRowCount="1" headerRowDxfId="405" dataDxfId="403" totalsRowDxfId="401" headerRowBorderDxfId="404" tableBorderDxfId="402" totalsRowBorderDxfId="400" dataCellStyle="Currency">
  <autoFilter ref="A267:N281"/>
  <tableColumns count="14">
    <tableColumn id="1" name="(A)_x000a_Program Name" totalsRowLabel="Total Program 347" dataDxfId="399" totalsRowDxfId="398" dataCellStyle="Currency"/>
    <tableColumn id="2" name="(B)_x000a_Fiscal _x000a_Year" totalsRowLabel="N/A" dataDxfId="397" totalsRowDxfId="396"/>
    <tableColumn id="3" name="(C)_x000a_Program_x000a_Costs" totalsRowFunction="sum" dataDxfId="395" totalsRowDxfId="394" dataCellStyle="Currency"/>
    <tableColumn id="4" name="(D)_x000a_Prior Period Adjustments" totalsRowFunction="sum" dataDxfId="393" totalsRowDxfId="392" dataCellStyle="Currency"/>
    <tableColumn id="5" name="(E)_x000a_Current Period Desk _x000a_Reviews" totalsRowFunction="sum" dataDxfId="391" totalsRowDxfId="390" dataCellStyle="Currency"/>
    <tableColumn id="6" name="(F)_x000a_Current Period _x000a_Final _x000a_Audits" totalsRowFunction="sum" dataDxfId="389" totalsRowDxfId="388" dataCellStyle="Currency"/>
    <tableColumn id="7" name="(G)_x000a_Current Period _x000a_Other Adjustments" totalsRowFunction="sum" dataDxfId="387" totalsRowDxfId="386" dataCellStyle="Currency"/>
    <tableColumn id="8" name="(H)_x000a_Net Program Costs_x000a_Sum (C through G)" totalsRowFunction="sum" dataDxfId="385" totalsRowDxfId="384" dataCellStyle="Currency">
      <calculatedColumnFormula>SUM(C268:G268)</calculatedColumnFormula>
    </tableColumn>
    <tableColumn id="9" name="(I)_x000a_Payments_x000a_ and Offsets" totalsRowFunction="sum" dataDxfId="383" totalsRowDxfId="382" dataCellStyle="Currency"/>
    <tableColumn id="10" name="(J)_x000a_Accounts Payable Balance_x000a_(H + I)" totalsRowFunction="sum" dataDxfId="381" totalsRowDxfId="380" dataCellStyle="Currency">
      <calculatedColumnFormula>H268+I268</calculatedColumnFormula>
    </tableColumn>
    <tableColumn id="11" name="(K)_x000a_Established _x000a_Accounts Receivable" totalsRowFunction="sum" dataDxfId="379" totalsRowDxfId="378" dataCellStyle="Currency"/>
    <tableColumn id="12" name="(L)_x000a_Recovered_x000a_ Accounts Receivable" totalsRowFunction="sum" dataDxfId="377" totalsRowDxfId="376" dataCellStyle="Currency"/>
    <tableColumn id="13" name="(M)_x000a_Accounts Receivable Balance_x000a_(K + L)" totalsRowFunction="sum" dataDxfId="375" totalsRowDxfId="374" dataCellStyle="Currency">
      <calculatedColumnFormula>K268+L268</calculatedColumnFormula>
    </tableColumn>
    <tableColumn id="14" name="(N)_x000a_Net Balance_x000a_(J minus M)" totalsRowFunction="sum" dataDxfId="373" totalsRowDxfId="372" dataCellStyle="Currency">
      <calculatedColumnFormula>J268-M268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6.xml><?xml version="1.0" encoding="utf-8"?>
<table xmlns="http://schemas.openxmlformats.org/spreadsheetml/2006/main" id="286" name="Program254" displayName="Program254" ref="A284:N287" totalsRowCount="1" headerRowDxfId="371" totalsRowDxfId="368" headerRowBorderDxfId="370" tableBorderDxfId="369" totalsRowBorderDxfId="367">
  <autoFilter ref="A284:N286"/>
  <tableColumns count="14">
    <tableColumn id="1" name="(A)_x000a_Program Name" totalsRowLabel="Total Program 254" totalsRowDxfId="366"/>
    <tableColumn id="2" name="(B)_x000a_Fiscal _x000a_Year" totalsRowLabel="N/A" totalsRowDxfId="365"/>
    <tableColumn id="3" name="(C)_x000a_Program_x000a_Costs" totalsRowFunction="sum" totalsRowDxfId="364"/>
    <tableColumn id="4" name="(D)_x000a_Prior Period Adjustments" totalsRowFunction="sum" totalsRowDxfId="363"/>
    <tableColumn id="5" name="(E)_x000a_Current Period Desk _x000a_Reviews" totalsRowFunction="sum" totalsRowDxfId="362"/>
    <tableColumn id="6" name="(F)_x000a_Current Period _x000a_Final _x000a_Audits" totalsRowFunction="sum" totalsRowDxfId="361"/>
    <tableColumn id="7" name="(G)_x000a_Current Period _x000a_Other Adjustments" totalsRowFunction="sum" totalsRowDxfId="360"/>
    <tableColumn id="8" name="(H)_x000a_Net Program Costs_x000a_Sum (C through G)" totalsRowFunction="sum" totalsRowDxfId="359">
      <calculatedColumnFormula>SUM(C285:G285)</calculatedColumnFormula>
    </tableColumn>
    <tableColumn id="9" name="(I)_x000a_Payments_x000a_ and Offsets" totalsRowFunction="sum" totalsRowDxfId="358"/>
    <tableColumn id="10" name="(J)_x000a_Accounts Payable Balance_x000a_(H + I)" totalsRowFunction="sum" totalsRowDxfId="357">
      <calculatedColumnFormula>H285+I285</calculatedColumnFormula>
    </tableColumn>
    <tableColumn id="11" name="(K)_x000a_Established _x000a_Accounts Receivable" totalsRowFunction="sum" totalsRowDxfId="356"/>
    <tableColumn id="12" name="(L)_x000a_Recovered_x000a_ Accounts Receivable" totalsRowFunction="sum" totalsRowDxfId="355"/>
    <tableColumn id="13" name="(M)_x000a_Accounts Receivable Balance_x000a_(K + L)" totalsRowFunction="sum" totalsRowDxfId="354">
      <calculatedColumnFormula>K285+L285</calculatedColumnFormula>
    </tableColumn>
    <tableColumn id="14" name="(N)_x000a_Net Balance_x000a_(J minus M)" totalsRowFunction="sum" totalsRowDxfId="353">
      <calculatedColumnFormula>J285-M285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7.xml><?xml version="1.0" encoding="utf-8"?>
<table xmlns="http://schemas.openxmlformats.org/spreadsheetml/2006/main" id="287" name="Program238" displayName="Program238" ref="A289:N311" totalsRowCount="1" headerRowDxfId="352" dataDxfId="350" totalsRowDxfId="348" headerRowBorderDxfId="351" tableBorderDxfId="349" totalsRowBorderDxfId="347" dataCellStyle="Currency">
  <autoFilter ref="A289:N310"/>
  <tableColumns count="14">
    <tableColumn id="1" name="(A)_x000a_Program Name" totalsRowLabel="Total Program 238" dataDxfId="346" totalsRowDxfId="345" dataCellStyle="Currency"/>
    <tableColumn id="2" name="(B)_x000a_Fiscal _x000a_Year" totalsRowLabel="N/A" dataDxfId="344" totalsRowDxfId="343"/>
    <tableColumn id="3" name="(C)_x000a_Program_x000a_Costs" totalsRowFunction="sum" dataDxfId="342" totalsRowDxfId="341" dataCellStyle="Currency"/>
    <tableColumn id="4" name="(D)_x000a_Prior Period Adjustments" totalsRowFunction="sum" dataDxfId="340" totalsRowDxfId="339" dataCellStyle="Currency"/>
    <tableColumn id="5" name="(E)_x000a_Current Period Desk _x000a_Reviews" totalsRowFunction="sum" dataDxfId="338" totalsRowDxfId="337" dataCellStyle="Currency"/>
    <tableColumn id="6" name="(F)_x000a_Current Period _x000a_Final _x000a_Audits" totalsRowFunction="sum" dataDxfId="336" totalsRowDxfId="335" dataCellStyle="Currency"/>
    <tableColumn id="7" name="(G)_x000a_Current Period _x000a_Other Adjustments" totalsRowFunction="sum" dataDxfId="334" totalsRowDxfId="333" dataCellStyle="Currency"/>
    <tableColumn id="8" name="(H)_x000a_Net Program Costs_x000a_Sum (C through G)" totalsRowFunction="sum" dataDxfId="332" totalsRowDxfId="331" dataCellStyle="Currency">
      <calculatedColumnFormula>SUM(C290:G290)</calculatedColumnFormula>
    </tableColumn>
    <tableColumn id="9" name="(I)_x000a_Payments_x000a_ and Offsets" totalsRowFunction="sum" dataDxfId="330" totalsRowDxfId="329" dataCellStyle="Currency"/>
    <tableColumn id="10" name="(J)_x000a_Accounts Payable Balance_x000a_(H + I)" totalsRowFunction="sum" dataDxfId="328" totalsRowDxfId="327" dataCellStyle="Currency">
      <calculatedColumnFormula>H290+I290</calculatedColumnFormula>
    </tableColumn>
    <tableColumn id="11" name="(K)_x000a_Established _x000a_Accounts Receivable" totalsRowFunction="sum" dataDxfId="326" totalsRowDxfId="325" dataCellStyle="Currency"/>
    <tableColumn id="12" name="(L)_x000a_Recovered_x000a_ Accounts Receivable" totalsRowFunction="sum" dataDxfId="324" totalsRowDxfId="323" dataCellStyle="Currency"/>
    <tableColumn id="13" name="(M)_x000a_Accounts Receivable Balance_x000a_(K + L)" totalsRowFunction="sum" dataDxfId="322" totalsRowDxfId="321" dataCellStyle="Currency">
      <calculatedColumnFormula>K290+L290</calculatedColumnFormula>
    </tableColumn>
    <tableColumn id="14" name="(N)_x000a_Net Balance_x000a_(J minus M)" totalsRowFunction="sum" dataDxfId="320" totalsRowDxfId="319" dataCellStyle="Currency">
      <calculatedColumnFormula>J290-M290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8.xml><?xml version="1.0" encoding="utf-8"?>
<table xmlns="http://schemas.openxmlformats.org/spreadsheetml/2006/main" id="288" name="Program239" displayName="Program239" ref="A313:N327" totalsRowCount="1" headerRowDxfId="318" dataDxfId="316" totalsRowDxfId="314" headerRowBorderDxfId="317" tableBorderDxfId="315" totalsRowBorderDxfId="313" dataCellStyle="Currency">
  <autoFilter ref="A313:N326"/>
  <tableColumns count="14">
    <tableColumn id="1" name="(A)_x000a_Program Name" totalsRowLabel="Total Program 239" dataDxfId="312" totalsRowDxfId="311" dataCellStyle="Currency"/>
    <tableColumn id="2" name="(B)_x000a_Fiscal _x000a_Year" totalsRowLabel="N/A" dataDxfId="310" totalsRowDxfId="309"/>
    <tableColumn id="3" name="(C)_x000a_Program_x000a_Costs" totalsRowFunction="sum" dataDxfId="308" totalsRowDxfId="307" dataCellStyle="Currency"/>
    <tableColumn id="4" name="(D)_x000a_Prior Period Adjustments" totalsRowFunction="sum" dataDxfId="306" totalsRowDxfId="305" dataCellStyle="Currency"/>
    <tableColumn id="5" name="(E)_x000a_Current Period Desk _x000a_Reviews" totalsRowFunction="sum" dataDxfId="304" totalsRowDxfId="303" dataCellStyle="Currency"/>
    <tableColumn id="6" name="(F)_x000a_Current Period _x000a_Final _x000a_Audits" totalsRowFunction="sum" dataDxfId="302" totalsRowDxfId="301" dataCellStyle="Currency"/>
    <tableColumn id="7" name="(G)_x000a_Current Period _x000a_Other Adjustments" totalsRowFunction="sum" dataDxfId="300" totalsRowDxfId="299" dataCellStyle="Currency"/>
    <tableColumn id="8" name="(H)_x000a_Net Program Costs_x000a_Sum (C through G)" totalsRowFunction="sum" dataDxfId="298" totalsRowDxfId="297" dataCellStyle="Currency">
      <calculatedColumnFormula>SUM(C314:G314)</calculatedColumnFormula>
    </tableColumn>
    <tableColumn id="9" name="(I)_x000a_Payments_x000a_ and Offsets" totalsRowFunction="sum" dataDxfId="296" totalsRowDxfId="295" dataCellStyle="Currency"/>
    <tableColumn id="10" name="(J)_x000a_Accounts Payable Balance_x000a_(H + I)" totalsRowFunction="min" dataDxfId="294" totalsRowDxfId="293" dataCellStyle="Currency">
      <calculatedColumnFormula>H314+I314</calculatedColumnFormula>
    </tableColumn>
    <tableColumn id="11" name="(K)_x000a_Established _x000a_Accounts Receivable" totalsRowFunction="sum" dataDxfId="292" totalsRowDxfId="291" dataCellStyle="Currency"/>
    <tableColumn id="12" name="(L)_x000a_Recovered_x000a_ Accounts Receivable" totalsRowFunction="sum" dataDxfId="290" totalsRowDxfId="289" dataCellStyle="Currency"/>
    <tableColumn id="13" name="(M)_x000a_Accounts Receivable Balance_x000a_(K + L)" totalsRowFunction="sum" dataDxfId="288" totalsRowDxfId="287" dataCellStyle="Currency">
      <calculatedColumnFormula>K314+L314</calculatedColumnFormula>
    </tableColumn>
    <tableColumn id="14" name="(N)_x000a_Net Balance_x000a_(J minus M)" totalsRowFunction="sum" dataDxfId="286" totalsRowDxfId="285" dataCellStyle="Currency">
      <calculatedColumnFormula>J314-M314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89.xml><?xml version="1.0" encoding="utf-8"?>
<table xmlns="http://schemas.openxmlformats.org/spreadsheetml/2006/main" id="289" name="Program240" displayName="Program240" ref="A329:N336" totalsRowCount="1" headerRowDxfId="284" dataDxfId="282" totalsRowDxfId="280" headerRowBorderDxfId="283" tableBorderDxfId="281" totalsRowBorderDxfId="279" dataCellStyle="Currency">
  <autoFilter ref="A329:N335"/>
  <tableColumns count="14">
    <tableColumn id="1" name="(A)_x000a_Program Name" totalsRowLabel="Total Program 240" dataDxfId="278" totalsRowDxfId="277" dataCellStyle="Currency"/>
    <tableColumn id="2" name="(B)_x000a_Fiscal _x000a_Year" totalsRowLabel="N/A" dataDxfId="276" totalsRowDxfId="275"/>
    <tableColumn id="3" name="(C)_x000a_Program_x000a_Costs" totalsRowFunction="sum" dataDxfId="274" totalsRowDxfId="273" dataCellStyle="Currency"/>
    <tableColumn id="4" name="(D)_x000a_Prior Period Adjustments" totalsRowFunction="sum" dataDxfId="272" totalsRowDxfId="271" dataCellStyle="Currency"/>
    <tableColumn id="5" name="(E)_x000a_Current Period Desk _x000a_Reviews" totalsRowFunction="sum" dataDxfId="270" totalsRowDxfId="269" dataCellStyle="Currency"/>
    <tableColumn id="6" name="(F)_x000a_Current Period _x000a_Final _x000a_Audits" totalsRowFunction="sum" dataDxfId="268" totalsRowDxfId="267" dataCellStyle="Currency"/>
    <tableColumn id="7" name="(G)_x000a_Current Period _x000a_Other Adjustments" totalsRowFunction="sum" dataDxfId="266" totalsRowDxfId="265" dataCellStyle="Currency"/>
    <tableColumn id="8" name="(H)_x000a_Net Program Costs_x000a_Sum (C through G)" totalsRowFunction="sum" dataDxfId="264" totalsRowDxfId="263" dataCellStyle="Currency">
      <calculatedColumnFormula>SUM(C330:G330)</calculatedColumnFormula>
    </tableColumn>
    <tableColumn id="9" name="(I)_x000a_Payments_x000a_ and Offsets" totalsRowFunction="sum" dataDxfId="262" totalsRowDxfId="261" dataCellStyle="Currency"/>
    <tableColumn id="10" name="(J)_x000a_Accounts Payable Balance_x000a_(H + I)" totalsRowFunction="sum" dataDxfId="260" totalsRowDxfId="259" dataCellStyle="Currency">
      <calculatedColumnFormula>H330+I330</calculatedColumnFormula>
    </tableColumn>
    <tableColumn id="11" name="(K)_x000a_Established _x000a_Accounts Receivable" totalsRowFunction="sum" dataDxfId="258" totalsRowDxfId="257" dataCellStyle="Currency"/>
    <tableColumn id="12" name="(L)_x000a_Recovered_x000a_ Accounts Receivable" totalsRowFunction="sum" dataDxfId="256" totalsRowDxfId="255" dataCellStyle="Currency"/>
    <tableColumn id="13" name="(M)_x000a_Accounts Receivable Balance_x000a_(K + L)" totalsRowFunction="sum" dataDxfId="254" totalsRowDxfId="253" dataCellStyle="Currency">
      <calculatedColumnFormula>K330+L330</calculatedColumnFormula>
    </tableColumn>
    <tableColumn id="14" name="(N)_x000a_Net Balance_x000a_(J minus M)" totalsRowFunction="sum" dataDxfId="252" totalsRowDxfId="251" dataCellStyle="Currency">
      <calculatedColumnFormula>J330-M330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.xml><?xml version="1.0" encoding="utf-8"?>
<table xmlns="http://schemas.openxmlformats.org/spreadsheetml/2006/main" id="29" name="Program262" displayName="Program262" ref="A330:N351" totalsRowCount="1" headerRowDxfId="9030" dataDxfId="9028" totalsRowDxfId="9026" headerRowBorderDxfId="9029" tableBorderDxfId="9027" totalsRowBorderDxfId="9025">
  <autoFilter ref="A330:N350"/>
  <tableColumns count="14">
    <tableColumn id="1" name="(A)_x000a_Program Name" totalsRowLabel="Total Program 262" dataDxfId="9024" totalsRowDxfId="9023"/>
    <tableColumn id="2" name="(B)_x000a_Fiscal _x000a_Year" totalsRowLabel="N/A" dataDxfId="9022" totalsRowDxfId="9021"/>
    <tableColumn id="3" name="(C)_x000a_Program_x000a_Costs" totalsRowFunction="sum" dataDxfId="9020" totalsRowDxfId="9019"/>
    <tableColumn id="4" name="(D)_x000a_Prior Period Adjustments" totalsRowFunction="sum" dataDxfId="9018" totalsRowDxfId="9017"/>
    <tableColumn id="5" name="(E)_x000a_Current Period Desk _x000a_Reviews" totalsRowFunction="sum" dataDxfId="9016" totalsRowDxfId="9015"/>
    <tableColumn id="6" name="(F)_x000a_Current Period _x000a_Final _x000a_Audits" totalsRowFunction="sum" dataDxfId="9014" totalsRowDxfId="9013"/>
    <tableColumn id="7" name="(G)_x000a_Current Period _x000a_Other Adjustments" totalsRowFunction="sum" dataDxfId="9012" totalsRowDxfId="9011"/>
    <tableColumn id="8" name="(H)_x000a_Net Program Costs_x000a_Sum (C through G)" totalsRowFunction="sum" dataDxfId="9010" totalsRowDxfId="9009"/>
    <tableColumn id="9" name="(I)_x000a_Payments_x000a_ and Offsets" totalsRowFunction="sum" dataDxfId="9008" totalsRowDxfId="9007"/>
    <tableColumn id="10" name="(J)_x000a_Accounts Payable Balance_x000a_(H + I)" totalsRowFunction="sum" dataDxfId="9006" totalsRowDxfId="9005"/>
    <tableColumn id="11" name="(K)_x000a_Established _x000a_Accounts Receivable" totalsRowFunction="sum" dataDxfId="9004" totalsRowDxfId="9003"/>
    <tableColumn id="12" name="(L)_x000a_Recovered_x000a_ Accounts Receivable" totalsRowFunction="sum" dataDxfId="9002" totalsRowDxfId="9001"/>
    <tableColumn id="13" name="(M)_x000a_Accounts Receivable Balance_x000a_(K + L)" totalsRowFunction="sum" dataDxfId="9000" totalsRowDxfId="8999"/>
    <tableColumn id="14" name="(N)_x000a_Net Balance_x000a_(J minus M)" totalsRowFunction="sum" dataDxfId="8998" totalsRowDxfId="89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0.xml><?xml version="1.0" encoding="utf-8"?>
<table xmlns="http://schemas.openxmlformats.org/spreadsheetml/2006/main" id="290" name="Program303" displayName="Program303" ref="A338:N348" totalsRowCount="1" headerRowDxfId="250" dataDxfId="248" totalsRowDxfId="246" headerRowBorderDxfId="249" tableBorderDxfId="247" totalsRowBorderDxfId="245" dataCellStyle="Currency">
  <autoFilter ref="A338:N347"/>
  <tableColumns count="14">
    <tableColumn id="1" name="(A)_x000a_Program Name" totalsRowLabel="Total Program 303" dataDxfId="244" totalsRowDxfId="243" dataCellStyle="Currency"/>
    <tableColumn id="2" name="(B)_x000a_Fiscal _x000a_Year" totalsRowLabel="N/A" dataDxfId="242" totalsRowDxfId="241"/>
    <tableColumn id="3" name="(C)_x000a_Program_x000a_Costs" totalsRowFunction="sum" dataDxfId="240" totalsRowDxfId="239" dataCellStyle="Currency"/>
    <tableColumn id="4" name="(D)_x000a_Prior Period Adjustments" totalsRowFunction="sum" dataDxfId="238" totalsRowDxfId="237" dataCellStyle="Currency"/>
    <tableColumn id="5" name="(E)_x000a_Current Period Desk _x000a_Reviews" totalsRowFunction="sum" dataDxfId="236" totalsRowDxfId="235" dataCellStyle="Currency"/>
    <tableColumn id="6" name="(F)_x000a_Current Period _x000a_Final _x000a_Audits" totalsRowFunction="sum" dataDxfId="234" totalsRowDxfId="233" dataCellStyle="Currency"/>
    <tableColumn id="7" name="(G)_x000a_Current Period _x000a_Other Adjustments" totalsRowFunction="sum" dataDxfId="232" totalsRowDxfId="231" dataCellStyle="Currency"/>
    <tableColumn id="8" name="(H)_x000a_Net Program Costs_x000a_Sum (C through G)" totalsRowFunction="sum" dataDxfId="230" totalsRowDxfId="229" dataCellStyle="Currency">
      <calculatedColumnFormula>SUM(C339:G339)</calculatedColumnFormula>
    </tableColumn>
    <tableColumn id="9" name="(I)_x000a_Payments_x000a_ and Offsets" totalsRowFunction="sum" dataDxfId="228" totalsRowDxfId="227" dataCellStyle="Currency"/>
    <tableColumn id="10" name="(J)_x000a_Accounts Payable Balance_x000a_(H + I)" totalsRowFunction="sum" dataDxfId="226" totalsRowDxfId="225" dataCellStyle="Currency">
      <calculatedColumnFormula>H339+I339</calculatedColumnFormula>
    </tableColumn>
    <tableColumn id="11" name="(K)_x000a_Established _x000a_Accounts Receivable" totalsRowFunction="sum" dataDxfId="224" totalsRowDxfId="223" dataCellStyle="Currency"/>
    <tableColumn id="12" name="(L)_x000a_Recovered_x000a_ Accounts Receivable" totalsRowFunction="sum" dataDxfId="222" totalsRowDxfId="221" dataCellStyle="Currency"/>
    <tableColumn id="13" name="(M)_x000a_Accounts Receivable Balance_x000a_(K + L)" totalsRowFunction="sum" dataDxfId="220" totalsRowDxfId="219" dataCellStyle="Currency">
      <calculatedColumnFormula>K339+L339</calculatedColumnFormula>
    </tableColumn>
    <tableColumn id="14" name="(N)_x000a_Net Balance_x000a_(J minus M)" totalsRowFunction="sum" dataDxfId="218" totalsRowDxfId="217" dataCellStyle="Currency">
      <calculatedColumnFormula>J339-M339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1.xml><?xml version="1.0" encoding="utf-8"?>
<table xmlns="http://schemas.openxmlformats.org/spreadsheetml/2006/main" id="291" name="Program294" displayName="Program294" ref="A350:N355" totalsRowCount="1" headerRowDxfId="216" dataDxfId="214" totalsRowDxfId="212" headerRowBorderDxfId="215" tableBorderDxfId="213" totalsRowBorderDxfId="211" dataCellStyle="Currency">
  <autoFilter ref="A350:N354"/>
  <tableColumns count="14">
    <tableColumn id="1" name="(A)_x000a_Program Name" totalsRowLabel="Total Program 294" dataDxfId="210" totalsRowDxfId="209" dataCellStyle="Currency"/>
    <tableColumn id="2" name="(B)_x000a_Fiscal _x000a_Year" totalsRowLabel="N/A" dataDxfId="208" totalsRowDxfId="207"/>
    <tableColumn id="3" name="(C)_x000a_Program_x000a_Costs" totalsRowFunction="sum" dataDxfId="206" totalsRowDxfId="205" dataCellStyle="Currency"/>
    <tableColumn id="4" name="(D)_x000a_Prior Period Adjustments" totalsRowFunction="sum" dataDxfId="204" totalsRowDxfId="203" dataCellStyle="Currency"/>
    <tableColumn id="5" name="(E)_x000a_Current Period Desk _x000a_Reviews" totalsRowFunction="sum" dataDxfId="202" totalsRowDxfId="201" dataCellStyle="Currency"/>
    <tableColumn id="6" name="(F)_x000a_Current Period _x000a_Final _x000a_Audits" totalsRowFunction="sum" dataDxfId="200" totalsRowDxfId="199" dataCellStyle="Currency"/>
    <tableColumn id="7" name="(G)_x000a_Current Period _x000a_Other Adjustments" totalsRowFunction="sum" dataDxfId="198" totalsRowDxfId="197" dataCellStyle="Currency"/>
    <tableColumn id="8" name="(H)_x000a_Net Program Costs_x000a_Sum (C through G)" totalsRowFunction="sum" dataDxfId="196" totalsRowDxfId="195" dataCellStyle="Currency">
      <calculatedColumnFormula>SUM(C351:G351)</calculatedColumnFormula>
    </tableColumn>
    <tableColumn id="9" name="(I)_x000a_Payments_x000a_ and Offsets" totalsRowFunction="sum" dataDxfId="194" totalsRowDxfId="193" dataCellStyle="Currency"/>
    <tableColumn id="10" name="(J)_x000a_Accounts Payable Balance_x000a_(H + I)" totalsRowFunction="sum" dataDxfId="192" totalsRowDxfId="191" dataCellStyle="Currency">
      <calculatedColumnFormula>H351+I351</calculatedColumnFormula>
    </tableColumn>
    <tableColumn id="11" name="(K)_x000a_Established _x000a_Accounts Receivable" totalsRowFunction="sum" dataDxfId="190" totalsRowDxfId="189" dataCellStyle="Currency"/>
    <tableColumn id="12" name="(L)_x000a_Recovered_x000a_ Accounts Receivable" totalsRowFunction="sum" dataDxfId="188" totalsRowDxfId="187" dataCellStyle="Currency"/>
    <tableColumn id="13" name="(M)_x000a_Accounts Receivable Balance_x000a_(K + L)" totalsRowFunction="sum" dataDxfId="186" totalsRowDxfId="185" dataCellStyle="Currency">
      <calculatedColumnFormula>K351+L351</calculatedColumnFormula>
    </tableColumn>
    <tableColumn id="14" name="(N)_x000a_Net Balance_x000a_(J minus M)" totalsRowFunction="sum" dataDxfId="184" totalsRowDxfId="183" dataCellStyle="Currency">
      <calculatedColumnFormula>J351-M351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2.xml><?xml version="1.0" encoding="utf-8"?>
<table xmlns="http://schemas.openxmlformats.org/spreadsheetml/2006/main" id="292" name="Program241" displayName="Program241" ref="A357:N359" totalsRowCount="1" headerRowDxfId="182" totalsRowDxfId="179" headerRowBorderDxfId="181" tableBorderDxfId="180" totalsRowBorderDxfId="178">
  <autoFilter ref="A357:N358"/>
  <tableColumns count="14">
    <tableColumn id="1" name="(A)_x000a_Program Name" totalsRowLabel="Total Program 241" dataDxfId="177" totalsRowDxfId="176"/>
    <tableColumn id="2" name="(B)_x000a_Fiscal _x000a_Year" totalsRowLabel="N/A" totalsRowDxfId="175"/>
    <tableColumn id="3" name="(C)_x000a_Program_x000a_Costs" totalsRowFunction="sum" totalsRowDxfId="174">
      <calculatedColumnFormula>SUBTOTAL(9,C357:C357)</calculatedColumnFormula>
    </tableColumn>
    <tableColumn id="4" name="(D)_x000a_Prior Period Adjustments" totalsRowFunction="sum" totalsRowDxfId="173">
      <calculatedColumnFormula>SUBTOTAL(9,D357:D357)</calculatedColumnFormula>
    </tableColumn>
    <tableColumn id="5" name="(E)_x000a_Current Period Desk _x000a_Reviews" totalsRowFunction="sum" totalsRowDxfId="172">
      <calculatedColumnFormula>SUBTOTAL(9,E357:E357)</calculatedColumnFormula>
    </tableColumn>
    <tableColumn id="6" name="(F)_x000a_Current Period _x000a_Final _x000a_Audits" totalsRowFunction="sum" totalsRowDxfId="171">
      <calculatedColumnFormula>SUBTOTAL(9,F357:F357)</calculatedColumnFormula>
    </tableColumn>
    <tableColumn id="7" name="(G)_x000a_Current Period _x000a_Other Adjustments" totalsRowFunction="sum" totalsRowDxfId="170">
      <calculatedColumnFormula>SUBTOTAL(9,G357:G357)</calculatedColumnFormula>
    </tableColumn>
    <tableColumn id="8" name="(H)_x000a_Net Program Costs_x000a_Sum (C through G)" totalsRowFunction="sum" totalsRowDxfId="169">
      <calculatedColumnFormula>SUM(C358:G358)</calculatedColumnFormula>
    </tableColumn>
    <tableColumn id="9" name="(I)_x000a_Payments_x000a_ and Offsets" totalsRowFunction="sum" totalsRowDxfId="168">
      <calculatedColumnFormula>SUBTOTAL(9,I357:I357)</calculatedColumnFormula>
    </tableColumn>
    <tableColumn id="10" name="(J)_x000a_Accounts Payable Balance_x000a_(H + I)" totalsRowFunction="sum" totalsRowDxfId="167">
      <calculatedColumnFormula>H358+I358</calculatedColumnFormula>
    </tableColumn>
    <tableColumn id="11" name="(K)_x000a_Established _x000a_Accounts Receivable" totalsRowFunction="sum" totalsRowDxfId="166">
      <calculatedColumnFormula>SUBTOTAL(9,K357:K357)</calculatedColumnFormula>
    </tableColumn>
    <tableColumn id="12" name="(L)_x000a_Recovered_x000a_ Accounts Receivable" totalsRowFunction="sum" totalsRowDxfId="165">
      <calculatedColumnFormula>SUBTOTAL(9,L357:L357)</calculatedColumnFormula>
    </tableColumn>
    <tableColumn id="13" name="(M)_x000a_Accounts Receivable Balance_x000a_(K + L)" totalsRowFunction="sum" totalsRowDxfId="164">
      <calculatedColumnFormula>K358+L358</calculatedColumnFormula>
    </tableColumn>
    <tableColumn id="14" name="(N)_x000a_Net Balance_x000a_(J minus M)" totalsRowFunction="sum" totalsRowDxfId="163">
      <calculatedColumnFormula>J358-M358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3.xml><?xml version="1.0" encoding="utf-8"?>
<table xmlns="http://schemas.openxmlformats.org/spreadsheetml/2006/main" id="293" name="Program247" displayName="Program247" ref="A361:N364" totalsRowCount="1" headerRowDxfId="162" totalsRowDxfId="159" headerRowBorderDxfId="161" tableBorderDxfId="160" totalsRowBorderDxfId="158">
  <autoFilter ref="A361:N363"/>
  <tableColumns count="14">
    <tableColumn id="1" name="(A)_x000a_Program Name" totalsRowLabel="Total Program 247" totalsRowDxfId="157"/>
    <tableColumn id="2" name="(B)_x000a_Fiscal _x000a_Year" totalsRowLabel="N/A" totalsRowDxfId="156"/>
    <tableColumn id="3" name="(C)_x000a_Program_x000a_Costs" totalsRowFunction="sum" totalsRowDxfId="155"/>
    <tableColumn id="4" name="(D)_x000a_Prior Period Adjustments" totalsRowFunction="sum" totalsRowDxfId="154"/>
    <tableColumn id="5" name="(E)_x000a_Current Period Desk _x000a_Reviews" totalsRowFunction="stdDev" totalsRowDxfId="153"/>
    <tableColumn id="6" name="(F)_x000a_Current Period _x000a_Final _x000a_Audits" totalsRowFunction="sum" totalsRowDxfId="152"/>
    <tableColumn id="7" name="(G)_x000a_Current Period _x000a_Other Adjustments" totalsRowFunction="sum" totalsRowDxfId="151"/>
    <tableColumn id="8" name="(H)_x000a_Net Program Costs_x000a_Sum (C through G)" totalsRowFunction="sum" totalsRowDxfId="150"/>
    <tableColumn id="9" name="(I)_x000a_Payments_x000a_ and Offsets" totalsRowFunction="sum" totalsRowDxfId="149"/>
    <tableColumn id="10" name="(J)_x000a_Accounts Payable Balance_x000a_(H + I)" totalsRowFunction="sum" totalsRowDxfId="148"/>
    <tableColumn id="11" name="(K)_x000a_Established _x000a_Accounts Receivable" totalsRowFunction="sum" totalsRowDxfId="147"/>
    <tableColumn id="12" name="(L)_x000a_Recovered_x000a_ Accounts Receivable" totalsRowFunction="sum" totalsRowDxfId="146"/>
    <tableColumn id="13" name="(M)_x000a_Accounts Receivable Balance_x000a_(K + L)" totalsRowFunction="sum" totalsRowDxfId="145"/>
    <tableColumn id="14" name="(N)_x000a_Net Balance_x000a_(J minus M)" totalsRowFunction="sum" totalsRowDxfId="14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4.xml><?xml version="1.0" encoding="utf-8"?>
<table xmlns="http://schemas.openxmlformats.org/spreadsheetml/2006/main" id="294" name="Program307" displayName="Program307" ref="A366:N368" totalsRowCount="1" headerRowDxfId="143" totalsRowDxfId="140" headerRowBorderDxfId="142" tableBorderDxfId="141" totalsRowBorderDxfId="139">
  <autoFilter ref="A366:N367"/>
  <tableColumns count="14">
    <tableColumn id="1" name="(A)_x000a_Program Name" totalsRowLabel="Total Program 307" totalsRowDxfId="138"/>
    <tableColumn id="2" name="(B)_x000a_Fiscal _x000a_Year" totalsRowLabel="N/A" totalsRowDxfId="137"/>
    <tableColumn id="3" name="(C)_x000a_Program_x000a_Costs" totalsRowFunction="sum" totalsRowDxfId="136">
      <calculatedColumnFormula>SUBTOTAL(9,C366:C366)</calculatedColumnFormula>
    </tableColumn>
    <tableColumn id="4" name="(D)_x000a_Prior Period Adjustments" totalsRowFunction="sum" totalsRowDxfId="135">
      <calculatedColumnFormula>SUBTOTAL(9,D366:D366)</calculatedColumnFormula>
    </tableColumn>
    <tableColumn id="5" name="(E)_x000a_Current Period Desk _x000a_Reviews" totalsRowFunction="sum" totalsRowDxfId="134">
      <calculatedColumnFormula>SUBTOTAL(9,E366:E366)</calculatedColumnFormula>
    </tableColumn>
    <tableColumn id="6" name="(F)_x000a_Current Period _x000a_Final _x000a_Audits" totalsRowFunction="sum" totalsRowDxfId="133">
      <calculatedColumnFormula>SUBTOTAL(9,F366:F366)</calculatedColumnFormula>
    </tableColumn>
    <tableColumn id="7" name="(G)_x000a_Current Period _x000a_Other Adjustments" totalsRowFunction="sum" totalsRowDxfId="132">
      <calculatedColumnFormula>SUBTOTAL(9,G366:G366)</calculatedColumnFormula>
    </tableColumn>
    <tableColumn id="8" name="(H)_x000a_Net Program Costs_x000a_Sum (C through G)" totalsRowFunction="sum" totalsRowDxfId="131">
      <calculatedColumnFormula>SUBTOTAL(9,H366:H366)</calculatedColumnFormula>
    </tableColumn>
    <tableColumn id="9" name="(I)_x000a_Payments_x000a_ and Offsets" totalsRowFunction="sum" totalsRowDxfId="130">
      <calculatedColumnFormula>SUBTOTAL(9,I366:I366)</calculatedColumnFormula>
    </tableColumn>
    <tableColumn id="10" name="(J)_x000a_Accounts Payable Balance_x000a_(H + I)" totalsRowFunction="sum" totalsRowDxfId="129">
      <calculatedColumnFormula>SUBTOTAL(9,J366:J366)</calculatedColumnFormula>
    </tableColumn>
    <tableColumn id="11" name="(K)_x000a_Established _x000a_Accounts Receivable" totalsRowFunction="sum" totalsRowDxfId="128">
      <calculatedColumnFormula>SUBTOTAL(9,K366:K366)</calculatedColumnFormula>
    </tableColumn>
    <tableColumn id="12" name="(L)_x000a_Recovered_x000a_ Accounts Receivable" totalsRowFunction="sum" totalsRowDxfId="127">
      <calculatedColumnFormula>SUBTOTAL(9,L366:L366)</calculatedColumnFormula>
    </tableColumn>
    <tableColumn id="13" name="(M)_x000a_Accounts Receivable Balance_x000a_(K + L)" totalsRowFunction="sum" totalsRowDxfId="126">
      <calculatedColumnFormula>SUBTOTAL(9,M366:M366)</calculatedColumnFormula>
    </tableColumn>
    <tableColumn id="14" name="(N)_x000a_Net Balance_x000a_(J minus M)" totalsRowFunction="sum" totalsRowDxfId="125">
      <calculatedColumnFormula>SUBTOTAL(9,N366:N366)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5.xml><?xml version="1.0" encoding="utf-8"?>
<table xmlns="http://schemas.openxmlformats.org/spreadsheetml/2006/main" id="295" name="Program301" displayName="Program301" ref="A370:N382" totalsRowCount="1" headerRowDxfId="124" dataDxfId="122" totalsRowDxfId="120" headerRowBorderDxfId="123" tableBorderDxfId="121" totalsRowBorderDxfId="119" dataCellStyle="Currency">
  <autoFilter ref="A370:N381"/>
  <tableColumns count="14">
    <tableColumn id="1" name="(A)_x000a_Program Name" totalsRowLabel="Total Program 301" dataDxfId="118" totalsRowDxfId="117" dataCellStyle="Currency"/>
    <tableColumn id="2" name="(B)_x000a_Fiscal _x000a_Year" totalsRowLabel="N/A" dataDxfId="116" totalsRowDxfId="115"/>
    <tableColumn id="3" name="(C)_x000a_Program_x000a_Costs" totalsRowFunction="sum" dataDxfId="114" totalsRowDxfId="113" dataCellStyle="Currency"/>
    <tableColumn id="4" name="(D)_x000a_Prior Period Adjustments" totalsRowFunction="sum" dataDxfId="112" totalsRowDxfId="111" dataCellStyle="Currency"/>
    <tableColumn id="5" name="(E)_x000a_Current Period Desk _x000a_Reviews" totalsRowFunction="sum" dataDxfId="110" totalsRowDxfId="109" dataCellStyle="Currency"/>
    <tableColumn id="6" name="(F)_x000a_Current Period _x000a_Final _x000a_Audits" totalsRowFunction="sum" dataDxfId="108" totalsRowDxfId="107" dataCellStyle="Currency"/>
    <tableColumn id="7" name="(G)_x000a_Current Period _x000a_Other Adjustments" totalsRowFunction="sum" dataDxfId="106" totalsRowDxfId="105" dataCellStyle="Currency"/>
    <tableColumn id="8" name="(H)_x000a_Net Program Costs_x000a_Sum (C through G)" totalsRowFunction="sum" dataDxfId="104" totalsRowDxfId="103" dataCellStyle="Currency">
      <calculatedColumnFormula>SUM(C371:G371)</calculatedColumnFormula>
    </tableColumn>
    <tableColumn id="9" name="(I)_x000a_Payments_x000a_ and Offsets" totalsRowFunction="sum" dataDxfId="102" totalsRowDxfId="101" dataCellStyle="Currency"/>
    <tableColumn id="10" name="(J)_x000a_Accounts Payable Balance_x000a_(H + I)" totalsRowFunction="sum" dataDxfId="100" totalsRowDxfId="99" dataCellStyle="Currency">
      <calculatedColumnFormula>H371+I371</calculatedColumnFormula>
    </tableColumn>
    <tableColumn id="11" name="(K)_x000a_Established _x000a_Accounts Receivable" totalsRowFunction="sum" dataDxfId="98" totalsRowDxfId="97" dataCellStyle="Currency"/>
    <tableColumn id="12" name="(L)_x000a_Recovered_x000a_ Accounts Receivable" totalsRowFunction="sum" dataDxfId="96" totalsRowDxfId="95" dataCellStyle="Currency"/>
    <tableColumn id="13" name="(M)_x000a_Accounts Receivable Balance_x000a_(K + L)" totalsRowFunction="sum" dataDxfId="94" totalsRowDxfId="93" dataCellStyle="Currency">
      <calculatedColumnFormula>K371+L371</calculatedColumnFormula>
    </tableColumn>
    <tableColumn id="14" name="(N)_x000a_Net Balance_x000a_(J minus M)" totalsRowFunction="sum" dataDxfId="92" totalsRowDxfId="91" dataCellStyle="Currency">
      <calculatedColumnFormula>J371-M371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6.xml><?xml version="1.0" encoding="utf-8"?>
<table xmlns="http://schemas.openxmlformats.org/spreadsheetml/2006/main" id="296" name="GrandTotalCollegeDistrictsG" displayName="GrandTotalCollegeDistrictsG" ref="A384:N420" totalsRowCount="1" headerRowDxfId="90" dataDxfId="88" totalsRowDxfId="86" headerRowBorderDxfId="89" tableBorderDxfId="87" totalsRowBorderDxfId="85">
  <autoFilter ref="A384:N419"/>
  <tableColumns count="14">
    <tableColumn id="1" name="(A)_x000a_Program Name" totalsRowLabel="Grand Total Community College Districts" dataDxfId="84" totalsRowDxfId="83"/>
    <tableColumn id="2" name="(B)_x000a_Fiscal _x000a_Year" totalsRowLabel="N/A" dataDxfId="82" totalsRowDxfId="81"/>
    <tableColumn id="3" name="(C)_x000a_Program_x000a_Costs" totalsRowFunction="sum" dataDxfId="80" totalsRowDxfId="79" dataCellStyle="Comma"/>
    <tableColumn id="4" name="(D)_x000a_Prior Period Adjustments" totalsRowFunction="sum" dataDxfId="78" totalsRowDxfId="77" dataCellStyle="Comma"/>
    <tableColumn id="5" name="(E)_x000a_Current Period Desk _x000a_Reviews" totalsRowFunction="sum" dataDxfId="76" totalsRowDxfId="75" dataCellStyle="Comma"/>
    <tableColumn id="6" name="(F)_x000a_Current Period _x000a_Final _x000a_Audits" totalsRowFunction="sum" dataDxfId="74" totalsRowDxfId="73" dataCellStyle="Comma"/>
    <tableColumn id="7" name="(G)_x000a_Current Period _x000a_Other Adjustments" totalsRowFunction="sum" dataDxfId="72" totalsRowDxfId="71" dataCellStyle="Comma"/>
    <tableColumn id="8" name="(H)_x000a_Net Program Costs_x000a_Sum (C through G)" totalsRowFunction="sum" dataDxfId="70" totalsRowDxfId="69"/>
    <tableColumn id="9" name="(I)_x000a_Payments_x000a_ and Offsets" totalsRowFunction="sum" dataDxfId="68" totalsRowDxfId="67"/>
    <tableColumn id="10" name="(J)_x000a_Accounts Payable Balance_x000a_(H + I)" totalsRowFunction="sum" dataDxfId="66" totalsRowDxfId="65"/>
    <tableColumn id="11" name="(K)_x000a_Established _x000a_Accounts Receivable" totalsRowFunction="sum" dataDxfId="64" totalsRowDxfId="63" dataCellStyle="Comma"/>
    <tableColumn id="12" name="(L)_x000a_Recovered_x000a_ Accounts Receivable" totalsRowFunction="sum" dataDxfId="62" totalsRowDxfId="61"/>
    <tableColumn id="13" name="(M)_x000a_Accounts Receivable Balance_x000a_(K + L)" totalsRowFunction="sum" dataDxfId="60" totalsRowDxfId="59"/>
    <tableColumn id="14" name="(N)_x000a_Net Balance_x000a_(J minus M)" totalsRowFunction="sum" dataDxfId="58" totalsRowDxfId="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297.xml><?xml version="1.0" encoding="utf-8"?>
<table xmlns="http://schemas.openxmlformats.org/spreadsheetml/2006/main" id="297" name="GrandTotal" displayName="GrandTotal" ref="A422:N426" totalsRowCount="1" headerRowDxfId="56" dataDxfId="54" headerRowBorderDxfId="55" tableBorderDxfId="53" totalsRowBorderDxfId="52">
  <autoFilter ref="A422:N425"/>
  <tableColumns count="14">
    <tableColumn id="1" name="(A)_x000a_Program Name" totalsRowLabel="Grand Total" dataDxfId="51" totalsRowDxfId="50"/>
    <tableColumn id="2" name="(B)_x000a_Fiscal _x000a_Year" totalsRowLabel="N/A" dataDxfId="49" totalsRowDxfId="48"/>
    <tableColumn id="3" name="(C)_x000a_Program_x000a_Costs" totalsRowFunction="sum" dataDxfId="47" totalsRowDxfId="46" dataCellStyle="Comma"/>
    <tableColumn id="4" name="(D)_x000a_Prior Period Adjustments" totalsRowFunction="sum" dataDxfId="45" totalsRowDxfId="44" dataCellStyle="Comma"/>
    <tableColumn id="5" name="(E)_x000a_Current Period Desk _x000a_Reviews" totalsRowFunction="sum" dataDxfId="43" totalsRowDxfId="42" dataCellStyle="Comma"/>
    <tableColumn id="6" name="(F)_x000a_Current Period _x000a_Final _x000a_Audits" totalsRowFunction="sum" dataDxfId="41" totalsRowDxfId="40" dataCellStyle="Comma"/>
    <tableColumn id="7" name="(G)_x000a_Current Period _x000a_Other Adjustments" totalsRowFunction="sum" dataDxfId="39" totalsRowDxfId="38" dataCellStyle="Comma"/>
    <tableColumn id="8" name="(H)_x000a_Net Program Costs_x000a_Sum (C through G)" totalsRowFunction="sum" dataDxfId="37" totalsRowDxfId="36"/>
    <tableColumn id="9" name="(I)_x000a_Payments_x000a_ and Offsets" totalsRowFunction="sum" dataDxfId="35" totalsRowDxfId="34"/>
    <tableColumn id="10" name="(J)_x000a_Accounts Payable Balance_x000a_(H + I)" totalsRowFunction="sum" dataDxfId="33" totalsRowDxfId="32"/>
    <tableColumn id="11" name="(K)_x000a_Established _x000a_Accounts Receivable" totalsRowFunction="sum" dataDxfId="31" totalsRowDxfId="30" dataCellStyle="Comma"/>
    <tableColumn id="12" name="(L)_x000a_Recovered_x000a_ Accounts Receivable" totalsRowFunction="sum" dataDxfId="29" totalsRowDxfId="28"/>
    <tableColumn id="13" name="(M)_x000a_Accounts Receivable Balance_x000a_(K + L)" totalsRowFunction="sum" dataDxfId="27" totalsRowDxfId="26"/>
    <tableColumn id="14" name="(N)_x000a_Net Balance_x000a_(J minus M)" totalsRowFunction="sum" dataDxfId="25" totalsRowDxfId="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.xml><?xml version="1.0" encoding="utf-8"?>
<table xmlns="http://schemas.openxmlformats.org/spreadsheetml/2006/main" id="4" name="ProgramCosts" displayName="ProgramCosts" ref="A13:F16" totalsRowCount="1" headerRowDxfId="9831" dataDxfId="9829" totalsRowDxfId="9827" headerRowBorderDxfId="9830" tableBorderDxfId="9828" totalsRowBorderDxfId="9826">
  <autoFilter ref="A13:F15"/>
  <tableColumns count="6">
    <tableColumn id="1" name="Program Costs, Audit Adjustments and Balances" totalsRowLabel="Net Program Costs²" dataDxfId="9825" totalsRowDxfId="17" dataCellStyle="Hyperlink"/>
    <tableColumn id="2" name="Comments" totalsRowLabel="Comment: Total Program Costs plus Total Cumulative Adjustments equals Net Program Costs." dataDxfId="9824" totalsRowDxfId="16"/>
    <tableColumn id="3" name="Local Agencies" totalsRowFunction="sum" dataDxfId="9823" totalsRowDxfId="15"/>
    <tableColumn id="4" name="School Districts" totalsRowFunction="sum" dataDxfId="9822" totalsRowDxfId="14"/>
    <tableColumn id="5" name="Community College Districts" totalsRowFunction="sum" dataDxfId="9821" totalsRowDxfId="13"/>
    <tableColumn id="6" name="Grand Total" totalsRowFunction="sum" dataDxfId="9820" totalsRowDxfId="1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30.xml><?xml version="1.0" encoding="utf-8"?>
<table xmlns="http://schemas.openxmlformats.org/spreadsheetml/2006/main" id="30" name="Program306" displayName="Program306" ref="A353:N364" totalsRowCount="1" headerRowDxfId="8996" dataDxfId="8994" totalsRowDxfId="8992" headerRowBorderDxfId="8995" tableBorderDxfId="8993" totalsRowBorderDxfId="8991">
  <autoFilter ref="A353:N363"/>
  <tableColumns count="14">
    <tableColumn id="1" name="(A)_x000a_Program Name" totalsRowLabel="Total Program 306" dataDxfId="8990" totalsRowDxfId="8989"/>
    <tableColumn id="2" name="(B)_x000a_Fiscal _x000a_Year" totalsRowLabel="N/A" dataDxfId="8988" totalsRowDxfId="8987"/>
    <tableColumn id="3" name="(C)_x000a_Program_x000a_Costs" totalsRowFunction="sum" dataDxfId="8986" totalsRowDxfId="8985"/>
    <tableColumn id="4" name="(D)_x000a_Prior Period Adjustments" totalsRowFunction="sum" dataDxfId="8984" totalsRowDxfId="8983"/>
    <tableColumn id="5" name="(E)_x000a_Current Period Desk _x000a_Reviews" totalsRowFunction="sum" dataDxfId="8982" totalsRowDxfId="8981"/>
    <tableColumn id="6" name="(F)_x000a_Current Period _x000a_Final _x000a_Audits" totalsRowFunction="sum" dataDxfId="8980" totalsRowDxfId="8979"/>
    <tableColumn id="7" name="(G)_x000a_Current Period _x000a_Other Adjustments" totalsRowFunction="sum" dataDxfId="8978" totalsRowDxfId="8977"/>
    <tableColumn id="8" name="(H)_x000a_Net Program Costs_x000a_Sum (C through G)" totalsRowFunction="sum" dataDxfId="8976" totalsRowDxfId="8975"/>
    <tableColumn id="9" name="(I)_x000a_Payments_x000a_ and Offsets" totalsRowFunction="sum" dataDxfId="8974" totalsRowDxfId="8973"/>
    <tableColumn id="10" name="(J)_x000a_Accounts Payable Balance_x000a_(H + I)" totalsRowFunction="sum" dataDxfId="8972" totalsRowDxfId="8971"/>
    <tableColumn id="11" name="(K)_x000a_Established _x000a_Accounts Receivable" totalsRowFunction="sum" dataDxfId="8970" totalsRowDxfId="8969"/>
    <tableColumn id="12" name="(L)_x000a_Recovered_x000a_ Accounts Receivable" totalsRowFunction="sum" dataDxfId="8968" totalsRowDxfId="8967"/>
    <tableColumn id="13" name="(M)_x000a_Accounts Receivable Balance_x000a_(K + L)" totalsRowFunction="sum" dataDxfId="8966" totalsRowDxfId="8965"/>
    <tableColumn id="14" name="(N)_x000a_Net Balance_x000a_(J minus M)" totalsRowFunction="sum" dataDxfId="8964" totalsRowDxfId="89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1.xml><?xml version="1.0" encoding="utf-8"?>
<table xmlns="http://schemas.openxmlformats.org/spreadsheetml/2006/main" id="31" name="Program158" displayName="Program158" ref="A366:N382" totalsRowCount="1" headerRowDxfId="8962" dataDxfId="8960" totalsRowDxfId="8958" headerRowBorderDxfId="8961" tableBorderDxfId="8959" totalsRowBorderDxfId="8957">
  <autoFilter ref="A366:N381"/>
  <tableColumns count="14">
    <tableColumn id="1" name="(A)_x000a_Program Name" totalsRowLabel="Total Program 158" dataDxfId="8956" totalsRowDxfId="8955"/>
    <tableColumn id="2" name="(B)_x000a_Fiscal _x000a_Year" totalsRowLabel="N/A" dataDxfId="8954" totalsRowDxfId="8953"/>
    <tableColumn id="3" name="(C)_x000a_Program_x000a_Costs" totalsRowFunction="sum" dataDxfId="8952" totalsRowDxfId="8951"/>
    <tableColumn id="4" name="(D)_x000a_Prior Period Adjustments" totalsRowFunction="sum" dataDxfId="8950" totalsRowDxfId="8949"/>
    <tableColumn id="5" name="(E)_x000a_Current Period Desk _x000a_Reviews" totalsRowFunction="sum" dataDxfId="8948" totalsRowDxfId="8947"/>
    <tableColumn id="6" name="(F)_x000a_Current Period _x000a_Final _x000a_Audits" totalsRowFunction="sum" dataDxfId="8946" totalsRowDxfId="8945"/>
    <tableColumn id="7" name="(G)_x000a_Current Period _x000a_Other Adjustments" totalsRowFunction="sum" dataDxfId="8944" totalsRowDxfId="8943"/>
    <tableColumn id="8" name="(H)_x000a_Net Program Costs_x000a_Sum (C through G)" totalsRowFunction="sum" dataDxfId="8942" totalsRowDxfId="8941"/>
    <tableColumn id="9" name="(I)_x000a_Payments_x000a_ and Offsets" totalsRowFunction="sum" dataDxfId="8940" totalsRowDxfId="8939"/>
    <tableColumn id="10" name="(J)_x000a_Accounts Payable Balance_x000a_(H + I)" totalsRowFunction="sum" dataDxfId="8938" totalsRowDxfId="8937"/>
    <tableColumn id="11" name="(K)_x000a_Established _x000a_Accounts Receivable" totalsRowFunction="sum" dataDxfId="8936" totalsRowDxfId="8935"/>
    <tableColumn id="12" name="(L)_x000a_Recovered_x000a_ Accounts Receivable" totalsRowFunction="sum" dataDxfId="8934" totalsRowDxfId="8933"/>
    <tableColumn id="13" name="(M)_x000a_Accounts Receivable Balance_x000a_(K + L)" totalsRowFunction="sum" dataDxfId="8932" totalsRowDxfId="8931"/>
    <tableColumn id="14" name="(N)_x000a_Net Balance_x000a_(J minus M)" totalsRowFunction="sum" dataDxfId="8930" totalsRowDxfId="89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2.xml><?xml version="1.0" encoding="utf-8"?>
<table xmlns="http://schemas.openxmlformats.org/spreadsheetml/2006/main" id="32" name="Program13" displayName="Program13" ref="A384:N415" totalsRowCount="1" headerRowDxfId="8928" dataDxfId="8926" totalsRowDxfId="8924" headerRowBorderDxfId="8927" tableBorderDxfId="8925" totalsRowBorderDxfId="8923">
  <autoFilter ref="A384:N414"/>
  <tableColumns count="14">
    <tableColumn id="1" name="(A)_x000a_Program Name" totalsRowLabel="Total Program 13" dataDxfId="8922" totalsRowDxfId="8921"/>
    <tableColumn id="2" name="(B)_x000a_Fiscal _x000a_Year" totalsRowLabel="N/A" dataDxfId="8920" totalsRowDxfId="8919"/>
    <tableColumn id="3" name="(C)_x000a_Program_x000a_Costs" totalsRowFunction="sum" dataDxfId="8918" totalsRowDxfId="8917"/>
    <tableColumn id="4" name="(D)_x000a_Prior Period Adjustments" totalsRowFunction="sum" dataDxfId="8916" totalsRowDxfId="8915"/>
    <tableColumn id="5" name="(E)_x000a_Current Period Desk _x000a_Reviews" totalsRowFunction="sum" dataDxfId="8914" totalsRowDxfId="8913"/>
    <tableColumn id="6" name="(F)_x000a_Current Period _x000a_Final _x000a_Audits" totalsRowFunction="sum" dataDxfId="8912" totalsRowDxfId="8911"/>
    <tableColumn id="7" name="(G)_x000a_Current Period _x000a_Other Adjustments" totalsRowFunction="sum" dataDxfId="8910" totalsRowDxfId="8909"/>
    <tableColumn id="8" name="(H)_x000a_Net Program Costs_x000a_Sum (C through G)" totalsRowFunction="sum" dataDxfId="8908" totalsRowDxfId="8907"/>
    <tableColumn id="9" name="(I)_x000a_Payments_x000a_ and Offsets" totalsRowFunction="sum" dataDxfId="8906" totalsRowDxfId="8905"/>
    <tableColumn id="10" name="(J)_x000a_Accounts Payable Balance_x000a_(H + I)" totalsRowFunction="sum" dataDxfId="8904" totalsRowDxfId="8903"/>
    <tableColumn id="11" name="(K)_x000a_Established _x000a_Accounts Receivable" totalsRowFunction="sum" dataDxfId="8902" totalsRowDxfId="8901"/>
    <tableColumn id="12" name="(L)_x000a_Recovered_x000a_ Accounts Receivable" totalsRowFunction="sum" dataDxfId="8900" totalsRowDxfId="8899"/>
    <tableColumn id="13" name="(M)_x000a_Accounts Receivable Balance_x000a_(K + L)" totalsRowFunction="sum" dataDxfId="8898" totalsRowDxfId="8897"/>
    <tableColumn id="14" name="(N)_x000a_Net Balance_x000a_(J minus M)" totalsRowFunction="sum" dataDxfId="8896" totalsRowDxfId="889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3.xml><?xml version="1.0" encoding="utf-8"?>
<table xmlns="http://schemas.openxmlformats.org/spreadsheetml/2006/main" id="33" name="Program62" displayName="Program62" ref="A417:N421" totalsRowCount="1" headerRowDxfId="8894" dataDxfId="8892" totalsRowDxfId="8890" headerRowBorderDxfId="8893" tableBorderDxfId="8891" totalsRowBorderDxfId="8889">
  <autoFilter ref="A417:N420"/>
  <tableColumns count="14">
    <tableColumn id="1" name="(A)_x000a_Program Name" totalsRowLabel="Total Program 62" dataDxfId="8888" totalsRowDxfId="8887"/>
    <tableColumn id="2" name="(B)_x000a_Fiscal _x000a_Year" totalsRowLabel="N/A" dataDxfId="8886" totalsRowDxfId="8885"/>
    <tableColumn id="3" name="(C)_x000a_Program_x000a_Costs" totalsRowFunction="sum" dataDxfId="8884" totalsRowDxfId="8883"/>
    <tableColumn id="4" name="(D)_x000a_Prior Period Adjustments" totalsRowFunction="sum" dataDxfId="8882" totalsRowDxfId="8881"/>
    <tableColumn id="5" name="(E)_x000a_Current Period Desk _x000a_Reviews" totalsRowFunction="sum" dataDxfId="8880" totalsRowDxfId="8879"/>
    <tableColumn id="6" name="(F)_x000a_Current Period _x000a_Final _x000a_Audits" totalsRowFunction="sum" dataDxfId="8878" totalsRowDxfId="8877"/>
    <tableColumn id="7" name="(G)_x000a_Current Period _x000a_Other Adjustments" totalsRowFunction="sum" dataDxfId="8876" totalsRowDxfId="8875"/>
    <tableColumn id="8" name="(H)_x000a_Net Program Costs_x000a_Sum (C through G)" totalsRowFunction="sum" dataDxfId="8874" totalsRowDxfId="8873"/>
    <tableColumn id="9" name="(I)_x000a_Payments_x000a_ and Offsets" totalsRowFunction="sum" dataDxfId="8872" totalsRowDxfId="8871"/>
    <tableColumn id="10" name="(J)_x000a_Accounts Payable Balance_x000a_(H + I)" totalsRowFunction="sum" dataDxfId="8870" totalsRowDxfId="8869"/>
    <tableColumn id="11" name="(K)_x000a_Established _x000a_Accounts Receivable" totalsRowFunction="sum" dataDxfId="8868" totalsRowDxfId="8867"/>
    <tableColumn id="12" name="(L)_x000a_Recovered_x000a_ Accounts Receivable" totalsRowFunction="sum" dataDxfId="8866" totalsRowDxfId="8865"/>
    <tableColumn id="13" name="(M)_x000a_Accounts Receivable Balance_x000a_(K + L)" totalsRowFunction="sum" dataDxfId="8864" totalsRowDxfId="8863"/>
    <tableColumn id="14" name="(N)_x000a_Net Balance_x000a_(J minus M)" totalsRowFunction="sum" dataDxfId="8862" totalsRowDxfId="886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4.xml><?xml version="1.0" encoding="utf-8"?>
<table xmlns="http://schemas.openxmlformats.org/spreadsheetml/2006/main" id="34" name="Program87" displayName="Program87" ref="A423:N444" totalsRowCount="1" headerRowDxfId="8860" dataDxfId="8858" totalsRowDxfId="8856" headerRowBorderDxfId="8859" tableBorderDxfId="8857" totalsRowBorderDxfId="8855">
  <autoFilter ref="A423:N443"/>
  <tableColumns count="14">
    <tableColumn id="1" name="(A)_x000a_Program Name" totalsRowLabel="Total Program 87" dataDxfId="8854" totalsRowDxfId="8853"/>
    <tableColumn id="2" name="(B)_x000a_Fiscal _x000a_Year" totalsRowLabel="N/A" dataDxfId="8852" totalsRowDxfId="8851"/>
    <tableColumn id="3" name="(C)_x000a_Program_x000a_Costs" totalsRowFunction="sum" dataDxfId="8850" totalsRowDxfId="8849"/>
    <tableColumn id="4" name="(D)_x000a_Prior Period Adjustments" totalsRowFunction="sum" dataDxfId="8848" totalsRowDxfId="8847"/>
    <tableColumn id="5" name="(E)_x000a_Current Period Desk _x000a_Reviews" totalsRowFunction="sum" dataDxfId="8846" totalsRowDxfId="8845"/>
    <tableColumn id="6" name="(F)_x000a_Current Period _x000a_Final _x000a_Audits" totalsRowFunction="sum" dataDxfId="8844" totalsRowDxfId="8843"/>
    <tableColumn id="7" name="(G)_x000a_Current Period _x000a_Other Adjustments" totalsRowFunction="sum" dataDxfId="8842" totalsRowDxfId="8841"/>
    <tableColumn id="8" name="(H)_x000a_Net Program Costs_x000a_Sum (C through G)" totalsRowFunction="sum" dataDxfId="8840" totalsRowDxfId="8839"/>
    <tableColumn id="9" name="(I)_x000a_Payments_x000a_ and Offsets" totalsRowFunction="sum" dataDxfId="8838" totalsRowDxfId="8837"/>
    <tableColumn id="10" name="(J)_x000a_Accounts Payable Balance_x000a_(H + I)" totalsRowFunction="sum" dataDxfId="8836" totalsRowDxfId="8835"/>
    <tableColumn id="11" name="(K)_x000a_Established _x000a_Accounts Receivable" totalsRowFunction="sum" dataDxfId="8834" totalsRowDxfId="8833"/>
    <tableColumn id="12" name="(L)_x000a_Recovered_x000a_ Accounts Receivable" totalsRowFunction="sum" dataDxfId="8832" totalsRowDxfId="8831"/>
    <tableColumn id="13" name="(M)_x000a_Accounts Receivable Balance_x000a_(K + L)" totalsRowFunction="sum" dataDxfId="8830" totalsRowDxfId="8829"/>
    <tableColumn id="14" name="(N)_x000a_Net Balance_x000a_(J minus M)" totalsRowFunction="sum" dataDxfId="8828" totalsRowDxfId="882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5.xml><?xml version="1.0" encoding="utf-8"?>
<table xmlns="http://schemas.openxmlformats.org/spreadsheetml/2006/main" id="35" name="Program143" displayName="Program143" ref="A446:N448" totalsRowCount="1" headerRowDxfId="8826" dataDxfId="8824" totalsRowDxfId="8822" headerRowBorderDxfId="8825" tableBorderDxfId="8823" totalsRowBorderDxfId="8821">
  <autoFilter ref="A446:N447"/>
  <tableColumns count="14">
    <tableColumn id="1" name="(A)_x000a_Program Name" totalsRowLabel="Total Program 143" dataDxfId="8820" totalsRowDxfId="8819"/>
    <tableColumn id="2" name="(B)_x000a_Fiscal _x000a_Year" totalsRowLabel="N/A" dataDxfId="8818" totalsRowDxfId="8817"/>
    <tableColumn id="3" name="(C)_x000a_Program_x000a_Costs" totalsRowFunction="sum" dataDxfId="8816" totalsRowDxfId="8815">
      <calculatedColumnFormula>SUBTOTAL(9,C446:C446)</calculatedColumnFormula>
    </tableColumn>
    <tableColumn id="4" name="(D)_x000a_Prior Period Adjustments" totalsRowFunction="sum" dataDxfId="8814" totalsRowDxfId="8813">
      <calculatedColumnFormula>SUBTOTAL(9,D446:D446)</calculatedColumnFormula>
    </tableColumn>
    <tableColumn id="5" name="(E)_x000a_Current Period Desk _x000a_Reviews" totalsRowFunction="sum" dataDxfId="8812" totalsRowDxfId="8811">
      <calculatedColumnFormula>SUBTOTAL(9,E446:E446)</calculatedColumnFormula>
    </tableColumn>
    <tableColumn id="6" name="(F)_x000a_Current Period _x000a_Final _x000a_Audits" totalsRowFunction="sum" dataDxfId="8810" totalsRowDxfId="8809">
      <calculatedColumnFormula>SUBTOTAL(9,F446:F446)</calculatedColumnFormula>
    </tableColumn>
    <tableColumn id="7" name="(G)_x000a_Current Period _x000a_Other Adjustments" totalsRowFunction="sum" dataDxfId="8808" totalsRowDxfId="8807">
      <calculatedColumnFormula>SUBTOTAL(9,G446:G446)</calculatedColumnFormula>
    </tableColumn>
    <tableColumn id="8" name="(H)_x000a_Net Program Costs_x000a_Sum (C through G)" totalsRowFunction="sum" dataDxfId="8806" totalsRowDxfId="8805">
      <calculatedColumnFormula>SUBTOTAL(9,H446:H446)</calculatedColumnFormula>
    </tableColumn>
    <tableColumn id="9" name="(I)_x000a_Payments_x000a_ and Offsets" totalsRowFunction="sum" dataDxfId="8804" totalsRowDxfId="8803">
      <calculatedColumnFormula>SUBTOTAL(9,I446:I446)</calculatedColumnFormula>
    </tableColumn>
    <tableColumn id="10" name="(J)_x000a_Accounts Payable Balance_x000a_(H + I)" totalsRowFunction="sum" dataDxfId="8802" totalsRowDxfId="8801">
      <calculatedColumnFormula>SUBTOTAL(9,J446:J446)</calculatedColumnFormula>
    </tableColumn>
    <tableColumn id="11" name="(K)_x000a_Established _x000a_Accounts Receivable" totalsRowFunction="sum" dataDxfId="8800" totalsRowDxfId="8799">
      <calculatedColumnFormula>SUBTOTAL(9,K446:K446)</calculatedColumnFormula>
    </tableColumn>
    <tableColumn id="12" name="(L)_x000a_Recovered_x000a_ Accounts Receivable" totalsRowFunction="sum" dataDxfId="8798" totalsRowDxfId="8797">
      <calculatedColumnFormula>SUBTOTAL(9,L446:L446)</calculatedColumnFormula>
    </tableColumn>
    <tableColumn id="13" name="(M)_x000a_Accounts Receivable Balance_x000a_(K + L)" totalsRowFunction="sum" dataDxfId="8796" totalsRowDxfId="8795">
      <calculatedColumnFormula>SUBTOTAL(9,M446:M446)</calculatedColumnFormula>
    </tableColumn>
    <tableColumn id="14" name="(N)_x000a_Net Balance_x000a_(J minus M)" totalsRowFunction="sum" dataDxfId="8794" totalsRowDxfId="8793">
      <calculatedColumnFormula>SUBTOTAL(9,N446:N446)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6.xml><?xml version="1.0" encoding="utf-8"?>
<table xmlns="http://schemas.openxmlformats.org/spreadsheetml/2006/main" id="36" name="Program266" displayName="Program266" ref="A450:N459" totalsRowCount="1" headerRowDxfId="8792" dataDxfId="8790" totalsRowDxfId="8788" headerRowBorderDxfId="8791" tableBorderDxfId="8789" totalsRowBorderDxfId="8787">
  <autoFilter ref="A450:N458"/>
  <tableColumns count="14">
    <tableColumn id="1" name="(A)_x000a_Program Name" totalsRowLabel="Total Program 266" dataDxfId="8786" totalsRowDxfId="8785"/>
    <tableColumn id="2" name="(B)_x000a_Fiscal _x000a_Year" totalsRowLabel="N/A" dataDxfId="8784" totalsRowDxfId="8783"/>
    <tableColumn id="3" name="(C)_x000a_Program_x000a_Costs" totalsRowFunction="sum" dataDxfId="8782" totalsRowDxfId="8781"/>
    <tableColumn id="4" name="(D)_x000a_Prior Period Adjustments" totalsRowFunction="sum" dataDxfId="8780" totalsRowDxfId="8779"/>
    <tableColumn id="5" name="(E)_x000a_Current Period Desk _x000a_Reviews" totalsRowFunction="sum" dataDxfId="8778" totalsRowDxfId="8777"/>
    <tableColumn id="6" name="(F)_x000a_Current Period _x000a_Final _x000a_Audits" totalsRowFunction="sum" dataDxfId="8776" totalsRowDxfId="8775"/>
    <tableColumn id="7" name="(G)_x000a_Current Period _x000a_Other Adjustments" totalsRowFunction="sum" dataDxfId="8774" totalsRowDxfId="8773"/>
    <tableColumn id="8" name="(H)_x000a_Net Program Costs_x000a_Sum (C through G)" totalsRowFunction="sum" dataDxfId="8772" totalsRowDxfId="8771"/>
    <tableColumn id="9" name="(I)_x000a_Payments_x000a_ and Offsets" totalsRowFunction="sum" dataDxfId="8770" totalsRowDxfId="8769"/>
    <tableColumn id="10" name="(J)_x000a_Accounts Payable Balance_x000a_(H + I)" totalsRowFunction="sum" dataDxfId="8768" totalsRowDxfId="8767"/>
    <tableColumn id="11" name="(K)_x000a_Established _x000a_Accounts Receivable" totalsRowFunction="sum" dataDxfId="8766" totalsRowDxfId="8765"/>
    <tableColumn id="12" name="(L)_x000a_Recovered_x000a_ Accounts Receivable" totalsRowFunction="sum" dataDxfId="8764" totalsRowDxfId="8763"/>
    <tableColumn id="13" name="(M)_x000a_Accounts Receivable Balance_x000a_(K + L)" totalsRowFunction="sum" dataDxfId="8762" totalsRowDxfId="8761"/>
    <tableColumn id="14" name="(N)_x000a_Net Balance_x000a_(J minus M)" totalsRowFunction="sum" dataDxfId="8760" totalsRowDxfId="875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7.xml><?xml version="1.0" encoding="utf-8"?>
<table xmlns="http://schemas.openxmlformats.org/spreadsheetml/2006/main" id="37" name="Program167" displayName="Program167" ref="A461:N486" totalsRowCount="1" headerRowDxfId="8758" dataDxfId="8756" totalsRowDxfId="8754" headerRowBorderDxfId="8757" tableBorderDxfId="8755" totalsRowBorderDxfId="8753">
  <autoFilter ref="A461:N485"/>
  <tableColumns count="14">
    <tableColumn id="1" name="(A)_x000a_Program Name" totalsRowLabel="Total Program 167" dataDxfId="8752" totalsRowDxfId="8751"/>
    <tableColumn id="2" name="(B)_x000a_Fiscal _x000a_Year" totalsRowLabel="N/A" dataDxfId="8750" totalsRowDxfId="8749"/>
    <tableColumn id="3" name="(C)_x000a_Program_x000a_Costs" totalsRowFunction="sum" dataDxfId="8748" totalsRowDxfId="8747"/>
    <tableColumn id="4" name="(D)_x000a_Prior Period Adjustments" totalsRowFunction="sum" dataDxfId="8746" totalsRowDxfId="8745"/>
    <tableColumn id="5" name="(E)_x000a_Current Period Desk _x000a_Reviews" totalsRowFunction="sum" dataDxfId="8744" totalsRowDxfId="8743"/>
    <tableColumn id="6" name="(F)_x000a_Current Period _x000a_Final _x000a_Audits" totalsRowFunction="sum" dataDxfId="8742" totalsRowDxfId="8741"/>
    <tableColumn id="7" name="(G)_x000a_Current Period _x000a_Other Adjustments" totalsRowFunction="sum" dataDxfId="8740" totalsRowDxfId="8739"/>
    <tableColumn id="8" name="(H)_x000a_Net Program Costs_x000a_Sum (C through G)" totalsRowFunction="sum" dataDxfId="8738" totalsRowDxfId="8737"/>
    <tableColumn id="9" name="(I)_x000a_Payments_x000a_ and Offsets" totalsRowFunction="sum" dataDxfId="8736" totalsRowDxfId="8735"/>
    <tableColumn id="10" name="(J)_x000a_Accounts Payable Balance_x000a_(H + I)" totalsRowFunction="sum" dataDxfId="8734" totalsRowDxfId="8733"/>
    <tableColumn id="11" name="(K)_x000a_Established _x000a_Accounts Receivable" totalsRowFunction="sum" dataDxfId="8732" totalsRowDxfId="8731"/>
    <tableColumn id="12" name="(L)_x000a_Recovered_x000a_ Accounts Receivable" totalsRowFunction="sum" dataDxfId="8730" totalsRowDxfId="8729"/>
    <tableColumn id="13" name="(M)_x000a_Accounts Receivable Balance_x000a_(K + L)" totalsRowFunction="sum" dataDxfId="8728" totalsRowDxfId="8727"/>
    <tableColumn id="14" name="(N)_x000a_Net Balance_x000a_(J minus M)" totalsRowFunction="sum" dataDxfId="8726" totalsRowDxfId="872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8.xml><?xml version="1.0" encoding="utf-8"?>
<table xmlns="http://schemas.openxmlformats.org/spreadsheetml/2006/main" id="38" name="Program274" displayName="Program274" ref="A488:N510" totalsRowCount="1" headerRowDxfId="8724" dataDxfId="8722" totalsRowDxfId="8720" headerRowBorderDxfId="8723" tableBorderDxfId="8721" totalsRowBorderDxfId="8719">
  <autoFilter ref="A488:N509"/>
  <tableColumns count="14">
    <tableColumn id="1" name="(A)_x000a_Program Name" totalsRowLabel="Total Program 274" dataDxfId="8718" totalsRowDxfId="8717"/>
    <tableColumn id="2" name="(B)_x000a_Fiscal _x000a_Year" totalsRowLabel="N/A" dataDxfId="8716" totalsRowDxfId="8715"/>
    <tableColumn id="3" name="(C)_x000a_Program_x000a_Costs" totalsRowFunction="sum" dataDxfId="8714" totalsRowDxfId="8713"/>
    <tableColumn id="4" name="(D)_x000a_Prior Period Adjustments" totalsRowFunction="sum" dataDxfId="8712" totalsRowDxfId="8711"/>
    <tableColumn id="5" name="(E)_x000a_Current Period Desk _x000a_Reviews" totalsRowFunction="sum" dataDxfId="8710" totalsRowDxfId="8709"/>
    <tableColumn id="6" name="(F)_x000a_Current Period _x000a_Final _x000a_Audits" totalsRowFunction="sum" dataDxfId="8708" totalsRowDxfId="8707"/>
    <tableColumn id="7" name="(G)_x000a_Current Period _x000a_Other Adjustments" totalsRowFunction="sum" dataDxfId="8706" totalsRowDxfId="8705"/>
    <tableColumn id="8" name="(H)_x000a_Net Program Costs_x000a_Sum (C through G)" totalsRowFunction="sum" dataDxfId="8704" totalsRowDxfId="8703"/>
    <tableColumn id="9" name="(I)_x000a_Payments_x000a_ and Offsets" totalsRowFunction="sum" dataDxfId="8702" totalsRowDxfId="8701"/>
    <tableColumn id="10" name="(J)_x000a_Accounts Payable Balance_x000a_(H + I)" totalsRowFunction="sum" dataDxfId="8700" totalsRowDxfId="8699"/>
    <tableColumn id="11" name="(K)_x000a_Established _x000a_Accounts Receivable" totalsRowFunction="sum" dataDxfId="8698" totalsRowDxfId="8697"/>
    <tableColumn id="12" name="(L)_x000a_Recovered_x000a_ Accounts Receivable" totalsRowFunction="sum" dataDxfId="8696" totalsRowDxfId="8695"/>
    <tableColumn id="13" name="(M)_x000a_Accounts Receivable Balance_x000a_(K + L)" totalsRowFunction="sum" dataDxfId="8694" totalsRowDxfId="8693"/>
    <tableColumn id="14" name="(N)_x000a_Net Balance_x000a_(J minus M)" totalsRowFunction="sum" dataDxfId="8692" totalsRowDxfId="86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39.xml><?xml version="1.0" encoding="utf-8"?>
<table xmlns="http://schemas.openxmlformats.org/spreadsheetml/2006/main" id="39" name="Program322" displayName="Program322" ref="A512:N525" totalsRowCount="1" headerRowDxfId="8690" dataDxfId="8688" totalsRowDxfId="8686" headerRowBorderDxfId="8689" tableBorderDxfId="8687" totalsRowBorderDxfId="8685">
  <autoFilter ref="A512:N524"/>
  <tableColumns count="14">
    <tableColumn id="1" name="(A)_x000a_Program Name" totalsRowLabel="Total Program 322" dataDxfId="8684" totalsRowDxfId="8683"/>
    <tableColumn id="2" name="(B)_x000a_Fiscal _x000a_Year" totalsRowLabel="N/A" dataDxfId="8682" totalsRowDxfId="8681"/>
    <tableColumn id="3" name="(C)_x000a_Program_x000a_Costs" totalsRowFunction="sum" dataDxfId="8680" totalsRowDxfId="8679"/>
    <tableColumn id="4" name="(D)_x000a_Prior Period Adjustments" totalsRowFunction="sum" dataDxfId="8678" totalsRowDxfId="8677"/>
    <tableColumn id="5" name="(E)_x000a_Current Period Desk _x000a_Reviews" totalsRowFunction="sum" dataDxfId="8676" totalsRowDxfId="8675"/>
    <tableColumn id="6" name="(F)_x000a_Current Period _x000a_Final _x000a_Audits" totalsRowFunction="sum" dataDxfId="8674" totalsRowDxfId="8673"/>
    <tableColumn id="7" name="(G)_x000a_Current Period _x000a_Other Adjustments" totalsRowFunction="sum" dataDxfId="8672" totalsRowDxfId="8671"/>
    <tableColumn id="8" name="(H)_x000a_Net Program Costs_x000a_Sum (C through G)" totalsRowFunction="sum" dataDxfId="8670" totalsRowDxfId="8669"/>
    <tableColumn id="9" name="(I)_x000a_Payments_x000a_ and Offsets" totalsRowFunction="sum" dataDxfId="8668" totalsRowDxfId="8667"/>
    <tableColumn id="10" name="(J)_x000a_Accounts Payable Balance_x000a_(H + I)" totalsRowFunction="sum" dataDxfId="8666" totalsRowDxfId="8665"/>
    <tableColumn id="11" name="(K)_x000a_Established _x000a_Accounts Receivable" totalsRowFunction="sum" dataDxfId="8664" totalsRowDxfId="8663"/>
    <tableColumn id="12" name="(L)_x000a_Recovered_x000a_ Accounts Receivable" totalsRowFunction="sum" dataDxfId="8662" totalsRowDxfId="8661"/>
    <tableColumn id="13" name="(M)_x000a_Accounts Receivable Balance_x000a_(K + L)" totalsRowFunction="sum" dataDxfId="8660" totalsRowDxfId="8659"/>
    <tableColumn id="14" name="(N)_x000a_Net Balance_x000a_(J minus M)" totalsRowFunction="sum" dataDxfId="8658" totalsRowDxfId="865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.xml><?xml version="1.0" encoding="utf-8"?>
<table xmlns="http://schemas.openxmlformats.org/spreadsheetml/2006/main" id="5" name="AccountsPayable" displayName="AccountsPayable" ref="A18:F21" totalsRowCount="1" headerRowDxfId="9819" dataDxfId="9817" totalsRowDxfId="9815" headerRowBorderDxfId="9818" tableBorderDxfId="9816" totalsRowBorderDxfId="9814">
  <autoFilter ref="A18:F20"/>
  <tableColumns count="6">
    <tableColumn id="1" name="Program Costs, Audit Adjustments and Balances" totalsRowLabel="Total Accounts Payable Balance" dataDxfId="9813" totalsRowDxfId="5"/>
    <tableColumn id="2" name="Comments" totalsRowLabel="N/A" dataDxfId="9812" totalsRowDxfId="4"/>
    <tableColumn id="3" name="Local Agencies" totalsRowFunction="sum" dataDxfId="9811" totalsRowDxfId="3"/>
    <tableColumn id="4" name="School Districts" totalsRowFunction="sum" dataDxfId="9810" totalsRowDxfId="2"/>
    <tableColumn id="5" name="Community College Districts" totalsRowFunction="sum" dataDxfId="9809" totalsRowDxfId="1"/>
    <tableColumn id="6" name="Grand Total" totalsRowFunction="sum" dataDxfId="9808" totalsRowDxfId="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40.xml><?xml version="1.0" encoding="utf-8"?>
<table xmlns="http://schemas.openxmlformats.org/spreadsheetml/2006/main" id="40" name="Program16" displayName="Program16" ref="A527:N534" totalsRowCount="1" headerRowDxfId="8656" dataDxfId="8654" totalsRowDxfId="8652" headerRowBorderDxfId="8655" tableBorderDxfId="8653" totalsRowBorderDxfId="8651">
  <autoFilter ref="A527:N533"/>
  <tableColumns count="14">
    <tableColumn id="1" name="(A)_x000a_Program Name" totalsRowLabel="Total Program 16" dataDxfId="8650" totalsRowDxfId="8649"/>
    <tableColumn id="2" name="(B)_x000a_Fiscal _x000a_Year" totalsRowLabel="N/A" dataDxfId="8648" totalsRowDxfId="8647"/>
    <tableColumn id="3" name="(C)_x000a_Program_x000a_Costs" totalsRowFunction="sum" dataDxfId="8646" totalsRowDxfId="8645"/>
    <tableColumn id="4" name="(D)_x000a_Prior Period Adjustments" totalsRowFunction="sum" dataDxfId="8644" totalsRowDxfId="8643"/>
    <tableColumn id="5" name="(E)_x000a_Current Period Desk _x000a_Reviews" totalsRowFunction="sum" dataDxfId="8642" totalsRowDxfId="8641"/>
    <tableColumn id="6" name="(F)_x000a_Current Period _x000a_Final _x000a_Audits" totalsRowFunction="sum" dataDxfId="8640" totalsRowDxfId="8639"/>
    <tableColumn id="7" name="(G)_x000a_Current Period _x000a_Other Adjustments" totalsRowFunction="sum" dataDxfId="8638" totalsRowDxfId="8637"/>
    <tableColumn id="8" name="(H)_x000a_Net Program Costs_x000a_Sum (C through G)" totalsRowFunction="sum" dataDxfId="8636" totalsRowDxfId="8635"/>
    <tableColumn id="9" name="(I)_x000a_Payments_x000a_ and Offsets" totalsRowFunction="sum" dataDxfId="8634" totalsRowDxfId="8633"/>
    <tableColumn id="10" name="(J)_x000a_Accounts Payable Balance_x000a_(H + I)" totalsRowFunction="sum" dataDxfId="8632" totalsRowDxfId="8631"/>
    <tableColumn id="11" name="(K)_x000a_Established _x000a_Accounts Receivable" totalsRowFunction="sum" dataDxfId="8630" totalsRowDxfId="8629"/>
    <tableColumn id="12" name="(L)_x000a_Recovered_x000a_ Accounts Receivable" totalsRowFunction="sum" dataDxfId="8628" totalsRowDxfId="8627"/>
    <tableColumn id="13" name="(M)_x000a_Accounts Receivable Balance_x000a_(K + L)" totalsRowFunction="sum" dataDxfId="8626" totalsRowDxfId="8625"/>
    <tableColumn id="14" name="(N)_x000a_Net Balance_x000a_(J minus M)" totalsRowFunction="sum" dataDxfId="8624" totalsRowDxfId="862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1.xml><?xml version="1.0" encoding="utf-8"?>
<table xmlns="http://schemas.openxmlformats.org/spreadsheetml/2006/main" id="41" name="Program159" displayName="Program159" ref="A536:N539" totalsRowCount="1" headerRowDxfId="8622" dataDxfId="8620" totalsRowDxfId="8618" headerRowBorderDxfId="8621" tableBorderDxfId="8619" totalsRowBorderDxfId="8617">
  <autoFilter ref="A536:N538"/>
  <tableColumns count="14">
    <tableColumn id="1" name="(A)_x000a_Program Name" totalsRowLabel="Total Program 159" dataDxfId="8616" totalsRowDxfId="8615"/>
    <tableColumn id="2" name="(B)_x000a_Fiscal _x000a_Year" totalsRowLabel="N/A" dataDxfId="8614" totalsRowDxfId="8613"/>
    <tableColumn id="3" name="(C)_x000a_Program_x000a_Costs" totalsRowFunction="sum" dataDxfId="8612" totalsRowDxfId="8611"/>
    <tableColumn id="4" name="(D)_x000a_Prior Period Adjustments" totalsRowFunction="sum" dataDxfId="8610" totalsRowDxfId="8609"/>
    <tableColumn id="5" name="(E)_x000a_Current Period Desk _x000a_Reviews" totalsRowFunction="sum" dataDxfId="8608" totalsRowDxfId="8607"/>
    <tableColumn id="6" name="(F)_x000a_Current Period _x000a_Final _x000a_Audits" totalsRowFunction="sum" dataDxfId="8606" totalsRowDxfId="8605"/>
    <tableColumn id="7" name="(G)_x000a_Current Period _x000a_Other Adjustments" totalsRowFunction="sum" dataDxfId="8604" totalsRowDxfId="8603"/>
    <tableColumn id="8" name="(H)_x000a_Net Program Costs_x000a_Sum (C through G)" totalsRowFunction="sum" dataDxfId="8602" totalsRowDxfId="8601"/>
    <tableColumn id="9" name="(I)_x000a_Payments_x000a_ and Offsets" totalsRowFunction="sum" dataDxfId="8600" totalsRowDxfId="8599"/>
    <tableColumn id="10" name="(J)_x000a_Accounts Payable Balance_x000a_(H + I)" totalsRowFunction="sum" dataDxfId="8598" totalsRowDxfId="8597"/>
    <tableColumn id="11" name="(K)_x000a_Established _x000a_Accounts Receivable" totalsRowFunction="sum" dataDxfId="8596" totalsRowDxfId="8595"/>
    <tableColumn id="12" name="(L)_x000a_Recovered_x000a_ Accounts Receivable" totalsRowFunction="sum" dataDxfId="8594" totalsRowDxfId="8593"/>
    <tableColumn id="13" name="(M)_x000a_Accounts Receivable Balance_x000a_(K + L)" totalsRowFunction="sum" dataDxfId="8592" totalsRowDxfId="8591"/>
    <tableColumn id="14" name="(N)_x000a_Net Balance_x000a_(J minus M)" totalsRowFunction="sum" dataDxfId="8590" totalsRowDxfId="858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2.xml><?xml version="1.0" encoding="utf-8"?>
<table xmlns="http://schemas.openxmlformats.org/spreadsheetml/2006/main" id="42" name="Program15" displayName="Program15" ref="A541:N548" totalsRowCount="1" headerRowDxfId="8588" dataDxfId="8586" totalsRowDxfId="8584" headerRowBorderDxfId="8587" tableBorderDxfId="8585" totalsRowBorderDxfId="8583">
  <autoFilter ref="A541:N547"/>
  <tableColumns count="14">
    <tableColumn id="1" name="(A)_x000a_Program Name" totalsRowLabel="Total Program 15" dataDxfId="8582" totalsRowDxfId="8581"/>
    <tableColumn id="2" name="(B)_x000a_Fiscal _x000a_Year" totalsRowLabel="N/A" dataDxfId="8580" totalsRowDxfId="8579"/>
    <tableColumn id="3" name="(C)_x000a_Program_x000a_Costs" totalsRowFunction="sum" dataDxfId="8578" totalsRowDxfId="8577"/>
    <tableColumn id="4" name="(D)_x000a_Prior Period Adjustments" totalsRowFunction="sum" dataDxfId="8576" totalsRowDxfId="8575"/>
    <tableColumn id="5" name="(E)_x000a_Current Period Desk _x000a_Reviews" totalsRowFunction="sum" dataDxfId="8574" totalsRowDxfId="8573"/>
    <tableColumn id="6" name="(F)_x000a_Current Period _x000a_Final _x000a_Audits" totalsRowFunction="sum" dataDxfId="8572" totalsRowDxfId="8571"/>
    <tableColumn id="7" name="(G)_x000a_Current Period _x000a_Other Adjustments" totalsRowFunction="sum" dataDxfId="8570" totalsRowDxfId="8569"/>
    <tableColumn id="8" name="(H)_x000a_Net Program Costs_x000a_Sum (C through G)" totalsRowFunction="sum" dataDxfId="8568" totalsRowDxfId="8567"/>
    <tableColumn id="9" name="(I)_x000a_Payments_x000a_ and Offsets" totalsRowFunction="sum" dataDxfId="8566" totalsRowDxfId="8565"/>
    <tableColumn id="10" name="(J)_x000a_Accounts Payable Balance_x000a_(H + I)" totalsRowFunction="sum" dataDxfId="8564" totalsRowDxfId="8563"/>
    <tableColumn id="11" name="(K)_x000a_Established _x000a_Accounts Receivable" totalsRowFunction="sum" dataDxfId="8562" totalsRowDxfId="8561"/>
    <tableColumn id="12" name="(L)_x000a_Recovered_x000a_ Accounts Receivable" totalsRowFunction="sum" dataDxfId="8560" totalsRowDxfId="8559"/>
    <tableColumn id="13" name="(M)_x000a_Accounts Receivable Balance_x000a_(K + L)" totalsRowFunction="sum" dataDxfId="8558" totalsRowDxfId="8557"/>
    <tableColumn id="14" name="(N)_x000a_Net Balance_x000a_(J minus M)" totalsRowFunction="sum" dataDxfId="8556" totalsRowDxfId="855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3.xml><?xml version="1.0" encoding="utf-8"?>
<table xmlns="http://schemas.openxmlformats.org/spreadsheetml/2006/main" id="43" name="Program142" displayName="Program142" ref="A550:N557" totalsRowCount="1" headerRowDxfId="8554" dataDxfId="8552" totalsRowDxfId="8550" headerRowBorderDxfId="8553" tableBorderDxfId="8551" totalsRowBorderDxfId="8549">
  <autoFilter ref="A550:N556"/>
  <tableColumns count="14">
    <tableColumn id="1" name="(A)_x000a_Program Name" totalsRowLabel="Total Program 142" dataDxfId="8548" totalsRowDxfId="8547"/>
    <tableColumn id="2" name="(B)_x000a_Fiscal _x000a_Year" totalsRowLabel="N/A" dataDxfId="8546" totalsRowDxfId="8545"/>
    <tableColumn id="3" name="(C)_x000a_Program_x000a_Costs" totalsRowFunction="sum" dataDxfId="8544" totalsRowDxfId="8543"/>
    <tableColumn id="4" name="(D)_x000a_Prior Period Adjustments" totalsRowFunction="sum" dataDxfId="8542" totalsRowDxfId="8541"/>
    <tableColumn id="5" name="(E)_x000a_Current Period Desk _x000a_Reviews" totalsRowFunction="sum" dataDxfId="8540" totalsRowDxfId="8539"/>
    <tableColumn id="6" name="(F)_x000a_Current Period _x000a_Final _x000a_Audits" totalsRowFunction="sum" dataDxfId="8538" totalsRowDxfId="8537"/>
    <tableColumn id="7" name="(G)_x000a_Current Period _x000a_Other Adjustments" totalsRowFunction="sum" dataDxfId="8536" totalsRowDxfId="8535"/>
    <tableColumn id="8" name="(H)_x000a_Net Program Costs_x000a_Sum (C through G)" totalsRowFunction="sum" dataDxfId="8534" totalsRowDxfId="8533"/>
    <tableColumn id="9" name="(I)_x000a_Payments_x000a_ and Offsets" totalsRowFunction="sum" dataDxfId="8532" totalsRowDxfId="8531"/>
    <tableColumn id="10" name="(J)_x000a_Accounts Payable Balance_x000a_(H + I)" totalsRowFunction="sum" dataDxfId="8530" totalsRowDxfId="8529"/>
    <tableColumn id="11" name="(K)_x000a_Established _x000a_Accounts Receivable" totalsRowFunction="sum" dataDxfId="8528" totalsRowDxfId="8527"/>
    <tableColumn id="12" name="(L)_x000a_Recovered_x000a_ Accounts Receivable" totalsRowFunction="sum" dataDxfId="8526" totalsRowDxfId="8525"/>
    <tableColumn id="13" name="(M)_x000a_Accounts Receivable Balance_x000a_(K + L)" totalsRowFunction="sum" dataDxfId="8524" totalsRowDxfId="8523"/>
    <tableColumn id="14" name="(N)_x000a_Net Balance_x000a_(J minus M)" totalsRowFunction="sum" dataDxfId="8522" totalsRowDxfId="852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4.xml><?xml version="1.0" encoding="utf-8"?>
<table xmlns="http://schemas.openxmlformats.org/spreadsheetml/2006/main" id="44" name="Program177" displayName="Program177" ref="A559:N584" totalsRowCount="1" headerRowDxfId="8520" dataDxfId="8518" totalsRowDxfId="8516" headerRowBorderDxfId="8519" tableBorderDxfId="8517" totalsRowBorderDxfId="8515">
  <autoFilter ref="A559:N583"/>
  <tableColumns count="14">
    <tableColumn id="1" name="(A)_x000a_Program Name" totalsRowLabel="Total Program 177" dataDxfId="8514" totalsRowDxfId="8513"/>
    <tableColumn id="2" name="(B)_x000a_Fiscal _x000a_Year" totalsRowLabel="N/A" dataDxfId="8512" totalsRowDxfId="8511"/>
    <tableColumn id="3" name="(C)_x000a_Program_x000a_Costs" totalsRowFunction="sum" dataDxfId="8510" totalsRowDxfId="8509"/>
    <tableColumn id="4" name="(D)_x000a_Prior Period Adjustments" totalsRowFunction="sum" dataDxfId="8508" totalsRowDxfId="8507"/>
    <tableColumn id="5" name="(E)_x000a_Current Period Desk _x000a_Reviews" totalsRowFunction="sum" dataDxfId="8506" totalsRowDxfId="8505"/>
    <tableColumn id="6" name="(F)_x000a_Current Period _x000a_Final _x000a_Audits" totalsRowFunction="sum" dataDxfId="8504" totalsRowDxfId="8503"/>
    <tableColumn id="7" name="(G)_x000a_Current Period _x000a_Other Adjustments" totalsRowFunction="sum" dataDxfId="8502" totalsRowDxfId="8501"/>
    <tableColumn id="8" name="(H)_x000a_Net Program Costs_x000a_Sum (C through G)" totalsRowFunction="sum" dataDxfId="8500" totalsRowDxfId="8499"/>
    <tableColumn id="9" name="(I)_x000a_Payments_x000a_ and Offsets" totalsRowFunction="sum" dataDxfId="8498" totalsRowDxfId="8497"/>
    <tableColumn id="10" name="(J)_x000a_Accounts Payable Balance_x000a_(H + I)" totalsRowFunction="sum" dataDxfId="8496" totalsRowDxfId="8495"/>
    <tableColumn id="11" name="(K)_x000a_Established _x000a_Accounts Receivable" totalsRowFunction="sum" dataDxfId="8494" totalsRowDxfId="8493"/>
    <tableColumn id="12" name="(L)_x000a_Recovered_x000a_ Accounts Receivable" totalsRowFunction="sum" dataDxfId="8492" totalsRowDxfId="8491"/>
    <tableColumn id="13" name="(M)_x000a_Accounts Receivable Balance_x000a_(K + L)" totalsRowFunction="sum" dataDxfId="8490" totalsRowDxfId="8489"/>
    <tableColumn id="14" name="(N)_x000a_Net Balance_x000a_(J minus M)" totalsRowFunction="sum" dataDxfId="8488" totalsRowDxfId="848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5.xml><?xml version="1.0" encoding="utf-8"?>
<table xmlns="http://schemas.openxmlformats.org/spreadsheetml/2006/main" id="45" name="Program205" displayName="Program205" ref="A586:N593" totalsRowCount="1" headerRowDxfId="8486" dataDxfId="8484" totalsRowDxfId="8482" headerRowBorderDxfId="8485" tableBorderDxfId="8483" totalsRowBorderDxfId="8481">
  <autoFilter ref="A586:N592"/>
  <tableColumns count="14">
    <tableColumn id="1" name="(A)_x000a_Program Name" totalsRowLabel="Total Program 205" dataDxfId="8480" totalsRowDxfId="8479"/>
    <tableColumn id="2" name="(B)_x000a_Fiscal _x000a_Year" totalsRowLabel="N/A" dataDxfId="8478" totalsRowDxfId="8477"/>
    <tableColumn id="3" name="(C)_x000a_Program_x000a_Costs" totalsRowFunction="sum" dataDxfId="8476" totalsRowDxfId="8475"/>
    <tableColumn id="4" name="(D)_x000a_Prior Period Adjustments" totalsRowFunction="sum" dataDxfId="8474" totalsRowDxfId="8473"/>
    <tableColumn id="5" name="(E)_x000a_Current Period Desk _x000a_Reviews" totalsRowFunction="sum" dataDxfId="8472" totalsRowDxfId="8471"/>
    <tableColumn id="6" name="(F)_x000a_Current Period _x000a_Final _x000a_Audits" totalsRowFunction="sum" dataDxfId="8470" totalsRowDxfId="8469"/>
    <tableColumn id="7" name="(G)_x000a_Current Period _x000a_Other Adjustments" totalsRowFunction="sum" dataDxfId="8468" totalsRowDxfId="8467"/>
    <tableColumn id="8" name="(H)_x000a_Net Program Costs_x000a_Sum (C through G)" totalsRowFunction="sum" dataDxfId="8466" totalsRowDxfId="8465"/>
    <tableColumn id="9" name="(I)_x000a_Payments_x000a_ and Offsets" totalsRowFunction="sum" dataDxfId="8464" totalsRowDxfId="8463"/>
    <tableColumn id="10" name="(J)_x000a_Accounts Payable Balance_x000a_(H + I)" totalsRowFunction="sum" dataDxfId="8462" totalsRowDxfId="8461"/>
    <tableColumn id="11" name="(K)_x000a_Established _x000a_Accounts Receivable" totalsRowFunction="sum" dataDxfId="8460" totalsRowDxfId="8459"/>
    <tableColumn id="12" name="(L)_x000a_Recovered_x000a_ Accounts Receivable" totalsRowFunction="sum" dataDxfId="8458" totalsRowDxfId="8457"/>
    <tableColumn id="13" name="(M)_x000a_Accounts Receivable Balance_x000a_(K + L)" totalsRowFunction="sum" dataDxfId="8456" totalsRowDxfId="8455"/>
    <tableColumn id="14" name="(N)_x000a_Net Balance_x000a_(J minus M)" totalsRowFunction="sum" dataDxfId="8454" totalsRowDxfId="845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6.xml><?xml version="1.0" encoding="utf-8"?>
<table xmlns="http://schemas.openxmlformats.org/spreadsheetml/2006/main" id="46" name="Program17" displayName="Program17" ref="A595:N598" totalsRowCount="1" headerRowDxfId="8452" dataDxfId="8450" totalsRowDxfId="8448" headerRowBorderDxfId="8451" tableBorderDxfId="8449" totalsRowBorderDxfId="8447">
  <autoFilter ref="A595:N597"/>
  <tableColumns count="14">
    <tableColumn id="1" name="(A)_x000a_Program Name" totalsRowLabel="Total Program 17" dataDxfId="8446" totalsRowDxfId="8445"/>
    <tableColumn id="2" name="(B)_x000a_Fiscal _x000a_Year" totalsRowLabel="N/A" dataDxfId="8444" totalsRowDxfId="8443"/>
    <tableColumn id="3" name="(C)_x000a_Program_x000a_Costs" totalsRowFunction="sum" dataDxfId="8442" totalsRowDxfId="8441"/>
    <tableColumn id="4" name="(D)_x000a_Prior Period Adjustments" totalsRowFunction="sum" dataDxfId="8440" totalsRowDxfId="8439"/>
    <tableColumn id="5" name="(E)_x000a_Current Period Desk _x000a_Reviews" totalsRowFunction="sum" dataDxfId="8438" totalsRowDxfId="8437"/>
    <tableColumn id="6" name="(F)_x000a_Current Period _x000a_Final _x000a_Audits" totalsRowFunction="sum" dataDxfId="8436" totalsRowDxfId="8435"/>
    <tableColumn id="7" name="(G)_x000a_Current Period _x000a_Other Adjustments" totalsRowFunction="sum" dataDxfId="8434" totalsRowDxfId="8433"/>
    <tableColumn id="8" name="(H)_x000a_Net Program Costs_x000a_Sum (C through G)" totalsRowFunction="sum" dataDxfId="8432" totalsRowDxfId="8431"/>
    <tableColumn id="9" name="(I)_x000a_Payments_x000a_ and Offsets" totalsRowFunction="sum" dataDxfId="8430" totalsRowDxfId="8429"/>
    <tableColumn id="10" name="(J)_x000a_Accounts Payable Balance_x000a_(H + I)" totalsRowFunction="sum" dataDxfId="8428" totalsRowDxfId="8427"/>
    <tableColumn id="11" name="(K)_x000a_Established _x000a_Accounts Receivable" totalsRowFunction="sum" dataDxfId="8426" totalsRowDxfId="8425"/>
    <tableColumn id="12" name="(L)_x000a_Recovered_x000a_ Accounts Receivable" totalsRowFunction="sum" dataDxfId="8424" totalsRowDxfId="8423"/>
    <tableColumn id="13" name="(M)_x000a_Accounts Receivable Balance_x000a_(K + L)" totalsRowFunction="sum" dataDxfId="8422" totalsRowDxfId="8421"/>
    <tableColumn id="14" name="(N)_x000a_Net Balance_x000a_(J minus M)" totalsRowFunction="sum" dataDxfId="8420" totalsRowDxfId="841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7.xml><?xml version="1.0" encoding="utf-8"?>
<table xmlns="http://schemas.openxmlformats.org/spreadsheetml/2006/main" id="47" name="Program204" displayName="Program204" ref="A600:N607" totalsRowCount="1" headerRowDxfId="8418" dataDxfId="8416" totalsRowDxfId="8414" headerRowBorderDxfId="8417" tableBorderDxfId="8415" totalsRowBorderDxfId="8413">
  <autoFilter ref="A600:N606"/>
  <tableColumns count="14">
    <tableColumn id="1" name="(A)_x000a_Program Name" totalsRowLabel="Total Program 204" dataDxfId="8412" totalsRowDxfId="8411"/>
    <tableColumn id="2" name="(B)_x000a_Fiscal _x000a_Year" totalsRowLabel="N/A" dataDxfId="8410" totalsRowDxfId="8409"/>
    <tableColumn id="3" name="(C)_x000a_Program_x000a_Costs" totalsRowFunction="sum" dataDxfId="8408" totalsRowDxfId="8407"/>
    <tableColumn id="4" name="(D)_x000a_Prior Period Adjustments" totalsRowFunction="sum" dataDxfId="8406" totalsRowDxfId="8405"/>
    <tableColumn id="5" name="(E)_x000a_Current Period Desk _x000a_Reviews" totalsRowFunction="sum" dataDxfId="8404" totalsRowDxfId="8403"/>
    <tableColumn id="6" name="(F)_x000a_Current Period _x000a_Final _x000a_Audits" totalsRowFunction="sum" dataDxfId="8402" totalsRowDxfId="8401"/>
    <tableColumn id="7" name="(G)_x000a_Current Period _x000a_Other Adjustments" totalsRowFunction="sum" dataDxfId="8400" totalsRowDxfId="8399"/>
    <tableColumn id="8" name="(H)_x000a_Net Program Costs_x000a_Sum (C through G)" totalsRowFunction="sum" dataDxfId="8398" totalsRowDxfId="8397"/>
    <tableColumn id="9" name="(I)_x000a_Payments_x000a_ and Offsets" totalsRowFunction="sum" dataDxfId="8396" totalsRowDxfId="8395"/>
    <tableColumn id="10" name="(J)_x000a_Accounts Payable Balance_x000a_(H + I)" totalsRowFunction="sum" dataDxfId="8394" totalsRowDxfId="8393"/>
    <tableColumn id="11" name="(K)_x000a_Established _x000a_Accounts Receivable" totalsRowFunction="sum" dataDxfId="8392" totalsRowDxfId="8391"/>
    <tableColumn id="12" name="(L)_x000a_Recovered_x000a_ Accounts Receivable" totalsRowFunction="sum" dataDxfId="8390" totalsRowDxfId="8389"/>
    <tableColumn id="13" name="(M)_x000a_Accounts Receivable Balance_x000a_(K + L)" totalsRowFunction="sum" dataDxfId="8388" totalsRowDxfId="8387"/>
    <tableColumn id="14" name="(N)_x000a_Net Balance_x000a_(J minus M)" totalsRowFunction="sum" dataDxfId="8386" totalsRowDxfId="838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8.xml><?xml version="1.0" encoding="utf-8"?>
<table xmlns="http://schemas.openxmlformats.org/spreadsheetml/2006/main" id="48" name="Program257" displayName="Program257" ref="A609:N620" totalsRowCount="1" headerRowDxfId="8384" dataDxfId="8382" totalsRowDxfId="8380" headerRowBorderDxfId="8383" tableBorderDxfId="8381" totalsRowBorderDxfId="8379">
  <autoFilter ref="A609:N619"/>
  <tableColumns count="14">
    <tableColumn id="1" name="(A)_x000a_Program Name" totalsRowLabel="Total Program 257" dataDxfId="8378" totalsRowDxfId="8377"/>
    <tableColumn id="2" name="(B)_x000a_Fiscal _x000a_Year" totalsRowLabel="N/A" dataDxfId="8376" totalsRowDxfId="8375"/>
    <tableColumn id="3" name="(C)_x000a_Program_x000a_Costs" totalsRowFunction="sum" dataDxfId="8374" totalsRowDxfId="8373"/>
    <tableColumn id="4" name="(D)_x000a_Prior Period Adjustments" totalsRowFunction="sum" dataDxfId="8372" totalsRowDxfId="8371"/>
    <tableColumn id="5" name="(E)_x000a_Current Period Desk _x000a_Reviews" totalsRowFunction="sum" dataDxfId="8370" totalsRowDxfId="8369"/>
    <tableColumn id="6" name="(F)_x000a_Current Period _x000a_Final _x000a_Audits" totalsRowFunction="sum" dataDxfId="8368" totalsRowDxfId="8367"/>
    <tableColumn id="7" name="(G)_x000a_Current Period _x000a_Other Adjustments" totalsRowFunction="sum" dataDxfId="8366" totalsRowDxfId="8365"/>
    <tableColumn id="8" name="(H)_x000a_Net Program Costs_x000a_Sum (C through G)" totalsRowFunction="sum" dataDxfId="8364" totalsRowDxfId="8363"/>
    <tableColumn id="9" name="(I)_x000a_Payments_x000a_ and Offsets" totalsRowFunction="sum" dataDxfId="8362" totalsRowDxfId="8361"/>
    <tableColumn id="10" name="(J)_x000a_Accounts Payable Balance_x000a_(H + I)" totalsRowFunction="sum" dataDxfId="8360" totalsRowDxfId="8359"/>
    <tableColumn id="11" name="(K)_x000a_Established _x000a_Accounts Receivable" totalsRowFunction="sum" dataDxfId="8358" totalsRowDxfId="8357"/>
    <tableColumn id="12" name="(L)_x000a_Recovered_x000a_ Accounts Receivable" totalsRowFunction="sum" dataDxfId="8356" totalsRowDxfId="8355"/>
    <tableColumn id="13" name="(M)_x000a_Accounts Receivable Balance_x000a_(K + L)" totalsRowFunction="sum" dataDxfId="8354" totalsRowDxfId="8353"/>
    <tableColumn id="14" name="(N)_x000a_Net Balance_x000a_(J minus M)" totalsRowFunction="sum" dataDxfId="8352" totalsRowDxfId="835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49.xml><?xml version="1.0" encoding="utf-8"?>
<table xmlns="http://schemas.openxmlformats.org/spreadsheetml/2006/main" id="49" name="Program290" displayName="Program290" ref="A622:N624" totalsRowCount="1" headerRowDxfId="8350" dataDxfId="8348" totalsRowDxfId="8346" headerRowBorderDxfId="8349" tableBorderDxfId="8347" totalsRowBorderDxfId="8345">
  <autoFilter ref="A622:N623"/>
  <tableColumns count="14">
    <tableColumn id="1" name="(A)_x000a_Program Name" totalsRowLabel="Total Program 290" dataDxfId="8344" totalsRowDxfId="8343"/>
    <tableColumn id="2" name="(B)_x000a_Fiscal _x000a_Year" totalsRowLabel="N/A" dataDxfId="8342" totalsRowDxfId="8341"/>
    <tableColumn id="3" name="(C)_x000a_Program_x000a_Costs" totalsRowFunction="sum" dataDxfId="8340" totalsRowDxfId="8339">
      <calculatedColumnFormula>SUBTOTAL(9,C622:C622)</calculatedColumnFormula>
    </tableColumn>
    <tableColumn id="4" name="(D)_x000a_Prior Period Adjustments" totalsRowFunction="sum" dataDxfId="8338" totalsRowDxfId="8337">
      <calculatedColumnFormula>SUBTOTAL(9,D622:D622)</calculatedColumnFormula>
    </tableColumn>
    <tableColumn id="5" name="(E)_x000a_Current Period Desk _x000a_Reviews" totalsRowFunction="sum" dataDxfId="8336" totalsRowDxfId="8335">
      <calculatedColumnFormula>SUBTOTAL(9,E622:E622)</calculatedColumnFormula>
    </tableColumn>
    <tableColumn id="6" name="(F)_x000a_Current Period _x000a_Final _x000a_Audits" totalsRowFunction="sum" dataDxfId="8334" totalsRowDxfId="8333">
      <calculatedColumnFormula>SUBTOTAL(9,F622:F622)</calculatedColumnFormula>
    </tableColumn>
    <tableColumn id="7" name="(G)_x000a_Current Period _x000a_Other Adjustments" totalsRowFunction="sum" dataDxfId="8332" totalsRowDxfId="8331">
      <calculatedColumnFormula>SUBTOTAL(9,G622:G622)</calculatedColumnFormula>
    </tableColumn>
    <tableColumn id="8" name="(H)_x000a_Net Program Costs_x000a_Sum (C through G)" totalsRowFunction="sum" dataDxfId="8330" totalsRowDxfId="8329">
      <calculatedColumnFormula>SUBTOTAL(9,H622:H622)</calculatedColumnFormula>
    </tableColumn>
    <tableColumn id="9" name="(I)_x000a_Payments_x000a_ and Offsets" totalsRowFunction="sum" dataDxfId="8328" totalsRowDxfId="8327">
      <calculatedColumnFormula>SUBTOTAL(9,I622:I622)</calculatedColumnFormula>
    </tableColumn>
    <tableColumn id="10" name="(J)_x000a_Accounts Payable Balance_x000a_(H + I)" totalsRowFunction="sum" dataDxfId="8326" totalsRowDxfId="8325">
      <calculatedColumnFormula>SUBTOTAL(9,J622:J622)</calculatedColumnFormula>
    </tableColumn>
    <tableColumn id="11" name="(K)_x000a_Established _x000a_Accounts Receivable" totalsRowFunction="sum" dataDxfId="8324" totalsRowDxfId="8323">
      <calculatedColumnFormula>SUBTOTAL(9,K622:K622)</calculatedColumnFormula>
    </tableColumn>
    <tableColumn id="12" name="(L)_x000a_Recovered_x000a_ Accounts Receivable" totalsRowFunction="sum" dataDxfId="8322" totalsRowDxfId="8321">
      <calculatedColumnFormula>SUBTOTAL(9,L622:L622)</calculatedColumnFormula>
    </tableColumn>
    <tableColumn id="13" name="(M)_x000a_Accounts Receivable Balance_x000a_(K + L)" totalsRowFunction="sum" dataDxfId="8320" totalsRowDxfId="8319">
      <calculatedColumnFormula>SUBTOTAL(9,M622:M622)</calculatedColumnFormula>
    </tableColumn>
    <tableColumn id="14" name="(N)_x000a_Net Balance_x000a_(J minus M)" totalsRowFunction="sum" dataDxfId="8318" totalsRowDxfId="8317">
      <calculatedColumnFormula>SUBTOTAL(9,N622:N622)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.xml><?xml version="1.0" encoding="utf-8"?>
<table xmlns="http://schemas.openxmlformats.org/spreadsheetml/2006/main" id="6" name="AccountsReceivable" displayName="AccountsReceivable" ref="A23:F26" totalsRowCount="1" headerRowDxfId="9807" dataDxfId="9805" totalsRowDxfId="9803" headerRowBorderDxfId="9806" tableBorderDxfId="9804" totalsRowBorderDxfId="9802">
  <autoFilter ref="A23:F25"/>
  <tableColumns count="6">
    <tableColumn id="1" name="Program Costs, Audit Adjustments and Balances" totalsRowLabel="Total Accounts Receivable Balance" totalsRowDxfId="9801"/>
    <tableColumn id="2" name="Comments" totalsRowLabel="N/A" dataDxfId="9800" totalsRowDxfId="9799"/>
    <tableColumn id="3" name="Local Agencies" totalsRowFunction="sum" dataDxfId="9798" totalsRowDxfId="9797"/>
    <tableColumn id="4" name="School Districts" totalsRowFunction="sum" dataDxfId="9796" totalsRowDxfId="9795"/>
    <tableColumn id="5" name="Community College Districts" totalsRowFunction="sum" dataDxfId="9794" totalsRowDxfId="9793"/>
    <tableColumn id="6" name="Grand Total" totalsRowFunction="sum" dataDxfId="9792" totalsRowDxfId="979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50.xml><?xml version="1.0" encoding="utf-8"?>
<table xmlns="http://schemas.openxmlformats.org/spreadsheetml/2006/main" id="50" name="Program21" displayName="Program21" ref="A626:N629" totalsRowCount="1" headerRowDxfId="8316" dataDxfId="8314" totalsRowDxfId="8312" headerRowBorderDxfId="8315" tableBorderDxfId="8313" totalsRowBorderDxfId="8311">
  <autoFilter ref="A626:N628"/>
  <tableColumns count="14">
    <tableColumn id="1" name="(A)_x000a_Program Name" totalsRowLabel="Total Program 21" dataDxfId="8310" totalsRowDxfId="8309"/>
    <tableColumn id="2" name="(B)_x000a_Fiscal _x000a_Year" totalsRowLabel="N/A" dataDxfId="8308" totalsRowDxfId="8307"/>
    <tableColumn id="3" name="(C)_x000a_Program_x000a_Costs" totalsRowFunction="sum" dataDxfId="8306" totalsRowDxfId="8305"/>
    <tableColumn id="4" name="(D)_x000a_Prior Period Adjustments" totalsRowFunction="sum" dataDxfId="8304" totalsRowDxfId="8303"/>
    <tableColumn id="5" name="(E)_x000a_Current Period Desk _x000a_Reviews" totalsRowFunction="sum" dataDxfId="8302" totalsRowDxfId="8301"/>
    <tableColumn id="6" name="(F)_x000a_Current Period _x000a_Final _x000a_Audits" totalsRowFunction="sum" dataDxfId="8300" totalsRowDxfId="8299"/>
    <tableColumn id="7" name="(G)_x000a_Current Period _x000a_Other Adjustments" totalsRowFunction="sum" dataDxfId="8298" totalsRowDxfId="8297"/>
    <tableColumn id="8" name="(H)_x000a_Net Program Costs_x000a_Sum (C through G)" totalsRowFunction="sum" dataDxfId="8296" totalsRowDxfId="8295"/>
    <tableColumn id="9" name="(I)_x000a_Payments_x000a_ and Offsets" totalsRowFunction="sum" dataDxfId="8294" totalsRowDxfId="8293"/>
    <tableColumn id="10" name="(J)_x000a_Accounts Payable Balance_x000a_(H + I)" totalsRowFunction="sum" dataDxfId="8292" totalsRowDxfId="8291"/>
    <tableColumn id="11" name="(K)_x000a_Established _x000a_Accounts Receivable" totalsRowFunction="sum" dataDxfId="8290" totalsRowDxfId="8289"/>
    <tableColumn id="12" name="(L)_x000a_Recovered_x000a_ Accounts Receivable" totalsRowFunction="sum" dataDxfId="8288" totalsRowDxfId="8287"/>
    <tableColumn id="13" name="(M)_x000a_Accounts Receivable Balance_x000a_(K + L)" totalsRowFunction="sum" dataDxfId="8286" totalsRowDxfId="8285"/>
    <tableColumn id="14" name="(N)_x000a_Net Balance_x000a_(J minus M)" totalsRowFunction="sum" dataDxfId="8284" totalsRowDxfId="828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1.xml><?xml version="1.0" encoding="utf-8"?>
<table xmlns="http://schemas.openxmlformats.org/spreadsheetml/2006/main" id="51" name="Program56" displayName="Program56" ref="A1908:N1929" totalsRowCount="1" headerRowDxfId="8282" dataDxfId="8280" totalsRowDxfId="8278" headerRowBorderDxfId="8281" tableBorderDxfId="8279" totalsRowBorderDxfId="8277">
  <autoFilter ref="A1908:N1928"/>
  <tableColumns count="14">
    <tableColumn id="1" name="(A)_x000a_Program Name" totalsRowLabel="Total Program 56" dataDxfId="8276" totalsRowDxfId="8275"/>
    <tableColumn id="2" name="(B)_x000a_Fiscal _x000a_Year" totalsRowLabel="N/A" dataDxfId="8274" totalsRowDxfId="8273"/>
    <tableColumn id="3" name="(C)_x000a_Program_x000a_Costs" totalsRowFunction="sum" dataDxfId="8272" totalsRowDxfId="8271"/>
    <tableColumn id="4" name="(D)_x000a_Prior Period Adjustments" totalsRowFunction="sum" dataDxfId="8270" totalsRowDxfId="8269"/>
    <tableColumn id="5" name="(E)_x000a_Current Period Desk _x000a_Reviews" totalsRowFunction="sum" dataDxfId="8268" totalsRowDxfId="8267"/>
    <tableColumn id="6" name="(F)_x000a_Current Period _x000a_Final _x000a_Audits" totalsRowFunction="sum" dataDxfId="8266" totalsRowDxfId="8265"/>
    <tableColumn id="7" name="(G)_x000a_Current Period _x000a_Other Adjustments" totalsRowFunction="sum" dataDxfId="8264" totalsRowDxfId="8263"/>
    <tableColumn id="8" name="(H)_x000a_Net Program Costs_x000a_Sum (C through G)" totalsRowFunction="sum" dataDxfId="8262" totalsRowDxfId="8261"/>
    <tableColumn id="9" name="(I)_x000a_Payments_x000a_ and Offsets" totalsRowFunction="sum" dataDxfId="8260" totalsRowDxfId="8259"/>
    <tableColumn id="10" name="(J)_x000a_Accounts Payable Balance_x000a_(H + I)" totalsRowFunction="sum" dataDxfId="8258" totalsRowDxfId="8257"/>
    <tableColumn id="11" name="(K)_x000a_Established _x000a_Accounts Receivable" totalsRowFunction="sum" dataDxfId="8256" totalsRowDxfId="8255"/>
    <tableColumn id="12" name="(L)_x000a_Recovered_x000a_ Accounts Receivable" totalsRowFunction="sum" dataDxfId="8254" totalsRowDxfId="8253"/>
    <tableColumn id="13" name="(M)_x000a_Accounts Receivable Balance_x000a_(K + L)" totalsRowFunction="sum" dataDxfId="8252" totalsRowDxfId="8251"/>
    <tableColumn id="14" name="(N)_x000a_Net Balance_x000a_(J minus M)" totalsRowFunction="sum" dataDxfId="8250" totalsRowDxfId="824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2.xml><?xml version="1.0" encoding="utf-8"?>
<table xmlns="http://schemas.openxmlformats.org/spreadsheetml/2006/main" id="52" name="Program331" displayName="Program331" ref="A1894:N1906" totalsRowCount="1" headerRowDxfId="8248" dataDxfId="8246" totalsRowDxfId="8244" headerRowBorderDxfId="8247" tableBorderDxfId="8245" totalsRowBorderDxfId="8243">
  <autoFilter ref="A1894:N1905"/>
  <tableColumns count="14">
    <tableColumn id="1" name="(A)_x000a_Program Name" totalsRowLabel="Total Program 331" dataDxfId="8242" totalsRowDxfId="8241"/>
    <tableColumn id="2" name="(B)_x000a_Fiscal _x000a_Year" totalsRowLabel="N/A" dataDxfId="8240" totalsRowDxfId="8239"/>
    <tableColumn id="3" name="(C)_x000a_Program_x000a_Costs" totalsRowFunction="sum" dataDxfId="8238" totalsRowDxfId="8237"/>
    <tableColumn id="4" name="(D)_x000a_Prior Period Adjustments" totalsRowFunction="sum" dataDxfId="8236" totalsRowDxfId="8235"/>
    <tableColumn id="5" name="(E)_x000a_Current Period Desk _x000a_Reviews" totalsRowFunction="sum" dataDxfId="8234" totalsRowDxfId="8233"/>
    <tableColumn id="6" name="(F)_x000a_Current Period _x000a_Final _x000a_Audits" totalsRowFunction="sum" dataDxfId="8232" totalsRowDxfId="8231"/>
    <tableColumn id="7" name="(G)_x000a_Current Period _x000a_Other Adjustments" totalsRowFunction="sum" dataDxfId="8230" totalsRowDxfId="8229"/>
    <tableColumn id="8" name="(H)_x000a_Net Program Costs_x000a_Sum (C through G)" totalsRowFunction="sum" dataDxfId="8228" totalsRowDxfId="8227"/>
    <tableColumn id="9" name="(I)_x000a_Payments_x000a_ and Offsets" totalsRowFunction="sum" dataDxfId="8226" totalsRowDxfId="8225"/>
    <tableColumn id="10" name="(J)_x000a_Accounts Payable Balance_x000a_(H + I)" totalsRowFunction="sum" dataDxfId="8224" totalsRowDxfId="8223"/>
    <tableColumn id="11" name="(K)_x000a_Established _x000a_Accounts Receivable" totalsRowFunction="sum" dataDxfId="8222" totalsRowDxfId="8221"/>
    <tableColumn id="12" name="(L)_x000a_Recovered_x000a_ Accounts Receivable" totalsRowFunction="sum" dataDxfId="8220" totalsRowDxfId="8219"/>
    <tableColumn id="13" name="(M)_x000a_Accounts Receivable Balance_x000a_(K + L)" totalsRowFunction="sum" dataDxfId="8218" totalsRowDxfId="8217"/>
    <tableColumn id="14" name="(N)_x000a_Net Balance_x000a_(J minus M)" totalsRowFunction="sum" dataDxfId="8216" totalsRowDxfId="821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3.xml><?xml version="1.0" encoding="utf-8"?>
<table xmlns="http://schemas.openxmlformats.org/spreadsheetml/2006/main" id="53" name="Program71" displayName="Program71" ref="A1888:N1892" totalsRowCount="1" headerRowDxfId="8214" dataDxfId="8212" totalsRowDxfId="8210" headerRowBorderDxfId="8213" tableBorderDxfId="8211" totalsRowBorderDxfId="8209">
  <autoFilter ref="A1888:N1891"/>
  <tableColumns count="14">
    <tableColumn id="1" name="(A)_x000a_Program Name" totalsRowLabel="Total Program 71" dataDxfId="8208" totalsRowDxfId="8207"/>
    <tableColumn id="2" name="(B)_x000a_Fiscal _x000a_Year" totalsRowLabel="N/A" dataDxfId="8206" totalsRowDxfId="8205"/>
    <tableColumn id="3" name="(C)_x000a_Program_x000a_Costs" totalsRowFunction="sum" dataDxfId="8204" totalsRowDxfId="8203"/>
    <tableColumn id="4" name="(D)_x000a_Prior Period Adjustments" totalsRowFunction="sum" dataDxfId="8202" totalsRowDxfId="8201"/>
    <tableColumn id="5" name="(E)_x000a_Current Period Desk _x000a_Reviews" totalsRowFunction="sum" dataDxfId="8200" totalsRowDxfId="8199"/>
    <tableColumn id="6" name="(F)_x000a_Current Period _x000a_Final _x000a_Audits" totalsRowFunction="sum" dataDxfId="8198" totalsRowDxfId="8197"/>
    <tableColumn id="7" name="(G)_x000a_Current Period _x000a_Other Adjustments" totalsRowFunction="sum" dataDxfId="8196" totalsRowDxfId="8195"/>
    <tableColumn id="8" name="(H)_x000a_Net Program Costs_x000a_Sum (C through G)" totalsRowFunction="sum" dataDxfId="8194" totalsRowDxfId="8193"/>
    <tableColumn id="9" name="(I)_x000a_Payments_x000a_ and Offsets" totalsRowFunction="sum" dataDxfId="8192" totalsRowDxfId="8191"/>
    <tableColumn id="10" name="(J)_x000a_Accounts Payable Balance_x000a_(H + I)" totalsRowFunction="sum" dataDxfId="8190" totalsRowDxfId="8189"/>
    <tableColumn id="11" name="(K)_x000a_Established _x000a_Accounts Receivable" totalsRowFunction="sum" dataDxfId="8188" totalsRowDxfId="8187"/>
    <tableColumn id="12" name="(L)_x000a_Recovered_x000a_ Accounts Receivable" totalsRowFunction="min" dataDxfId="8186" totalsRowDxfId="8185"/>
    <tableColumn id="13" name="(M)_x000a_Accounts Receivable Balance_x000a_(K + L)" totalsRowFunction="sum" dataDxfId="8184" totalsRowDxfId="8183"/>
    <tableColumn id="14" name="(N)_x000a_Net Balance_x000a_(J minus M)" totalsRowFunction="sum" dataDxfId="8182" totalsRowDxfId="818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4.xml><?xml version="1.0" encoding="utf-8"?>
<table xmlns="http://schemas.openxmlformats.org/spreadsheetml/2006/main" id="54" name="Program181" displayName="Program181" ref="A1878:N1886" totalsRowCount="1" headerRowDxfId="8180" dataDxfId="8178" totalsRowDxfId="8176" headerRowBorderDxfId="8179" tableBorderDxfId="8177" totalsRowBorderDxfId="8175">
  <autoFilter ref="A1878:N1885"/>
  <tableColumns count="14">
    <tableColumn id="1" name="(A)_x000a_Program Name" totalsRowLabel="Total Program 181" dataDxfId="8174" totalsRowDxfId="8173"/>
    <tableColumn id="2" name="(B)_x000a_Fiscal _x000a_Year" totalsRowLabel="N/A" dataDxfId="8172" totalsRowDxfId="8171"/>
    <tableColumn id="3" name="(C)_x000a_Program_x000a_Costs" totalsRowFunction="sum" dataDxfId="8170" totalsRowDxfId="8169"/>
    <tableColumn id="4" name="(D)_x000a_Prior Period Adjustments" totalsRowFunction="sum" dataDxfId="8168" totalsRowDxfId="8167"/>
    <tableColumn id="5" name="(E)_x000a_Current Period Desk _x000a_Reviews" totalsRowFunction="sum" dataDxfId="8166" totalsRowDxfId="8165"/>
    <tableColumn id="6" name="(F)_x000a_Current Period _x000a_Final _x000a_Audits" totalsRowFunction="sum" dataDxfId="8164" totalsRowDxfId="8163"/>
    <tableColumn id="7" name="(G)_x000a_Current Period _x000a_Other Adjustments" totalsRowFunction="sum" dataDxfId="8162" totalsRowDxfId="8161"/>
    <tableColumn id="8" name="(H)_x000a_Net Program Costs_x000a_Sum (C through G)" totalsRowFunction="sum" dataDxfId="8160" totalsRowDxfId="8159"/>
    <tableColumn id="9" name="(I)_x000a_Payments_x000a_ and Offsets" totalsRowFunction="sum" dataDxfId="8158" totalsRowDxfId="8157"/>
    <tableColumn id="10" name="(J)_x000a_Accounts Payable Balance_x000a_(H + I)" totalsRowFunction="sum" dataDxfId="8156" totalsRowDxfId="8155"/>
    <tableColumn id="11" name="(K)_x000a_Established _x000a_Accounts Receivable" totalsRowFunction="sum" dataDxfId="8154" totalsRowDxfId="8153"/>
    <tableColumn id="12" name="(L)_x000a_Recovered_x000a_ Accounts Receivable" totalsRowFunction="sum" dataDxfId="8152" totalsRowDxfId="8151"/>
    <tableColumn id="13" name="(M)_x000a_Accounts Receivable Balance_x000a_(K + L)" totalsRowFunction="sum" dataDxfId="8150" totalsRowDxfId="8149"/>
    <tableColumn id="14" name="(N)_x000a_Net Balance_x000a_(J minus M)" totalsRowFunction="sum" dataDxfId="8148" totalsRowDxfId="814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5.xml><?xml version="1.0" encoding="utf-8"?>
<table xmlns="http://schemas.openxmlformats.org/spreadsheetml/2006/main" id="55" name="Program372" displayName="Program372" ref="A1872:N1876" totalsRowCount="1" headerRowDxfId="8146" dataDxfId="8144" totalsRowDxfId="8142" headerRowBorderDxfId="8145" tableBorderDxfId="8143" totalsRowBorderDxfId="8141">
  <autoFilter ref="A1872:N1875"/>
  <tableColumns count="14">
    <tableColumn id="1" name="(A)_x000a_Program Name" totalsRowLabel="Total Program 372" dataDxfId="8140" totalsRowDxfId="8139"/>
    <tableColumn id="2" name="(B)_x000a_Fiscal _x000a_Year" totalsRowLabel="N/A" dataDxfId="8138" totalsRowDxfId="8137"/>
    <tableColumn id="3" name="(C)_x000a_Program_x000a_Costs" totalsRowFunction="sum" dataDxfId="8136" totalsRowDxfId="8135"/>
    <tableColumn id="4" name="(D)_x000a_Prior Period Adjustments" totalsRowFunction="sum" dataDxfId="8134" totalsRowDxfId="8133"/>
    <tableColumn id="5" name="(E)_x000a_Current Period Desk _x000a_Reviews" totalsRowFunction="sum" dataDxfId="8132" totalsRowDxfId="8131"/>
    <tableColumn id="6" name="(F)_x000a_Current Period _x000a_Final _x000a_Audits" totalsRowFunction="sum" dataDxfId="8130" totalsRowDxfId="8129"/>
    <tableColumn id="7" name="(G)_x000a_Current Period _x000a_Other Adjustments" totalsRowFunction="sum" dataDxfId="8128" totalsRowDxfId="8127"/>
    <tableColumn id="8" name="(H)_x000a_Net Program Costs_x000a_Sum (C through G)" totalsRowFunction="sum" dataDxfId="8126" totalsRowDxfId="8125"/>
    <tableColumn id="9" name="(I)_x000a_Payments_x000a_ and Offsets" totalsRowFunction="sum" dataDxfId="8124" totalsRowDxfId="8123"/>
    <tableColumn id="10" name="(J)_x000a_Accounts Payable Balance_x000a_(H + I)" totalsRowFunction="sum" dataDxfId="8122" totalsRowDxfId="8121"/>
    <tableColumn id="11" name="(K)_x000a_Established _x000a_Accounts Receivable" totalsRowFunction="sum" dataDxfId="8120" totalsRowDxfId="8119"/>
    <tableColumn id="12" name="(L)_x000a_Recovered_x000a_ Accounts Receivable" totalsRowFunction="sum" dataDxfId="8118" totalsRowDxfId="8117"/>
    <tableColumn id="13" name="(M)_x000a_Accounts Receivable Balance_x000a_(K + L)" totalsRowFunction="sum" dataDxfId="8116" totalsRowDxfId="8115"/>
    <tableColumn id="14" name="(N)_x000a_Net Balance_x000a_(J minus M)" totalsRowFunction="sum" dataDxfId="8114" totalsRowDxfId="811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6.xml><?xml version="1.0" encoding="utf-8"?>
<table xmlns="http://schemas.openxmlformats.org/spreadsheetml/2006/main" id="56" name="Program174" displayName="Program174" ref="A1863:N1870" totalsRowCount="1" headerRowDxfId="8112" dataDxfId="8110" totalsRowDxfId="8108" headerRowBorderDxfId="8111" tableBorderDxfId="8109" totalsRowBorderDxfId="8107">
  <autoFilter ref="A1863:N1869"/>
  <tableColumns count="14">
    <tableColumn id="1" name="(A)_x000a_Program Name" totalsRowLabel="Total Program 174" dataDxfId="8106" totalsRowDxfId="8105"/>
    <tableColumn id="2" name="(B)_x000a_Fiscal _x000a_Year" totalsRowLabel="N/A" dataDxfId="8104" totalsRowDxfId="8103"/>
    <tableColumn id="3" name="(C)_x000a_Program_x000a_Costs" totalsRowFunction="sum" dataDxfId="8102" totalsRowDxfId="8101"/>
    <tableColumn id="4" name="(D)_x000a_Prior Period Adjustments" totalsRowFunction="sum" dataDxfId="8100" totalsRowDxfId="8099"/>
    <tableColumn id="5" name="(E)_x000a_Current Period Desk _x000a_Reviews" totalsRowFunction="sum" dataDxfId="8098" totalsRowDxfId="8097"/>
    <tableColumn id="6" name="(F)_x000a_Current Period _x000a_Final _x000a_Audits" totalsRowFunction="sum" dataDxfId="8096" totalsRowDxfId="8095"/>
    <tableColumn id="7" name="(G)_x000a_Current Period _x000a_Other Adjustments" totalsRowFunction="sum" dataDxfId="8094" totalsRowDxfId="8093"/>
    <tableColumn id="8" name="(H)_x000a_Net Program Costs_x000a_Sum (C through G)" totalsRowFunction="sum" dataDxfId="8092" totalsRowDxfId="8091"/>
    <tableColumn id="9" name="(I)_x000a_Payments_x000a_ and Offsets" totalsRowFunction="sum" dataDxfId="8090" totalsRowDxfId="8089"/>
    <tableColumn id="10" name="(J)_x000a_Accounts Payable Balance_x000a_(H + I)" totalsRowFunction="sum" dataDxfId="8088" totalsRowDxfId="8087"/>
    <tableColumn id="11" name="(K)_x000a_Established _x000a_Accounts Receivable" totalsRowFunction="sum" dataDxfId="8086" totalsRowDxfId="8085"/>
    <tableColumn id="12" name="(L)_x000a_Recovered_x000a_ Accounts Receivable" totalsRowFunction="sum" dataDxfId="8084" totalsRowDxfId="8083"/>
    <tableColumn id="13" name="(M)_x000a_Accounts Receivable Balance_x000a_(K + L)" totalsRowFunction="sum" dataDxfId="8082" totalsRowDxfId="8081"/>
    <tableColumn id="14" name="(N)_x000a_Net Balance_x000a_(J minus M)" totalsRowFunction="sum" dataDxfId="8080" totalsRowDxfId="807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7.xml><?xml version="1.0" encoding="utf-8"?>
<table xmlns="http://schemas.openxmlformats.org/spreadsheetml/2006/main" id="57" name="Program345" displayName="Program345" ref="A1843:N1861" totalsRowCount="1" headerRowDxfId="8078" dataDxfId="8076" totalsRowDxfId="8074" headerRowBorderDxfId="8077" tableBorderDxfId="8075" totalsRowBorderDxfId="8073">
  <autoFilter ref="A1843:N1860"/>
  <tableColumns count="14">
    <tableColumn id="1" name="(A)_x000a_Program Name" totalsRowLabel="Total Program 345" dataDxfId="8072" totalsRowDxfId="8071"/>
    <tableColumn id="2" name="(B)_x000a_Fiscal _x000a_Year" totalsRowLabel="N/A" dataDxfId="8070" totalsRowDxfId="8069"/>
    <tableColumn id="3" name="(C)_x000a_Program_x000a_Costs" totalsRowFunction="sum" dataDxfId="8068" totalsRowDxfId="8067"/>
    <tableColumn id="4" name="(D)_x000a_Prior Period Adjustments" totalsRowFunction="sum" dataDxfId="8066" totalsRowDxfId="8065"/>
    <tableColumn id="5" name="(E)_x000a_Current Period Desk _x000a_Reviews" totalsRowFunction="sum" dataDxfId="8064" totalsRowDxfId="8063"/>
    <tableColumn id="6" name="(F)_x000a_Current Period _x000a_Final _x000a_Audits" totalsRowFunction="sum" dataDxfId="8062" totalsRowDxfId="8061"/>
    <tableColumn id="7" name="(G)_x000a_Current Period _x000a_Other Adjustments" totalsRowFunction="sum" dataDxfId="8060" totalsRowDxfId="8059"/>
    <tableColumn id="8" name="(H)_x000a_Net Program Costs_x000a_Sum (C through G)" totalsRowFunction="sum" dataDxfId="8058" totalsRowDxfId="8057"/>
    <tableColumn id="9" name="(I)_x000a_Payments_x000a_ and Offsets" totalsRowFunction="sum" dataDxfId="8056" totalsRowDxfId="8055"/>
    <tableColumn id="10" name="(J)_x000a_Accounts Payable Balance_x000a_(H + I)" totalsRowFunction="sum" dataDxfId="8054" totalsRowDxfId="8053"/>
    <tableColumn id="11" name="(K)_x000a_Established _x000a_Accounts Receivable" totalsRowFunction="sum" dataDxfId="8052" totalsRowDxfId="8051"/>
    <tableColumn id="12" name="(L)_x000a_Recovered_x000a_ Accounts Receivable" totalsRowFunction="sum" dataDxfId="8050" totalsRowDxfId="8049"/>
    <tableColumn id="13" name="(M)_x000a_Accounts Receivable Balance_x000a_(K + L)" totalsRowFunction="sum" dataDxfId="8048" totalsRowDxfId="8047"/>
    <tableColumn id="14" name="(N)_x000a_Net Balance_x000a_(J minus M)" totalsRowFunction="sum" dataDxfId="8046" totalsRowDxfId="80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8.xml><?xml version="1.0" encoding="utf-8"?>
<table xmlns="http://schemas.openxmlformats.org/spreadsheetml/2006/main" id="58" name="Program163" displayName="Program163" ref="A1819:N1841" totalsRowCount="1" headerRowDxfId="8044" dataDxfId="8042" totalsRowDxfId="8040" headerRowBorderDxfId="8043" tableBorderDxfId="8041" totalsRowBorderDxfId="8039">
  <autoFilter ref="A1819:N1840"/>
  <tableColumns count="14">
    <tableColumn id="1" name="(A)_x000a_Program Name" totalsRowLabel="Total Program 163" dataDxfId="8038" totalsRowDxfId="8037"/>
    <tableColumn id="2" name="(B)_x000a_Fiscal _x000a_Year" totalsRowLabel="N/A" dataDxfId="8036" totalsRowDxfId="8035"/>
    <tableColumn id="3" name="(C)_x000a_Program_x000a_Costs" totalsRowFunction="sum" dataDxfId="8034" totalsRowDxfId="8033"/>
    <tableColumn id="4" name="(D)_x000a_Prior Period Adjustments" totalsRowFunction="sum" dataDxfId="8032" totalsRowDxfId="8031"/>
    <tableColumn id="5" name="(E)_x000a_Current Period Desk _x000a_Reviews" totalsRowFunction="sum" dataDxfId="8030" totalsRowDxfId="8029"/>
    <tableColumn id="6" name="(F)_x000a_Current Period _x000a_Final _x000a_Audits" totalsRowFunction="sum" dataDxfId="8028" totalsRowDxfId="8027"/>
    <tableColumn id="7" name="(G)_x000a_Current Period _x000a_Other Adjustments" totalsRowFunction="sum" dataDxfId="8026" totalsRowDxfId="8025"/>
    <tableColumn id="8" name="(H)_x000a_Net Program Costs_x000a_Sum (C through G)" totalsRowFunction="sum" dataDxfId="8024" totalsRowDxfId="8023"/>
    <tableColumn id="9" name="(I)_x000a_Payments_x000a_ and Offsets" totalsRowFunction="sum" dataDxfId="8022" totalsRowDxfId="8021"/>
    <tableColumn id="10" name="(J)_x000a_Accounts Payable Balance_x000a_(H + I)" totalsRowFunction="sum" dataDxfId="8020" totalsRowDxfId="8019"/>
    <tableColumn id="11" name="(K)_x000a_Established _x000a_Accounts Receivable" totalsRowFunction="sum" dataDxfId="8018" totalsRowDxfId="8017"/>
    <tableColumn id="12" name="(L)_x000a_Recovered_x000a_ Accounts Receivable" totalsRowFunction="sum" dataDxfId="8016" totalsRowDxfId="8015"/>
    <tableColumn id="13" name="(M)_x000a_Accounts Receivable Balance_x000a_(K + L)" totalsRowFunction="sum" dataDxfId="8014" totalsRowDxfId="8013"/>
    <tableColumn id="14" name="(N)_x000a_Net Balance_x000a_(J minus M)" totalsRowFunction="sum" dataDxfId="8012" totalsRowDxfId="80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59.xml><?xml version="1.0" encoding="utf-8"?>
<table xmlns="http://schemas.openxmlformats.org/spreadsheetml/2006/main" id="59" name="Program65" displayName="Program65" ref="A1814:N1817" totalsRowCount="1" headerRowDxfId="8010" dataDxfId="8008" totalsRowDxfId="8006" headerRowBorderDxfId="8009" tableBorderDxfId="8007" totalsRowBorderDxfId="8005">
  <autoFilter ref="A1814:N1816"/>
  <tableColumns count="14">
    <tableColumn id="1" name="(A)_x000a_Program Name" totalsRowLabel="Total Program 65" dataDxfId="8004" totalsRowDxfId="8003"/>
    <tableColumn id="2" name="(B)_x000a_Fiscal _x000a_Year" totalsRowLabel="N/A" dataDxfId="8002" totalsRowDxfId="8001"/>
    <tableColumn id="3" name="(C)_x000a_Program_x000a_Costs" totalsRowFunction="sum" dataDxfId="8000" totalsRowDxfId="7999"/>
    <tableColumn id="4" name="(D)_x000a_Prior Period Adjustments" totalsRowFunction="sum" dataDxfId="7998" totalsRowDxfId="7997"/>
    <tableColumn id="5" name="(E)_x000a_Current Period Desk _x000a_Reviews" totalsRowFunction="sum" dataDxfId="7996" totalsRowDxfId="7995"/>
    <tableColumn id="6" name="(F)_x000a_Current Period _x000a_Final _x000a_Audits" totalsRowFunction="sum" dataDxfId="7994" totalsRowDxfId="7993"/>
    <tableColumn id="7" name="(G)_x000a_Current Period _x000a_Other Adjustments" totalsRowFunction="sum" dataDxfId="7992" totalsRowDxfId="7991"/>
    <tableColumn id="8" name="(H)_x000a_Net Program Costs_x000a_Sum (C through G)" totalsRowFunction="sum" dataDxfId="7990" totalsRowDxfId="7989"/>
    <tableColumn id="9" name="(I)_x000a_Payments_x000a_ and Offsets" totalsRowFunction="sum" dataDxfId="7988" totalsRowDxfId="7987"/>
    <tableColumn id="10" name="(J)_x000a_Accounts Payable Balance_x000a_(H + I)" totalsRowFunction="sum" dataDxfId="7986" totalsRowDxfId="7985"/>
    <tableColumn id="11" name="(K)_x000a_Established _x000a_Accounts Receivable" totalsRowFunction="sum" dataDxfId="7984" totalsRowDxfId="7983"/>
    <tableColumn id="12" name="(L)_x000a_Recovered_x000a_ Accounts Receivable" totalsRowFunction="sum" dataDxfId="7982" totalsRowDxfId="7981"/>
    <tableColumn id="13" name="(M)_x000a_Accounts Receivable Balance_x000a_(K + L)" totalsRowFunction="sum" dataDxfId="7980" totalsRowDxfId="7979"/>
    <tableColumn id="14" name="(N)_x000a_Net Balance_x000a_(J minus M)" totalsRowFunction="sum" dataDxfId="7978" totalsRowDxfId="79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.xml><?xml version="1.0" encoding="utf-8"?>
<table xmlns="http://schemas.openxmlformats.org/spreadsheetml/2006/main" id="7" name="NetBalance" displayName="NetBalance" ref="A28:F31" totalsRowCount="1" headerRowDxfId="9790" dataDxfId="9788" totalsRowDxfId="9786" headerRowBorderDxfId="9789" tableBorderDxfId="9787" totalsRowBorderDxfId="9785">
  <autoFilter ref="A28:F30"/>
  <tableColumns count="6">
    <tableColumn id="1" name="Program Costs, Audit Adjustments and Balances" totalsRowLabel="Net Balance as of 03/31/2020³" dataDxfId="9784" totalsRowDxfId="11" dataCellStyle="Hyperlink"/>
    <tableColumn id="2" name="Comments" totalsRowLabel=" Comment: Total Accounts Payable Balance less Total Accounts Receivable Balance equals Net Balance. " dataDxfId="9783" totalsRowDxfId="10"/>
    <tableColumn id="3" name="Local Agencies" totalsRowFunction="sum" dataDxfId="9782" totalsRowDxfId="9"/>
    <tableColumn id="4" name="School Districts" totalsRowFunction="sum" dataDxfId="9781" totalsRowDxfId="8"/>
    <tableColumn id="5" name="Community College Districts" totalsRowFunction="sum" dataDxfId="9780" totalsRowDxfId="7"/>
    <tableColumn id="6" name="Grand Total" totalsRowFunction="sum" dataDxfId="9779" totalsRowDxfId="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Summary of State-Mandated Program Cost Report of Audit Findings. For the Period of April 1, 2019, through March 31, 2020."/>
    </ext>
  </extLst>
</table>
</file>

<file path=xl/tables/table60.xml><?xml version="1.0" encoding="utf-8"?>
<table xmlns="http://schemas.openxmlformats.org/spreadsheetml/2006/main" id="60" name="Program64" displayName="Program64" ref="A1803:N1812" totalsRowCount="1" headerRowDxfId="7976" dataDxfId="7974" totalsRowDxfId="7972" headerRowBorderDxfId="7975" tableBorderDxfId="7973" totalsRowBorderDxfId="7971">
  <autoFilter ref="A1803:N1811"/>
  <tableColumns count="14">
    <tableColumn id="1" name="(A)_x000a_Program Name" totalsRowLabel="Total Program 64" dataDxfId="7970" totalsRowDxfId="7969"/>
    <tableColumn id="2" name="(B)_x000a_Fiscal _x000a_Year" totalsRowLabel="N/A" dataDxfId="7968" totalsRowDxfId="7967"/>
    <tableColumn id="3" name="(C)_x000a_Program_x000a_Costs" totalsRowFunction="sum" dataDxfId="7966" totalsRowDxfId="7965"/>
    <tableColumn id="4" name="(D)_x000a_Prior Period Adjustments" totalsRowFunction="sum" dataDxfId="7964" totalsRowDxfId="7963"/>
    <tableColumn id="5" name="(E)_x000a_Current Period Desk _x000a_Reviews" totalsRowFunction="sum" dataDxfId="7962" totalsRowDxfId="7961"/>
    <tableColumn id="6" name="(F)_x000a_Current Period _x000a_Final _x000a_Audits" totalsRowFunction="sum" dataDxfId="7960" totalsRowDxfId="7959"/>
    <tableColumn id="7" name="(G)_x000a_Current Period _x000a_Other Adjustments" totalsRowFunction="sum" dataDxfId="7958" totalsRowDxfId="7957"/>
    <tableColumn id="8" name="(H)_x000a_Net Program Costs_x000a_Sum (C through G)" totalsRowFunction="sum" dataDxfId="7956" totalsRowDxfId="7955"/>
    <tableColumn id="9" name="(I)_x000a_Payments_x000a_ and Offsets" totalsRowFunction="sum" dataDxfId="7954" totalsRowDxfId="7953"/>
    <tableColumn id="10" name="(J)_x000a_Accounts Payable Balance_x000a_(H + I)" totalsRowFunction="sum" dataDxfId="7952" totalsRowDxfId="7951"/>
    <tableColumn id="11" name="(K)_x000a_Established _x000a_Accounts Receivable" totalsRowFunction="sum" dataDxfId="7950" totalsRowDxfId="7949"/>
    <tableColumn id="12" name="(L)_x000a_Recovered_x000a_ Accounts Receivable" totalsRowFunction="sum" dataDxfId="7948" totalsRowDxfId="7947"/>
    <tableColumn id="13" name="(M)_x000a_Accounts Receivable Balance_x000a_(K + L)" totalsRowFunction="sum" dataDxfId="7946" totalsRowDxfId="7945"/>
    <tableColumn id="14" name="(N)_x000a_Net Balance_x000a_(J minus M)" totalsRowFunction="sum" dataDxfId="7944" totalsRowDxfId="794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1.xml><?xml version="1.0" encoding="utf-8"?>
<table xmlns="http://schemas.openxmlformats.org/spreadsheetml/2006/main" id="61" name="Program120" displayName="Program120" ref="A1782:N1801" totalsRowCount="1" headerRowDxfId="7942" dataDxfId="7940" totalsRowDxfId="7938" headerRowBorderDxfId="7941" tableBorderDxfId="7939" totalsRowBorderDxfId="7937">
  <autoFilter ref="A1782:N1800"/>
  <tableColumns count="14">
    <tableColumn id="1" name="(A)_x000a_Program Name" totalsRowLabel="Total Program 120" dataDxfId="7936" totalsRowDxfId="7935"/>
    <tableColumn id="2" name="(B)_x000a_Fiscal _x000a_Year" totalsRowLabel="N/A" dataDxfId="7934" totalsRowDxfId="7933"/>
    <tableColumn id="3" name="(C)_x000a_Program_x000a_Costs" totalsRowFunction="sum" dataDxfId="7932" totalsRowDxfId="7931"/>
    <tableColumn id="4" name="(D)_x000a_Prior Period Adjustments" totalsRowFunction="sum" dataDxfId="7930" totalsRowDxfId="7929"/>
    <tableColumn id="5" name="(E)_x000a_Current Period Desk _x000a_Reviews" totalsRowFunction="sum" dataDxfId="7928" totalsRowDxfId="7927"/>
    <tableColumn id="6" name="(F)_x000a_Current Period _x000a_Final _x000a_Audits" totalsRowFunction="sum" dataDxfId="7926" totalsRowDxfId="7925"/>
    <tableColumn id="7" name="(G)_x000a_Current Period _x000a_Other Adjustments" totalsRowFunction="sum" dataDxfId="7924" totalsRowDxfId="7923"/>
    <tableColumn id="8" name="(H)_x000a_Net Program Costs_x000a_Sum (C through G)" totalsRowFunction="sum" dataDxfId="7922" totalsRowDxfId="7921"/>
    <tableColumn id="9" name="(I)_x000a_Payments_x000a_ and Offsets" totalsRowFunction="sum" dataDxfId="7920" totalsRowDxfId="7919"/>
    <tableColumn id="10" name="(J)_x000a_Accounts Payable Balance_x000a_(H + I)" totalsRowFunction="sum" dataDxfId="7918" totalsRowDxfId="7917"/>
    <tableColumn id="11" name="(K)_x000a_Established _x000a_Accounts Receivable" totalsRowFunction="sum" dataDxfId="7916" totalsRowDxfId="7915"/>
    <tableColumn id="12" name="(L)_x000a_Recovered_x000a_ Accounts Receivable" totalsRowFunction="sum" dataDxfId="7914" totalsRowDxfId="7913"/>
    <tableColumn id="13" name="(M)_x000a_Accounts Receivable Balance_x000a_(K + L)" totalsRowFunction="sum" dataDxfId="7912" totalsRowDxfId="7911"/>
    <tableColumn id="14" name="(N)_x000a_Net Balance_x000a_(J minus M)" totalsRowFunction="sum" dataDxfId="7910" totalsRowDxfId="790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2.xml><?xml version="1.0" encoding="utf-8"?>
<table xmlns="http://schemas.openxmlformats.org/spreadsheetml/2006/main" id="62" name="Program360" displayName="Program360" ref="A1767:N1780" totalsRowCount="1" headerRowDxfId="7908" dataDxfId="7906" totalsRowDxfId="7904" headerRowBorderDxfId="7907" tableBorderDxfId="7905" totalsRowBorderDxfId="7903">
  <autoFilter ref="A1767:N1779"/>
  <tableColumns count="14">
    <tableColumn id="1" name="(A)_x000a_Program Name" totalsRowLabel="Total Program 360" dataDxfId="7902" totalsRowDxfId="7901"/>
    <tableColumn id="2" name="(B)_x000a_Fiscal _x000a_Year" totalsRowLabel="N/A" dataDxfId="7900" totalsRowDxfId="7899"/>
    <tableColumn id="3" name="(C)_x000a_Program_x000a_Costs" totalsRowFunction="sum" dataDxfId="7898" totalsRowDxfId="7897"/>
    <tableColumn id="4" name="(D)_x000a_Prior Period Adjustments" totalsRowFunction="sum" dataDxfId="7896" totalsRowDxfId="7895"/>
    <tableColumn id="5" name="(E)_x000a_Current Period Desk _x000a_Reviews" totalsRowFunction="sum" dataDxfId="7894" totalsRowDxfId="7893"/>
    <tableColumn id="6" name="(F)_x000a_Current Period _x000a_Final _x000a_Audits" totalsRowFunction="sum" dataDxfId="7892" totalsRowDxfId="7891"/>
    <tableColumn id="7" name="(G)_x000a_Current Period _x000a_Other Adjustments" totalsRowFunction="sum" dataDxfId="7890" totalsRowDxfId="7889"/>
    <tableColumn id="8" name="(H)_x000a_Net Program Costs_x000a_Sum (C through G)" totalsRowFunction="sum" dataDxfId="7888" totalsRowDxfId="7887"/>
    <tableColumn id="9" name="(I)_x000a_Payments_x000a_ and Offsets" totalsRowFunction="sum" dataDxfId="7886" totalsRowDxfId="7885"/>
    <tableColumn id="10" name="(J)_x000a_Accounts Payable Balance_x000a_(H + I)" totalsRowFunction="sum" dataDxfId="7884" totalsRowDxfId="7883"/>
    <tableColumn id="11" name="(K)_x000a_Established _x000a_Accounts Receivable" totalsRowFunction="sum" dataDxfId="7882" totalsRowDxfId="7881"/>
    <tableColumn id="12" name="(L)_x000a_Recovered_x000a_ Accounts Receivable" totalsRowFunction="sum" dataDxfId="7880" totalsRowDxfId="7879"/>
    <tableColumn id="13" name="(M)_x000a_Accounts Receivable Balance_x000a_(K + L)" totalsRowFunction="sum" dataDxfId="7878" totalsRowDxfId="7877"/>
    <tableColumn id="14" name="(N)_x000a_Net Balance_x000a_(J minus M)" totalsRowFunction="sum" dataDxfId="7876" totalsRowDxfId="787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3.xml><?xml version="1.0" encoding="utf-8"?>
<table xmlns="http://schemas.openxmlformats.org/spreadsheetml/2006/main" id="63" name="Program125" displayName="Program125" ref="A1751:N1765" totalsRowCount="1" headerRowDxfId="7874" dataDxfId="7872" totalsRowDxfId="7870" headerRowBorderDxfId="7873" tableBorderDxfId="7871" totalsRowBorderDxfId="7869">
  <autoFilter ref="A1751:N1764"/>
  <tableColumns count="14">
    <tableColumn id="1" name="(A)_x000a_Program Name" totalsRowLabel="Total Program 125" dataDxfId="7868" totalsRowDxfId="7867"/>
    <tableColumn id="2" name="(B)_x000a_Fiscal _x000a_Year" totalsRowLabel="N/A" dataDxfId="7866" totalsRowDxfId="7865"/>
    <tableColumn id="3" name="(C)_x000a_Program_x000a_Costs" totalsRowFunction="sum" dataDxfId="7864" totalsRowDxfId="7863"/>
    <tableColumn id="4" name="(D)_x000a_Prior Period Adjustments" totalsRowFunction="sum" dataDxfId="7862" totalsRowDxfId="7861"/>
    <tableColumn id="5" name="(E)_x000a_Current Period Desk _x000a_Reviews" totalsRowFunction="sum" dataDxfId="7860" totalsRowDxfId="7859"/>
    <tableColumn id="6" name="(F)_x000a_Current Period _x000a_Final _x000a_Audits" totalsRowFunction="sum" dataDxfId="7858" totalsRowDxfId="7857"/>
    <tableColumn id="7" name="(G)_x000a_Current Period _x000a_Other Adjustments" totalsRowFunction="sum" dataDxfId="7856" totalsRowDxfId="7855"/>
    <tableColumn id="8" name="(H)_x000a_Net Program Costs_x000a_Sum (C through G)" totalsRowFunction="sum" dataDxfId="7854" totalsRowDxfId="7853"/>
    <tableColumn id="9" name="(I)_x000a_Payments_x000a_ and Offsets" totalsRowFunction="sum" dataDxfId="7852" totalsRowDxfId="7851"/>
    <tableColumn id="10" name="(J)_x000a_Accounts Payable Balance_x000a_(H + I)" totalsRowFunction="sum" dataDxfId="7850" totalsRowDxfId="7849"/>
    <tableColumn id="11" name="(K)_x000a_Established _x000a_Accounts Receivable" totalsRowFunction="sum" dataDxfId="7848" totalsRowDxfId="7847"/>
    <tableColumn id="12" name="(L)_x000a_Recovered_x000a_ Accounts Receivable" totalsRowFunction="sum" dataDxfId="7846" totalsRowDxfId="7845"/>
    <tableColumn id="13" name="(M)_x000a_Accounts Receivable Balance_x000a_(K + L)" totalsRowFunction="sum" dataDxfId="7844" totalsRowDxfId="7843"/>
    <tableColumn id="14" name="(N)_x000a_Net Balance_x000a_(J minus M)" totalsRowFunction="sum" dataDxfId="7842" totalsRowDxfId="784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4.xml><?xml version="1.0" encoding="utf-8"?>
<table xmlns="http://schemas.openxmlformats.org/spreadsheetml/2006/main" id="64" name="Program110" displayName="Program110" ref="A1734:N1749" totalsRowCount="1" headerRowDxfId="7840" dataDxfId="7838" totalsRowDxfId="7836" headerRowBorderDxfId="7839" tableBorderDxfId="7837" totalsRowBorderDxfId="7835">
  <autoFilter ref="A1734:N1748"/>
  <tableColumns count="14">
    <tableColumn id="1" name="(A)_x000a_Program Name" totalsRowLabel="Total Program 110" dataDxfId="7834" totalsRowDxfId="7833"/>
    <tableColumn id="2" name="(B)_x000a_Fiscal _x000a_Year" totalsRowLabel="N/A" dataDxfId="7832" totalsRowDxfId="7831"/>
    <tableColumn id="3" name="(C)_x000a_Program_x000a_Costs" totalsRowFunction="sum" dataDxfId="7830" totalsRowDxfId="7829"/>
    <tableColumn id="4" name="(D)_x000a_Prior Period Adjustments" totalsRowFunction="sum" dataDxfId="7828" totalsRowDxfId="7827"/>
    <tableColumn id="5" name="(E)_x000a_Current Period Desk _x000a_Reviews" totalsRowFunction="sum" dataDxfId="7826" totalsRowDxfId="7825"/>
    <tableColumn id="6" name="(F)_x000a_Current Period _x000a_Final _x000a_Audits" totalsRowFunction="sum" dataDxfId="7824" totalsRowDxfId="7823"/>
    <tableColumn id="7" name="(G)_x000a_Current Period _x000a_Other Adjustments" totalsRowFunction="sum" dataDxfId="7822" totalsRowDxfId="7821"/>
    <tableColumn id="8" name="(H)_x000a_Net Program Costs_x000a_Sum (C through G)" totalsRowFunction="sum" dataDxfId="7820" totalsRowDxfId="7819"/>
    <tableColumn id="9" name="(I)_x000a_Payments_x000a_ and Offsets" totalsRowFunction="sum" dataDxfId="7818" totalsRowDxfId="7817"/>
    <tableColumn id="10" name="(J)_x000a_Accounts Payable Balance_x000a_(H + I)" totalsRowFunction="sum" dataDxfId="7816" totalsRowDxfId="7815"/>
    <tableColumn id="11" name="(K)_x000a_Established _x000a_Accounts Receivable" totalsRowFunction="sum" dataDxfId="7814" totalsRowDxfId="7813"/>
    <tableColumn id="12" name="(L)_x000a_Recovered_x000a_ Accounts Receivable" totalsRowFunction="sum" dataDxfId="7812" totalsRowDxfId="7811"/>
    <tableColumn id="13" name="(M)_x000a_Accounts Receivable Balance_x000a_(K + L)" totalsRowFunction="sum" dataDxfId="7810" totalsRowDxfId="7809"/>
    <tableColumn id="14" name="(N)_x000a_Net Balance_x000a_(J minus M)" totalsRowFunction="sum" dataDxfId="7808" totalsRowDxfId="780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5.xml><?xml version="1.0" encoding="utf-8"?>
<table xmlns="http://schemas.openxmlformats.org/spreadsheetml/2006/main" id="65" name="Program180" displayName="Program180" ref="A1718:N1732" totalsRowCount="1" headerRowDxfId="7806" dataDxfId="7804" totalsRowDxfId="7802" headerRowBorderDxfId="7805" tableBorderDxfId="7803" totalsRowBorderDxfId="7801">
  <autoFilter ref="A1718:N1731"/>
  <tableColumns count="14">
    <tableColumn id="1" name="(A)_x000a_Program Name" totalsRowLabel="Total Program 180" dataDxfId="7800" totalsRowDxfId="7799"/>
    <tableColumn id="2" name="(B)_x000a_Fiscal _x000a_Year" totalsRowLabel="N/A" dataDxfId="7798" totalsRowDxfId="7797"/>
    <tableColumn id="3" name="(C)_x000a_Program_x000a_Costs" totalsRowFunction="sum" dataDxfId="7796" totalsRowDxfId="7795"/>
    <tableColumn id="4" name="(D)_x000a_Prior Period Adjustments" totalsRowFunction="sum" dataDxfId="7794" totalsRowDxfId="7793"/>
    <tableColumn id="5" name="(E)_x000a_Current Period Desk _x000a_Reviews" totalsRowFunction="sum" dataDxfId="7792" totalsRowDxfId="7791"/>
    <tableColumn id="6" name="(F)_x000a_Current Period _x000a_Final _x000a_Audits" totalsRowFunction="sum" dataDxfId="7790" totalsRowDxfId="7789"/>
    <tableColumn id="7" name="(G)_x000a_Current Period _x000a_Other Adjustments" totalsRowFunction="sum" dataDxfId="7788" totalsRowDxfId="7787"/>
    <tableColumn id="8" name="(H)_x000a_Net Program Costs_x000a_Sum (C through G)" totalsRowFunction="sum" dataDxfId="7786" totalsRowDxfId="7785"/>
    <tableColumn id="9" name="(I)_x000a_Payments_x000a_ and Offsets" totalsRowFunction="sum" dataDxfId="7784" totalsRowDxfId="7783"/>
    <tableColumn id="10" name="(J)_x000a_Accounts Payable Balance_x000a_(H + I)" totalsRowFunction="sum" dataDxfId="7782" totalsRowDxfId="7781"/>
    <tableColumn id="11" name="(K)_x000a_Established _x000a_Accounts Receivable" totalsRowFunction="sum" dataDxfId="7780" totalsRowDxfId="7779"/>
    <tableColumn id="12" name="(L)_x000a_Recovered_x000a_ Accounts Receivable" totalsRowFunction="sum" dataDxfId="7778" totalsRowDxfId="7777"/>
    <tableColumn id="13" name="(M)_x000a_Accounts Receivable Balance_x000a_(K + L)" totalsRowFunction="sum" dataDxfId="7776" totalsRowDxfId="7775"/>
    <tableColumn id="14" name="(N)_x000a_Net Balance_x000a_(J minus M)" totalsRowFunction="sum" dataDxfId="7774" totalsRowDxfId="777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6.xml><?xml version="1.0" encoding="utf-8"?>
<table xmlns="http://schemas.openxmlformats.org/spreadsheetml/2006/main" id="66" name="Program86" displayName="Program86" ref="A1710:N1716" totalsRowCount="1" headerRowDxfId="7772" dataDxfId="7770" totalsRowDxfId="7768" headerRowBorderDxfId="7771" tableBorderDxfId="7769" totalsRowBorderDxfId="7767">
  <autoFilter ref="A1710:N1715"/>
  <tableColumns count="14">
    <tableColumn id="1" name="(A)_x000a_Program Name" totalsRowLabel="Total Program 86" dataDxfId="7766" totalsRowDxfId="7765"/>
    <tableColumn id="2" name="(B)_x000a_Fiscal _x000a_Year" totalsRowLabel="N/A" dataDxfId="7764" totalsRowDxfId="7763"/>
    <tableColumn id="3" name="(C)_x000a_Program_x000a_Costs" totalsRowFunction="sum" dataDxfId="7762" totalsRowDxfId="7761"/>
    <tableColumn id="4" name="(D)_x000a_Prior Period Adjustments" totalsRowFunction="sum" dataDxfId="7760" totalsRowDxfId="7759"/>
    <tableColumn id="5" name="(E)_x000a_Current Period Desk _x000a_Reviews" totalsRowFunction="sum" dataDxfId="7758" totalsRowDxfId="7757"/>
    <tableColumn id="6" name="(F)_x000a_Current Period _x000a_Final _x000a_Audits" totalsRowFunction="sum" dataDxfId="7756" totalsRowDxfId="7755"/>
    <tableColumn id="7" name="(G)_x000a_Current Period _x000a_Other Adjustments" totalsRowFunction="sum" dataDxfId="7754" totalsRowDxfId="7753"/>
    <tableColumn id="8" name="(H)_x000a_Net Program Costs_x000a_Sum (C through G)" totalsRowFunction="sum" dataDxfId="7752" totalsRowDxfId="7751"/>
    <tableColumn id="9" name="(I)_x000a_Payments_x000a_ and Offsets" totalsRowFunction="sum" dataDxfId="7750" totalsRowDxfId="7749"/>
    <tableColumn id="10" name="(J)_x000a_Accounts Payable Balance_x000a_(H + I)" totalsRowFunction="sum" dataDxfId="7748" totalsRowDxfId="7747"/>
    <tableColumn id="11" name="(K)_x000a_Established _x000a_Accounts Receivable" totalsRowFunction="sum" dataDxfId="7746" totalsRowDxfId="7745"/>
    <tableColumn id="12" name="(L)_x000a_Recovered_x000a_ Accounts Receivable" totalsRowFunction="sum" dataDxfId="7744" totalsRowDxfId="7743"/>
    <tableColumn id="13" name="(M)_x000a_Accounts Receivable Balance_x000a_(K + L)" totalsRowFunction="sum" dataDxfId="7742" totalsRowDxfId="7741"/>
    <tableColumn id="14" name="(N)_x000a_Net Balance_x000a_(J minus M)" totalsRowFunction="sum" dataDxfId="7740" totalsRowDxfId="773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7.xml><?xml version="1.0" encoding="utf-8"?>
<table xmlns="http://schemas.openxmlformats.org/spreadsheetml/2006/main" id="67" name="Program364" displayName="Program364" ref="A1704:N1708" totalsRowCount="1" headerRowDxfId="7738" dataDxfId="7736" totalsRowDxfId="7734" headerRowBorderDxfId="7737" tableBorderDxfId="7735" totalsRowBorderDxfId="7733">
  <autoFilter ref="A1704:N1707"/>
  <tableColumns count="14">
    <tableColumn id="1" name="(A)_x000a_Program Name" totalsRowLabel="Total Program 364" dataDxfId="7732" totalsRowDxfId="7731"/>
    <tableColumn id="2" name="(B)_x000a_Fiscal _x000a_Year" totalsRowLabel="N/A" dataDxfId="7730" totalsRowDxfId="7729"/>
    <tableColumn id="3" name="(C)_x000a_Program_x000a_Costs" totalsRowFunction="sum" dataDxfId="7728" totalsRowDxfId="7727"/>
    <tableColumn id="4" name="(D)_x000a_Prior Period Adjustments" totalsRowFunction="sum" dataDxfId="7726" totalsRowDxfId="7725"/>
    <tableColumn id="5" name="(E)_x000a_Current Period Desk _x000a_Reviews" totalsRowFunction="sum" dataDxfId="7724" totalsRowDxfId="7723"/>
    <tableColumn id="6" name="(F)_x000a_Current Period _x000a_Final _x000a_Audits" totalsRowFunction="sum" dataDxfId="7722" totalsRowDxfId="7721"/>
    <tableColumn id="7" name="(G)_x000a_Current Period _x000a_Other Adjustments" totalsRowFunction="sum" dataDxfId="7720" totalsRowDxfId="7719"/>
    <tableColumn id="8" name="(H)_x000a_Net Program Costs_x000a_Sum (C through G)" totalsRowFunction="sum" dataDxfId="7718" totalsRowDxfId="7717"/>
    <tableColumn id="9" name="(I)_x000a_Payments_x000a_ and Offsets" totalsRowFunction="sum" dataDxfId="7716" totalsRowDxfId="7715"/>
    <tableColumn id="10" name="(J)_x000a_Accounts Payable Balance_x000a_(H + I)" totalsRowFunction="sum" dataDxfId="7714" totalsRowDxfId="7713"/>
    <tableColumn id="11" name="(K)_x000a_Established _x000a_Accounts Receivable" totalsRowFunction="sum" dataDxfId="7712" totalsRowDxfId="7711"/>
    <tableColumn id="12" name="(L)_x000a_Recovered_x000a_ Accounts Receivable" totalsRowFunction="sum" dataDxfId="7710" totalsRowDxfId="7709"/>
    <tableColumn id="13" name="(M)_x000a_Accounts Receivable Balance_x000a_(K + L)" totalsRowFunction="sum" dataDxfId="7708" totalsRowDxfId="7707"/>
    <tableColumn id="14" name="(N)_x000a_Net Balance_x000a_(J minus M)" totalsRowFunction="sum" dataDxfId="7706" totalsRowDxfId="770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8.xml><?xml version="1.0" encoding="utf-8"?>
<table xmlns="http://schemas.openxmlformats.org/spreadsheetml/2006/main" id="68" name="Program175" displayName="Program175" ref="A1677:N1702" totalsRowCount="1" headerRowDxfId="7704" dataDxfId="7702" totalsRowDxfId="7700" headerRowBorderDxfId="7703" tableBorderDxfId="7701" totalsRowBorderDxfId="7699">
  <autoFilter ref="A1677:N1701"/>
  <tableColumns count="14">
    <tableColumn id="1" name="(A)_x000a_Program Name" totalsRowLabel="Total Program 175" dataDxfId="7698" totalsRowDxfId="7697"/>
    <tableColumn id="2" name="(B)_x000a_Fiscal _x000a_Year" totalsRowLabel="N/A" dataDxfId="7696" totalsRowDxfId="7695"/>
    <tableColumn id="3" name="(C)_x000a_Program_x000a_Costs" totalsRowFunction="sum" dataDxfId="7694" totalsRowDxfId="7693"/>
    <tableColumn id="4" name="(D)_x000a_Prior Period Adjustments" totalsRowFunction="sum" dataDxfId="7692" totalsRowDxfId="7691"/>
    <tableColumn id="5" name="(E)_x000a_Current Period Desk _x000a_Reviews" totalsRowFunction="sum" dataDxfId="7690" totalsRowDxfId="7689"/>
    <tableColumn id="6" name="(F)_x000a_Current Period _x000a_Final _x000a_Audits" totalsRowFunction="sum" dataDxfId="7688" totalsRowDxfId="7687"/>
    <tableColumn id="7" name="(G)_x000a_Current Period _x000a_Other Adjustments" totalsRowFunction="sum" dataDxfId="7686" totalsRowDxfId="7685"/>
    <tableColumn id="8" name="(H)_x000a_Net Program Costs_x000a_Sum (C through G)" totalsRowFunction="sum" dataDxfId="7684" totalsRowDxfId="7683"/>
    <tableColumn id="9" name="(I)_x000a_Payments_x000a_ and Offsets" totalsRowFunction="sum" dataDxfId="7682" totalsRowDxfId="7681"/>
    <tableColumn id="10" name="(J)_x000a_Accounts Payable Balance_x000a_(H + I)" totalsRowFunction="sum" dataDxfId="7680" totalsRowDxfId="7679"/>
    <tableColumn id="11" name="(K)_x000a_Established _x000a_Accounts Receivable" totalsRowFunction="sum" dataDxfId="7678" totalsRowDxfId="7677"/>
    <tableColumn id="12" name="(L)_x000a_Recovered_x000a_ Accounts Receivable" totalsRowFunction="sum" dataDxfId="7676" totalsRowDxfId="7675"/>
    <tableColumn id="13" name="(M)_x000a_Accounts Receivable Balance_x000a_(K + L)" totalsRowFunction="sum" dataDxfId="7674" totalsRowDxfId="7673"/>
    <tableColumn id="14" name="(N)_x000a_Net Balance_x000a_(J minus M)" totalsRowFunction="sum" dataDxfId="7672" totalsRowDxfId="767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69.xml><?xml version="1.0" encoding="utf-8"?>
<table xmlns="http://schemas.openxmlformats.org/spreadsheetml/2006/main" id="69" name="Program217" displayName="Program217" ref="A1667:N1675" totalsRowCount="1" headerRowDxfId="7670" dataDxfId="7668" totalsRowDxfId="7666" headerRowBorderDxfId="7669" tableBorderDxfId="7667" totalsRowBorderDxfId="7665">
  <autoFilter ref="A1667:N1674"/>
  <tableColumns count="14">
    <tableColumn id="1" name="(A)_x000a_Program Name" totalsRowLabel="Total Program 217" dataDxfId="7664" totalsRowDxfId="7663"/>
    <tableColumn id="2" name="(B)_x000a_Fiscal _x000a_Year" totalsRowLabel="N/A" dataDxfId="7662" totalsRowDxfId="7661"/>
    <tableColumn id="3" name="(C)_x000a_Program_x000a_Costs" totalsRowFunction="sum" dataDxfId="7660" totalsRowDxfId="7659"/>
    <tableColumn id="4" name="(D)_x000a_Prior Period Adjustments" totalsRowFunction="sum" dataDxfId="7658" totalsRowDxfId="7657"/>
    <tableColumn id="5" name="(E)_x000a_Current Period Desk _x000a_Reviews" totalsRowFunction="sum" dataDxfId="7656" totalsRowDxfId="7655"/>
    <tableColumn id="6" name="(F)_x000a_Current Period _x000a_Final _x000a_Audits" totalsRowFunction="sum" dataDxfId="7654" totalsRowDxfId="7653"/>
    <tableColumn id="7" name="(G)_x000a_Current Period _x000a_Other Adjustments" totalsRowFunction="sum" dataDxfId="7652" totalsRowDxfId="7651"/>
    <tableColumn id="8" name="(H)_x000a_Net Program Costs_x000a_Sum (C through G)" totalsRowFunction="sum" dataDxfId="7650" totalsRowDxfId="7649"/>
    <tableColumn id="9" name="(I)_x000a_Payments_x000a_ and Offsets" totalsRowFunction="sum" dataDxfId="7648" totalsRowDxfId="7647"/>
    <tableColumn id="10" name="(J)_x000a_Accounts Payable Balance_x000a_(H + I)" totalsRowFunction="sum" dataDxfId="7646" totalsRowDxfId="7645"/>
    <tableColumn id="11" name="(K)_x000a_Established _x000a_Accounts Receivable" totalsRowFunction="sum" dataDxfId="7644" totalsRowDxfId="7643"/>
    <tableColumn id="12" name="(L)_x000a_Recovered_x000a_ Accounts Receivable" totalsRowFunction="sum" dataDxfId="7642" totalsRowDxfId="7641"/>
    <tableColumn id="13" name="(M)_x000a_Accounts Receivable Balance_x000a_(K + L)" totalsRowFunction="sum" dataDxfId="7640" totalsRowDxfId="7639"/>
    <tableColumn id="14" name="(N)_x000a_Net Balance_x000a_(J minus M)" totalsRowFunction="sum" dataDxfId="7638" totalsRowDxfId="763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.xml><?xml version="1.0" encoding="utf-8"?>
<table xmlns="http://schemas.openxmlformats.org/spreadsheetml/2006/main" id="1" name="Program2" displayName="Program2" ref="A2:N26" totalsRowCount="1" headerRowDxfId="9778" dataDxfId="9776" totalsRowDxfId="9774" headerRowBorderDxfId="9777" tableBorderDxfId="9775" totalsRowBorderDxfId="9773">
  <autoFilter ref="A2:N25"/>
  <tableColumns count="14">
    <tableColumn id="1" name="(A)_x000a_Program Name" totalsRowLabel="Total Program 2" dataDxfId="9772" totalsRowDxfId="9771"/>
    <tableColumn id="2" name="(B)_x000a_Fiscal _x000a_Year" totalsRowLabel="N/A" dataDxfId="9770" totalsRowDxfId="9769"/>
    <tableColumn id="3" name="(C)_x000a_Program_x000a_Costs" totalsRowFunction="sum" dataDxfId="9768" totalsRowDxfId="9767"/>
    <tableColumn id="4" name="(D)_x000a_Prior Period Adjustments" totalsRowFunction="sum" dataDxfId="9766" totalsRowDxfId="9765"/>
    <tableColumn id="5" name="(E)_x000a_Current Period Desk _x000a_Reviews" totalsRowFunction="sum" dataDxfId="9764" totalsRowDxfId="9763"/>
    <tableColumn id="6" name="(F)_x000a_Current Period _x000a_Final _x000a_Audits" totalsRowFunction="sum" dataDxfId="9762" totalsRowDxfId="9761"/>
    <tableColumn id="7" name="(G)_x000a_Current Period _x000a_Other Adjustments" totalsRowFunction="sum" dataDxfId="9760" totalsRowDxfId="9759"/>
    <tableColumn id="8" name="(H)_x000a_Net Program Costs_x000a_Sum (C through G)" totalsRowFunction="sum" dataDxfId="9758" totalsRowDxfId="9757"/>
    <tableColumn id="9" name="(I)_x000a_Payments_x000a_ and Offsets" totalsRowFunction="sum" dataDxfId="9756" totalsRowDxfId="9755"/>
    <tableColumn id="10" name="(J)_x000a_Accounts Payable Balance_x000a_(H + I)" totalsRowFunction="sum" dataDxfId="9754" totalsRowDxfId="9753"/>
    <tableColumn id="11" name="(K)_x000a_Established _x000a_Accounts Receivable" totalsRowFunction="sum" dataDxfId="9752" totalsRowDxfId="9751"/>
    <tableColumn id="12" name="(L)_x000a_Recovered_x000a_ Accounts Receivable" totalsRowFunction="sum" dataDxfId="9750" totalsRowDxfId="9749"/>
    <tableColumn id="13" name="(M)_x000a_Accounts Receivable Balance_x000a_(K + L)" totalsRowFunction="sum" dataDxfId="9748" totalsRowDxfId="9747"/>
    <tableColumn id="14" name="(N)_x000a_Net Balance_x000a_(J minus M)" totalsRowFunction="sum" dataDxfId="9746" totalsRowDxfId="974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0.xml><?xml version="1.0" encoding="utf-8"?>
<table xmlns="http://schemas.openxmlformats.org/spreadsheetml/2006/main" id="70" name="Program220" displayName="Program220" ref="A1657:N1665" totalsRowCount="1" headerRowDxfId="7636" dataDxfId="7634" totalsRowDxfId="7632" headerRowBorderDxfId="7635" tableBorderDxfId="7633" totalsRowBorderDxfId="7631">
  <autoFilter ref="A1657:N1664"/>
  <tableColumns count="14">
    <tableColumn id="1" name="(A)_x000a_Program Name" totalsRowLabel="Total Program 220" dataDxfId="7630" totalsRowDxfId="7629"/>
    <tableColumn id="2" name="(B)_x000a_Fiscal _x000a_Year" totalsRowLabel="N/A" dataDxfId="7628" totalsRowDxfId="7627"/>
    <tableColumn id="3" name="(C)_x000a_Program_x000a_Costs" totalsRowFunction="sum" dataDxfId="7626" totalsRowDxfId="7625"/>
    <tableColumn id="4" name="(D)_x000a_Prior Period Adjustments" totalsRowFunction="sum" dataDxfId="7624" totalsRowDxfId="7623"/>
    <tableColumn id="5" name="(E)_x000a_Current Period Desk _x000a_Reviews" totalsRowFunction="sum" dataDxfId="7622" totalsRowDxfId="7621"/>
    <tableColumn id="6" name="(F)_x000a_Current Period _x000a_Final _x000a_Audits" totalsRowFunction="sum" dataDxfId="7620" totalsRowDxfId="7619"/>
    <tableColumn id="7" name="(G)_x000a_Current Period _x000a_Other Adjustments" totalsRowFunction="sum" dataDxfId="7618" totalsRowDxfId="7617"/>
    <tableColumn id="8" name="(H)_x000a_Net Program Costs_x000a_Sum (C through G)" totalsRowFunction="sum" dataDxfId="7616" totalsRowDxfId="7615"/>
    <tableColumn id="9" name="(I)_x000a_Payments_x000a_ and Offsets" totalsRowFunction="sum" dataDxfId="7614" totalsRowDxfId="7613"/>
    <tableColumn id="10" name="(J)_x000a_Accounts Payable Balance_x000a_(H + I)" totalsRowFunction="sum" dataDxfId="7612" totalsRowDxfId="7611"/>
    <tableColumn id="11" name="(K)_x000a_Established _x000a_Accounts Receivable" totalsRowFunction="sum" dataDxfId="7610" totalsRowDxfId="7609"/>
    <tableColumn id="12" name="(L)_x000a_Recovered_x000a_ Accounts Receivable" totalsRowFunction="sum" dataDxfId="7608" totalsRowDxfId="7607"/>
    <tableColumn id="13" name="(M)_x000a_Accounts Receivable Balance_x000a_(K + L)" totalsRowFunction="sum" dataDxfId="7606" totalsRowDxfId="7605"/>
    <tableColumn id="14" name="(N)_x000a_Net Balance_x000a_(J minus M)" totalsRowFunction="sum" dataDxfId="7604" totalsRowDxfId="760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1.xml><?xml version="1.0" encoding="utf-8"?>
<table xmlns="http://schemas.openxmlformats.org/spreadsheetml/2006/main" id="71" name="Program191" displayName="Program191" ref="A1643:N1655" totalsRowCount="1" headerRowDxfId="7602" dataDxfId="7600" totalsRowDxfId="7598" headerRowBorderDxfId="7601" tableBorderDxfId="7599" totalsRowBorderDxfId="7597">
  <autoFilter ref="A1643:N1654"/>
  <tableColumns count="14">
    <tableColumn id="1" name="(A)_x000a_Program Name" totalsRowLabel="Total Program 191" dataDxfId="7596" totalsRowDxfId="7595"/>
    <tableColumn id="2" name="(B)_x000a_Fiscal _x000a_Year" totalsRowLabel="N/A" dataDxfId="7594" totalsRowDxfId="7593"/>
    <tableColumn id="3" name="(C)_x000a_Program_x000a_Costs" totalsRowFunction="sum" dataDxfId="7592" totalsRowDxfId="7591"/>
    <tableColumn id="4" name="(D)_x000a_Prior Period Adjustments" totalsRowFunction="sum" dataDxfId="7590" totalsRowDxfId="7589"/>
    <tableColumn id="5" name="(E)_x000a_Current Period Desk _x000a_Reviews" totalsRowFunction="sum" dataDxfId="7588" totalsRowDxfId="7587"/>
    <tableColumn id="6" name="(F)_x000a_Current Period _x000a_Final _x000a_Audits" totalsRowFunction="sum" dataDxfId="7586" totalsRowDxfId="7585"/>
    <tableColumn id="7" name="(G)_x000a_Current Period _x000a_Other Adjustments" totalsRowFunction="sum" dataDxfId="7584" totalsRowDxfId="7583"/>
    <tableColumn id="8" name="(H)_x000a_Net Program Costs_x000a_Sum (C through G)" totalsRowFunction="sum" dataDxfId="7582" totalsRowDxfId="7581"/>
    <tableColumn id="9" name="(I)_x000a_Payments_x000a_ and Offsets" totalsRowFunction="sum" dataDxfId="7580" totalsRowDxfId="7579"/>
    <tableColumn id="10" name="(J)_x000a_Accounts Payable Balance_x000a_(H + I)" totalsRowFunction="sum" dataDxfId="7578" totalsRowDxfId="7577"/>
    <tableColumn id="11" name="(K)_x000a_Established _x000a_Accounts Receivable" totalsRowFunction="sum" dataDxfId="7576" totalsRowDxfId="7575"/>
    <tableColumn id="12" name="(L)_x000a_Recovered_x000a_ Accounts Receivable" totalsRowFunction="sum" dataDxfId="7574" totalsRowDxfId="7573"/>
    <tableColumn id="13" name="(M)_x000a_Accounts Receivable Balance_x000a_(K + L)" totalsRowFunction="sum" dataDxfId="7572" totalsRowDxfId="7571"/>
    <tableColumn id="14" name="(N)_x000a_Net Balance_x000a_(J minus M)" totalsRowFunction="sum" dataDxfId="7570" totalsRowDxfId="756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2.xml><?xml version="1.0" encoding="utf-8"?>
<table xmlns="http://schemas.openxmlformats.org/spreadsheetml/2006/main" id="72" name="Program18" displayName="Program18" ref="A1623:N1641" totalsRowCount="1" headerRowDxfId="7568" dataDxfId="7566" totalsRowDxfId="7564" headerRowBorderDxfId="7567" tableBorderDxfId="7565" totalsRowBorderDxfId="7563">
  <autoFilter ref="A1623:N1640"/>
  <tableColumns count="14">
    <tableColumn id="1" name="(A)_x000a_Program Name" totalsRowLabel="Total Program 18" dataDxfId="7562" totalsRowDxfId="7561"/>
    <tableColumn id="2" name="(B)_x000a_Fiscal _x000a_Year" totalsRowLabel="N/A" dataDxfId="7560" totalsRowDxfId="7559"/>
    <tableColumn id="3" name="(C)_x000a_Program_x000a_Costs" totalsRowFunction="sum" dataDxfId="7558" totalsRowDxfId="7557"/>
    <tableColumn id="4" name="(D)_x000a_Prior Period Adjustments" totalsRowFunction="sum" dataDxfId="7556" totalsRowDxfId="7555"/>
    <tableColumn id="5" name="(E)_x000a_Current Period Desk _x000a_Reviews" totalsRowFunction="sum" dataDxfId="7554" totalsRowDxfId="7553"/>
    <tableColumn id="6" name="(F)_x000a_Current Period _x000a_Final _x000a_Audits" totalsRowFunction="sum" dataDxfId="7552" totalsRowDxfId="7551"/>
    <tableColumn id="7" name="(G)_x000a_Current Period _x000a_Other Adjustments" totalsRowFunction="sum" dataDxfId="7550" totalsRowDxfId="7549"/>
    <tableColumn id="8" name="(H)_x000a_Net Program Costs_x000a_Sum (C through G)" totalsRowFunction="sum" dataDxfId="7548" totalsRowDxfId="7547"/>
    <tableColumn id="9" name="(I)_x000a_Payments_x000a_ and Offsets" totalsRowFunction="sum" dataDxfId="7546" totalsRowDxfId="7545"/>
    <tableColumn id="10" name="(J)_x000a_Accounts Payable Balance_x000a_(H + I)" totalsRowFunction="sum" dataDxfId="7544" totalsRowDxfId="7543"/>
    <tableColumn id="11" name="(K)_x000a_Established _x000a_Accounts Receivable" totalsRowFunction="sum" dataDxfId="7542" totalsRowDxfId="7541"/>
    <tableColumn id="12" name="(L)_x000a_Recovered_x000a_ Accounts Receivable" totalsRowFunction="sum" dataDxfId="7540" totalsRowDxfId="7539"/>
    <tableColumn id="13" name="(M)_x000a_Accounts Receivable Balance_x000a_(K + L)" totalsRowFunction="sum" dataDxfId="7538" totalsRowDxfId="7537"/>
    <tableColumn id="14" name="(N)_x000a_Net Balance_x000a_(J minus M)" totalsRowFunction="sum" dataDxfId="7536" totalsRowDxfId="753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3.xml><?xml version="1.0" encoding="utf-8"?>
<table xmlns="http://schemas.openxmlformats.org/spreadsheetml/2006/main" id="73" name="Program73" displayName="Program73" ref="A1599:N1621" totalsRowCount="1" headerRowDxfId="7534" dataDxfId="7532" totalsRowDxfId="7530" headerRowBorderDxfId="7533" tableBorderDxfId="7531" totalsRowBorderDxfId="7529">
  <autoFilter ref="A1599:N1620"/>
  <tableColumns count="14">
    <tableColumn id="1" name="(A)_x000a_Program Name" totalsRowLabel="Total Program 73" dataDxfId="7528" totalsRowDxfId="7527"/>
    <tableColumn id="2" name="(B)_x000a_Fiscal _x000a_Year" totalsRowLabel="N/A" dataDxfId="7526" totalsRowDxfId="7525"/>
    <tableColumn id="3" name="(C)_x000a_Program_x000a_Costs" totalsRowFunction="sum" dataDxfId="7524" totalsRowDxfId="7523"/>
    <tableColumn id="4" name="(D)_x000a_Prior Period Adjustments" totalsRowFunction="sum" dataDxfId="7522" totalsRowDxfId="7521"/>
    <tableColumn id="5" name="(E)_x000a_Current Period Desk _x000a_Reviews" totalsRowFunction="sum" dataDxfId="7520" totalsRowDxfId="7519"/>
    <tableColumn id="6" name="(F)_x000a_Current Period _x000a_Final _x000a_Audits" totalsRowFunction="sum" dataDxfId="7518" totalsRowDxfId="7517"/>
    <tableColumn id="7" name="(G)_x000a_Current Period _x000a_Other Adjustments" totalsRowFunction="sum" dataDxfId="7516" totalsRowDxfId="7515"/>
    <tableColumn id="8" name="(H)_x000a_Net Program Costs_x000a_Sum (C through G)" totalsRowFunction="sum" dataDxfId="7514" totalsRowDxfId="7513"/>
    <tableColumn id="9" name="(I)_x000a_Payments_x000a_ and Offsets" totalsRowFunction="sum" dataDxfId="7512" totalsRowDxfId="7511"/>
    <tableColumn id="10" name="(J)_x000a_Accounts Payable Balance_x000a_(H + I)" totalsRowFunction="sum" dataDxfId="7510" totalsRowDxfId="7509"/>
    <tableColumn id="11" name="(K)_x000a_Established _x000a_Accounts Receivable" totalsRowFunction="sum" dataDxfId="7508" totalsRowDxfId="7507"/>
    <tableColumn id="12" name="(L)_x000a_Recovered_x000a_ Accounts Receivable" totalsRowFunction="sum" dataDxfId="7506" totalsRowDxfId="7505"/>
    <tableColumn id="13" name="(M)_x000a_Accounts Receivable Balance_x000a_(K + L)" totalsRowFunction="sum" dataDxfId="7504" totalsRowDxfId="7503"/>
    <tableColumn id="14" name="(N)_x000a_Net Balance_x000a_(J minus M)" totalsRowFunction="sum" dataDxfId="7502" totalsRowDxfId="750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4.xml><?xml version="1.0" encoding="utf-8"?>
<table xmlns="http://schemas.openxmlformats.org/spreadsheetml/2006/main" id="74" name="Program55" displayName="Program55" ref="A1582:N1597" totalsRowCount="1" headerRowDxfId="7500" dataDxfId="7498" totalsRowDxfId="7496" headerRowBorderDxfId="7499" tableBorderDxfId="7497" totalsRowBorderDxfId="7495">
  <autoFilter ref="A1582:N1596"/>
  <tableColumns count="14">
    <tableColumn id="1" name="(A)_x000a_Program Name" totalsRowLabel="Total Program 55" dataDxfId="7494" totalsRowDxfId="7493"/>
    <tableColumn id="2" name="(B)_x000a_Fiscal _x000a_Year" totalsRowLabel="N/A" dataDxfId="7492" totalsRowDxfId="7491"/>
    <tableColumn id="3" name="(C)_x000a_Program_x000a_Costs" totalsRowFunction="sum" dataDxfId="7490" totalsRowDxfId="7489"/>
    <tableColumn id="4" name="(D)_x000a_Prior Period Adjustments" totalsRowFunction="sum" dataDxfId="7488" totalsRowDxfId="7487"/>
    <tableColumn id="5" name="(E)_x000a_Current Period Desk _x000a_Reviews" totalsRowFunction="sum" dataDxfId="7486" totalsRowDxfId="7485"/>
    <tableColumn id="6" name="(F)_x000a_Current Period _x000a_Final _x000a_Audits" totalsRowFunction="sum" dataDxfId="7484" totalsRowDxfId="7483"/>
    <tableColumn id="7" name="(G)_x000a_Current Period _x000a_Other Adjustments" totalsRowFunction="sum" dataDxfId="7482" totalsRowDxfId="7481"/>
    <tableColumn id="8" name="(H)_x000a_Net Program Costs_x000a_Sum (C through G)" totalsRowFunction="sum" dataDxfId="7480" totalsRowDxfId="7479"/>
    <tableColumn id="9" name="(I)_x000a_Payments_x000a_ and Offsets" totalsRowFunction="sum" dataDxfId="7478" totalsRowDxfId="7477"/>
    <tableColumn id="10" name="(J)_x000a_Accounts Payable Balance_x000a_(H + I)" totalsRowFunction="sum" dataDxfId="7476" totalsRowDxfId="7475"/>
    <tableColumn id="11" name="(K)_x000a_Established _x000a_Accounts Receivable" totalsRowFunction="sum" dataDxfId="7474" totalsRowDxfId="7473"/>
    <tableColumn id="12" name="(L)_x000a_Recovered_x000a_ Accounts Receivable" totalsRowFunction="sum" dataDxfId="7472" totalsRowDxfId="7471"/>
    <tableColumn id="13" name="(M)_x000a_Accounts Receivable Balance_x000a_(K + L)" totalsRowFunction="sum" dataDxfId="7470" totalsRowDxfId="7469"/>
    <tableColumn id="14" name="(N)_x000a_Net Balance_x000a_(J minus M)" totalsRowFunction="sum" dataDxfId="7468" totalsRowDxfId="746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5.xml><?xml version="1.0" encoding="utf-8"?>
<table xmlns="http://schemas.openxmlformats.org/spreadsheetml/2006/main" id="75" name="Program245" displayName="Program245" ref="A1572:N1580" totalsRowCount="1" headerRowDxfId="7466" dataDxfId="7464" totalsRowDxfId="7462" headerRowBorderDxfId="7465" tableBorderDxfId="7463" totalsRowBorderDxfId="7461">
  <autoFilter ref="A1572:N1579"/>
  <tableColumns count="14">
    <tableColumn id="1" name="(A)_x000a_Program Name" totalsRowLabel="Total Program 245" dataDxfId="7460" totalsRowDxfId="7459"/>
    <tableColumn id="2" name="(B)_x000a_Fiscal _x000a_Year" totalsRowLabel="N/A" dataDxfId="7458" totalsRowDxfId="7457"/>
    <tableColumn id="3" name="(C)_x000a_Program_x000a_Costs" totalsRowFunction="sum" dataDxfId="7456" totalsRowDxfId="7455"/>
    <tableColumn id="4" name="(D)_x000a_Prior Period Adjustments" totalsRowFunction="sum" dataDxfId="7454" totalsRowDxfId="7453"/>
    <tableColumn id="5" name="(E)_x000a_Current Period Desk _x000a_Reviews" totalsRowFunction="sum" dataDxfId="7452" totalsRowDxfId="7451"/>
    <tableColumn id="6" name="(F)_x000a_Current Period _x000a_Final _x000a_Audits" totalsRowFunction="sum" dataDxfId="7450" totalsRowDxfId="7449"/>
    <tableColumn id="7" name="(G)_x000a_Current Period _x000a_Other Adjustments" totalsRowFunction="sum" dataDxfId="7448" totalsRowDxfId="7447"/>
    <tableColumn id="8" name="(H)_x000a_Net Program Costs_x000a_Sum (C through G)" totalsRowFunction="sum" dataDxfId="7446" totalsRowDxfId="7445"/>
    <tableColumn id="9" name="(I)_x000a_Payments_x000a_ and Offsets" totalsRowFunction="sum" dataDxfId="7444" totalsRowDxfId="7443"/>
    <tableColumn id="10" name="(J)_x000a_Accounts Payable Balance_x000a_(H + I)" totalsRowFunction="sum" dataDxfId="7442" totalsRowDxfId="7441"/>
    <tableColumn id="11" name="(K)_x000a_Established _x000a_Accounts Receivable" totalsRowFunction="sum" dataDxfId="7440" totalsRowDxfId="7439"/>
    <tableColumn id="12" name="(L)_x000a_Recovered_x000a_ Accounts Receivable" totalsRowFunction="sum" dataDxfId="7438" totalsRowDxfId="7437"/>
    <tableColumn id="13" name="(M)_x000a_Accounts Receivable Balance_x000a_(K + L)" totalsRowFunction="sum" dataDxfId="7436" totalsRowDxfId="7435"/>
    <tableColumn id="14" name="(N)_x000a_Net Balance_x000a_(J minus M)" totalsRowFunction="sum" dataDxfId="7434" totalsRowDxfId="743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6.xml><?xml version="1.0" encoding="utf-8"?>
<table xmlns="http://schemas.openxmlformats.org/spreadsheetml/2006/main" id="76" name="Program127" displayName="Program127" ref="A1541:N1570" totalsRowCount="1" headerRowDxfId="7432" dataDxfId="7430" totalsRowDxfId="7428" headerRowBorderDxfId="7431" tableBorderDxfId="7429" totalsRowBorderDxfId="7427">
  <autoFilter ref="A1541:N1569"/>
  <tableColumns count="14">
    <tableColumn id="1" name="(A)_x000a_Program Name" totalsRowLabel="Total Program 127" dataDxfId="7426" totalsRowDxfId="7425"/>
    <tableColumn id="2" name="(B)_x000a_Fiscal _x000a_Year" totalsRowLabel="N/A" dataDxfId="7424" totalsRowDxfId="7423"/>
    <tableColumn id="3" name="(C)_x000a_Program_x000a_Costs" totalsRowFunction="sum" dataDxfId="7422" totalsRowDxfId="7421"/>
    <tableColumn id="4" name="(D)_x000a_Prior Period Adjustments" totalsRowFunction="sum" dataDxfId="7420" totalsRowDxfId="7419"/>
    <tableColumn id="5" name="(E)_x000a_Current Period Desk _x000a_Reviews" totalsRowFunction="sum" dataDxfId="7418" totalsRowDxfId="7417"/>
    <tableColumn id="6" name="(F)_x000a_Current Period _x000a_Final _x000a_Audits" totalsRowFunction="sum" dataDxfId="7416" totalsRowDxfId="7415"/>
    <tableColumn id="7" name="(G)_x000a_Current Period _x000a_Other Adjustments" totalsRowFunction="sum" dataDxfId="7414" totalsRowDxfId="7413"/>
    <tableColumn id="8" name="(H)_x000a_Net Program Costs_x000a_Sum (C through G)" totalsRowFunction="sum" dataDxfId="7412" totalsRowDxfId="7411"/>
    <tableColumn id="9" name="(I)_x000a_Payments_x000a_ and Offsets" totalsRowFunction="sum" dataDxfId="7410" totalsRowDxfId="7409"/>
    <tableColumn id="10" name="(J)_x000a_Accounts Payable Balance_x000a_(H + I)" totalsRowFunction="sum" dataDxfId="7408" totalsRowDxfId="7407"/>
    <tableColumn id="11" name="(K)_x000a_Established _x000a_Accounts Receivable" totalsRowFunction="sum" dataDxfId="7406" totalsRowDxfId="7405"/>
    <tableColumn id="12" name="(L)_x000a_Recovered_x000a_ Accounts Receivable" totalsRowFunction="sum" dataDxfId="7404" totalsRowDxfId="7403"/>
    <tableColumn id="13" name="(M)_x000a_Accounts Receivable Balance_x000a_(K + L)" totalsRowFunction="sum" dataDxfId="7402" totalsRowDxfId="7401"/>
    <tableColumn id="14" name="(N)_x000a_Net Balance_x000a_(J minus M)" totalsRowFunction="sum" dataDxfId="7400" totalsRowDxfId="739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7.xml><?xml version="1.0" encoding="utf-8"?>
<table xmlns="http://schemas.openxmlformats.org/spreadsheetml/2006/main" id="77" name="Program282" displayName="Program282" ref="A1532:N1539" totalsRowCount="1" headerRowDxfId="7398" dataDxfId="7396" totalsRowDxfId="7394" headerRowBorderDxfId="7397" tableBorderDxfId="7395" totalsRowBorderDxfId="7393">
  <autoFilter ref="A1532:N1538"/>
  <tableColumns count="14">
    <tableColumn id="1" name="(A)_x000a_Program Name" totalsRowLabel="Total Program 282" dataDxfId="7392" totalsRowDxfId="7391"/>
    <tableColumn id="2" name="(B)_x000a_Fiscal _x000a_Year" totalsRowLabel="N/A" dataDxfId="7390" totalsRowDxfId="7389"/>
    <tableColumn id="3" name="(C)_x000a_Program_x000a_Costs" totalsRowFunction="sum" dataDxfId="7388" totalsRowDxfId="7387"/>
    <tableColumn id="4" name="(D)_x000a_Prior Period Adjustments" totalsRowFunction="sum" dataDxfId="7386" totalsRowDxfId="7385"/>
    <tableColumn id="5" name="(E)_x000a_Current Period Desk _x000a_Reviews" totalsRowFunction="sum" dataDxfId="7384" totalsRowDxfId="7383"/>
    <tableColumn id="6" name="(F)_x000a_Current Period _x000a_Final _x000a_Audits" totalsRowFunction="sum" dataDxfId="7382" totalsRowDxfId="7381"/>
    <tableColumn id="7" name="(G)_x000a_Current Period _x000a_Other Adjustments" totalsRowFunction="sum" dataDxfId="7380" totalsRowDxfId="7379"/>
    <tableColumn id="8" name="(H)_x000a_Net Program Costs_x000a_Sum (C through G)" totalsRowFunction="sum" dataDxfId="7378" totalsRowDxfId="7377"/>
    <tableColumn id="9" name="(I)_x000a_Payments_x000a_ and Offsets" totalsRowFunction="sum" dataDxfId="7376" totalsRowDxfId="7375"/>
    <tableColumn id="10" name="(J)_x000a_Accounts Payable Balance_x000a_(H + I)" totalsRowFunction="sum" dataDxfId="7374" totalsRowDxfId="7373"/>
    <tableColumn id="11" name="(K)_x000a_Established _x000a_Accounts Receivable" totalsRowFunction="sum" dataDxfId="7372" totalsRowDxfId="7371"/>
    <tableColumn id="12" name="(L)_x000a_Recovered_x000a_ Accounts Receivable" totalsRowFunction="sum" dataDxfId="7370" totalsRowDxfId="7369"/>
    <tableColumn id="13" name="(M)_x000a_Accounts Receivable Balance_x000a_(K + L)" totalsRowFunction="sum" dataDxfId="7368" totalsRowDxfId="7367"/>
    <tableColumn id="14" name="(N)_x000a_Net Balance_x000a_(J minus M)" totalsRowFunction="sum" dataDxfId="7366" totalsRowDxfId="7365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8.xml><?xml version="1.0" encoding="utf-8"?>
<table xmlns="http://schemas.openxmlformats.org/spreadsheetml/2006/main" id="78" name="Program52" displayName="Program52" ref="A1524:N1530" totalsRowCount="1" headerRowDxfId="7364" dataDxfId="7362" totalsRowDxfId="7360" headerRowBorderDxfId="7363" tableBorderDxfId="7361" totalsRowBorderDxfId="7359">
  <autoFilter ref="A1524:N1529"/>
  <tableColumns count="14">
    <tableColumn id="1" name="(A)_x000a_Program Name" totalsRowLabel="Total Program 52" dataDxfId="7358" totalsRowDxfId="7357"/>
    <tableColumn id="2" name="(B)_x000a_Fiscal _x000a_Year" totalsRowLabel="N/A" dataDxfId="7356" totalsRowDxfId="7355"/>
    <tableColumn id="3" name="(C)_x000a_Program_x000a_Costs" totalsRowFunction="sum" dataDxfId="7354" totalsRowDxfId="7353"/>
    <tableColumn id="4" name="(D)_x000a_Prior Period Adjustments" totalsRowFunction="sum" dataDxfId="7352" totalsRowDxfId="7351"/>
    <tableColumn id="5" name="(E)_x000a_Current Period Desk _x000a_Reviews" totalsRowFunction="sum" dataDxfId="7350" totalsRowDxfId="7349"/>
    <tableColumn id="6" name="(F)_x000a_Current Period _x000a_Final _x000a_Audits" totalsRowFunction="sum" dataDxfId="7348" totalsRowDxfId="7347"/>
    <tableColumn id="7" name="(G)_x000a_Current Period _x000a_Other Adjustments" totalsRowFunction="sum" dataDxfId="7346" totalsRowDxfId="7345"/>
    <tableColumn id="8" name="(H)_x000a_Net Program Costs_x000a_Sum (C through G)" totalsRowFunction="sum" dataDxfId="7344" totalsRowDxfId="7343"/>
    <tableColumn id="9" name="(I)_x000a_Payments_x000a_ and Offsets" totalsRowFunction="sum" dataDxfId="7342" totalsRowDxfId="7341"/>
    <tableColumn id="10" name="(J)_x000a_Accounts Payable Balance_x000a_(H + I)" totalsRowFunction="sum" dataDxfId="7340" totalsRowDxfId="7339"/>
    <tableColumn id="11" name="(K)_x000a_Established _x000a_Accounts Receivable" totalsRowFunction="sum" dataDxfId="7338" totalsRowDxfId="7337"/>
    <tableColumn id="12" name="(L)_x000a_Recovered_x000a_ Accounts Receivable" totalsRowFunction="sum" dataDxfId="7336" totalsRowDxfId="7335"/>
    <tableColumn id="13" name="(M)_x000a_Accounts Receivable Balance_x000a_(K + L)" totalsRowFunction="sum" dataDxfId="7334" totalsRowDxfId="7333"/>
    <tableColumn id="14" name="(N)_x000a_Net Balance_x000a_(J minus M)" totalsRowFunction="sum" dataDxfId="7332" totalsRowDxfId="733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79.xml><?xml version="1.0" encoding="utf-8"?>
<table xmlns="http://schemas.openxmlformats.org/spreadsheetml/2006/main" id="79" name="Program128" displayName="Program128" ref="A1507:N1522" totalsRowCount="1" headerRowDxfId="7330" dataDxfId="7328" totalsRowDxfId="7326" headerRowBorderDxfId="7329" tableBorderDxfId="7327" totalsRowBorderDxfId="7325">
  <autoFilter ref="A1507:N1521"/>
  <tableColumns count="14">
    <tableColumn id="1" name="(A)_x000a_Program Name" totalsRowLabel="Total Program 128" dataDxfId="7324" totalsRowDxfId="7323"/>
    <tableColumn id="2" name="(B)_x000a_Fiscal _x000a_Year" totalsRowLabel="N/A" dataDxfId="7322" totalsRowDxfId="7321"/>
    <tableColumn id="3" name="(C)_x000a_Program_x000a_Costs" totalsRowFunction="sum" dataDxfId="7320" totalsRowDxfId="7319"/>
    <tableColumn id="4" name="(D)_x000a_Prior Period Adjustments" totalsRowFunction="sum" dataDxfId="7318" totalsRowDxfId="7317"/>
    <tableColumn id="5" name="(E)_x000a_Current Period Desk _x000a_Reviews" totalsRowFunction="sum" dataDxfId="7316" totalsRowDxfId="7315"/>
    <tableColumn id="6" name="(F)_x000a_Current Period _x000a_Final _x000a_Audits" totalsRowFunction="sum" dataDxfId="7314" totalsRowDxfId="7313"/>
    <tableColumn id="7" name="(G)_x000a_Current Period _x000a_Other Adjustments" totalsRowFunction="sum" dataDxfId="7312" totalsRowDxfId="7311"/>
    <tableColumn id="8" name="(H)_x000a_Net Program Costs_x000a_Sum (C through G)" totalsRowFunction="sum" dataDxfId="7310" totalsRowDxfId="7309"/>
    <tableColumn id="9" name="(I)_x000a_Payments_x000a_ and Offsets" totalsRowFunction="sum" dataDxfId="7308" totalsRowDxfId="7307"/>
    <tableColumn id="10" name="(J)_x000a_Accounts Payable Balance_x000a_(H + I)" totalsRowFunction="sum" dataDxfId="7306" totalsRowDxfId="7305"/>
    <tableColumn id="11" name="(K)_x000a_Established _x000a_Accounts Receivable" totalsRowFunction="sum" dataDxfId="7304" totalsRowDxfId="7303"/>
    <tableColumn id="12" name="(L)_x000a_Recovered_x000a_ Accounts Receivable" totalsRowFunction="sum" dataDxfId="7302" totalsRowDxfId="7301"/>
    <tableColumn id="13" name="(M)_x000a_Accounts Receivable Balance_x000a_(K + L)" totalsRowFunction="sum" dataDxfId="7300" totalsRowDxfId="7299"/>
    <tableColumn id="14" name="(N)_x000a_Net Balance_x000a_(J minus M)" totalsRowFunction="sum" dataDxfId="7298" totalsRowDxfId="729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.xml><?xml version="1.0" encoding="utf-8"?>
<table xmlns="http://schemas.openxmlformats.org/spreadsheetml/2006/main" id="8" name="Progam248" displayName="Progam248" ref="A28:N41" totalsRowCount="1" headerRowDxfId="9744" dataDxfId="9742" totalsRowDxfId="9740" headerRowBorderDxfId="9743" tableBorderDxfId="9741" totalsRowBorderDxfId="9739">
  <autoFilter ref="A28:N40"/>
  <tableColumns count="14">
    <tableColumn id="1" name="(A)_x000a_Program Name" totalsRowLabel="Total Program 248" dataDxfId="9738" totalsRowDxfId="9737"/>
    <tableColumn id="2" name="(B)_x000a_Fiscal _x000a_Year" totalsRowLabel="N/A" dataDxfId="9736" totalsRowDxfId="9735"/>
    <tableColumn id="3" name="(C)_x000a_Program_x000a_Costs" totalsRowFunction="sum" dataDxfId="9734" totalsRowDxfId="9733"/>
    <tableColumn id="4" name="(D)_x000a_Prior Period Adjustments" totalsRowFunction="sum" dataDxfId="9732" totalsRowDxfId="9731"/>
    <tableColumn id="5" name="(E)_x000a_Current Period Desk _x000a_Reviews" totalsRowFunction="sum" dataDxfId="9730" totalsRowDxfId="9729"/>
    <tableColumn id="6" name="(F)_x000a_Current Period _x000a_Final _x000a_Audits" totalsRowFunction="sum" dataDxfId="9728" totalsRowDxfId="9727"/>
    <tableColumn id="7" name="(G)_x000a_Current Period _x000a_Other Adjustments" totalsRowFunction="sum" dataDxfId="9726" totalsRowDxfId="9725"/>
    <tableColumn id="8" name="(H)_x000a_Net Program Costs_x000a_Sum (C through G)" totalsRowFunction="sum" dataDxfId="9724" totalsRowDxfId="9723"/>
    <tableColumn id="9" name="(I)_x000a_Payments_x000a_ and Offsets" totalsRowFunction="sum" dataDxfId="9722" totalsRowDxfId="9721"/>
    <tableColumn id="10" name="(J)_x000a_Accounts Payable Balance_x000a_(H + I)" totalsRowFunction="sum" dataDxfId="9720" totalsRowDxfId="9719"/>
    <tableColumn id="11" name="(K)_x000a_Established _x000a_Accounts Receivable" totalsRowFunction="sum" dataDxfId="9718" totalsRowDxfId="9717"/>
    <tableColumn id="12" name="(L)_x000a_Recovered_x000a_ Accounts Receivable" totalsRowFunction="sum" dataDxfId="9716" totalsRowDxfId="9715"/>
    <tableColumn id="13" name="(M)_x000a_Accounts Receivable Balance_x000a_(K + L)" totalsRowFunction="sum" dataDxfId="9714" totalsRowDxfId="9713"/>
    <tableColumn id="14" name="(N)_x000a_Net Balance_x000a_(J minus M)" totalsRowFunction="sum" dataDxfId="9712" totalsRowDxfId="9711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0.xml><?xml version="1.0" encoding="utf-8"?>
<table xmlns="http://schemas.openxmlformats.org/spreadsheetml/2006/main" id="80" name="Program222" displayName="Program222" ref="A1500:N1505" totalsRowCount="1" headerRowDxfId="7296" dataDxfId="7294" totalsRowDxfId="7292" headerRowBorderDxfId="7295" tableBorderDxfId="7293" totalsRowBorderDxfId="7291">
  <autoFilter ref="A1500:N1504"/>
  <tableColumns count="14">
    <tableColumn id="1" name="(A)_x000a_Program Name" totalsRowLabel="Total Program 222" dataDxfId="7290" totalsRowDxfId="7289"/>
    <tableColumn id="2" name="(B)_x000a_Fiscal _x000a_Year" totalsRowLabel="N/A" dataDxfId="7288" totalsRowDxfId="7287"/>
    <tableColumn id="3" name="(C)_x000a_Program_x000a_Costs" totalsRowFunction="sum" dataDxfId="7286" totalsRowDxfId="7285"/>
    <tableColumn id="4" name="(D)_x000a_Prior Period Adjustments" totalsRowFunction="sum" dataDxfId="7284" totalsRowDxfId="7283"/>
    <tableColumn id="5" name="(E)_x000a_Current Period Desk _x000a_Reviews" totalsRowFunction="sum" dataDxfId="7282" totalsRowDxfId="7281"/>
    <tableColumn id="6" name="(F)_x000a_Current Period _x000a_Final _x000a_Audits" totalsRowFunction="sum" dataDxfId="7280" totalsRowDxfId="7279"/>
    <tableColumn id="7" name="(G)_x000a_Current Period _x000a_Other Adjustments" totalsRowFunction="sum" dataDxfId="7278" totalsRowDxfId="7277"/>
    <tableColumn id="8" name="(H)_x000a_Net Program Costs_x000a_Sum (C through G)" totalsRowFunction="sum" dataDxfId="7276" totalsRowDxfId="7275"/>
    <tableColumn id="9" name="(I)_x000a_Payments_x000a_ and Offsets" totalsRowFunction="sum" dataDxfId="7274" totalsRowDxfId="7273"/>
    <tableColumn id="10" name="(J)_x000a_Accounts Payable Balance_x000a_(H + I)" totalsRowFunction="sum" dataDxfId="7272" totalsRowDxfId="7271"/>
    <tableColumn id="11" name="(K)_x000a_Established _x000a_Accounts Receivable" totalsRowFunction="sum" dataDxfId="7270" totalsRowDxfId="7269"/>
    <tableColumn id="12" name="(L)_x000a_Recovered_x000a_ Accounts Receivable" totalsRowFunction="sum" dataDxfId="7268" totalsRowDxfId="7267"/>
    <tableColumn id="13" name="(M)_x000a_Accounts Receivable Balance_x000a_(K + L)" totalsRowFunction="sum" dataDxfId="7266" totalsRowDxfId="7265"/>
    <tableColumn id="14" name="(N)_x000a_Net Balance_x000a_(J minus M)" totalsRowFunction="sum" dataDxfId="7264" totalsRowDxfId="7263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1.xml><?xml version="1.0" encoding="utf-8"?>
<table xmlns="http://schemas.openxmlformats.org/spreadsheetml/2006/main" id="81" name="Program255" displayName="Program255" ref="A1488:N1498" totalsRowCount="1" headerRowDxfId="7262" dataDxfId="7260" totalsRowDxfId="7258" headerRowBorderDxfId="7261" tableBorderDxfId="7259" totalsRowBorderDxfId="7257">
  <autoFilter ref="A1488:N1497"/>
  <tableColumns count="14">
    <tableColumn id="1" name="(A)_x000a_Program Name" totalsRowLabel="Total Program 255" dataDxfId="7256" totalsRowDxfId="7255"/>
    <tableColumn id="2" name="(B)_x000a_Fiscal _x000a_Year" totalsRowLabel="N/A" dataDxfId="7254" totalsRowDxfId="7253"/>
    <tableColumn id="3" name="(C)_x000a_Program_x000a_Costs" totalsRowFunction="sum" dataDxfId="7252" totalsRowDxfId="7251"/>
    <tableColumn id="4" name="(D)_x000a_Prior Period Adjustments" totalsRowFunction="sum" dataDxfId="7250" totalsRowDxfId="7249"/>
    <tableColumn id="5" name="(E)_x000a_Current Period Desk _x000a_Reviews" totalsRowFunction="sum" dataDxfId="7248" totalsRowDxfId="7247"/>
    <tableColumn id="6" name="(F)_x000a_Current Period _x000a_Final _x000a_Audits" totalsRowFunction="sum" dataDxfId="7246" totalsRowDxfId="7245"/>
    <tableColumn id="7" name="(G)_x000a_Current Period _x000a_Other Adjustments" totalsRowFunction="sum" dataDxfId="7244" totalsRowDxfId="7243"/>
    <tableColumn id="8" name="(H)_x000a_Net Program Costs_x000a_Sum (C through G)" totalsRowFunction="sum" dataDxfId="7242" totalsRowDxfId="7241"/>
    <tableColumn id="9" name="(I)_x000a_Payments_x000a_ and Offsets" totalsRowFunction="sum" dataDxfId="7240" totalsRowDxfId="7239"/>
    <tableColumn id="10" name="(J)_x000a_Accounts Payable Balance_x000a_(H + I)" totalsRowFunction="sum" dataDxfId="7238" totalsRowDxfId="7237"/>
    <tableColumn id="11" name="(K)_x000a_Established _x000a_Accounts Receivable" totalsRowFunction="sum" dataDxfId="7236" totalsRowDxfId="7235"/>
    <tableColumn id="12" name="(L)_x000a_Recovered_x000a_ Accounts Receivable" totalsRowFunction="sum" dataDxfId="7234" totalsRowDxfId="7233"/>
    <tableColumn id="13" name="(M)_x000a_Accounts Receivable Balance_x000a_(K + L)" totalsRowFunction="sum" dataDxfId="7232" totalsRowDxfId="7231"/>
    <tableColumn id="14" name="(N)_x000a_Net Balance_x000a_(J minus M)" totalsRowFunction="sum" dataDxfId="7230" totalsRowDxfId="7229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2.xml><?xml version="1.0" encoding="utf-8"?>
<table xmlns="http://schemas.openxmlformats.org/spreadsheetml/2006/main" id="82" name="Program363" displayName="Program363" ref="A1484:N1486" totalsRowCount="1" headerRowDxfId="7228" totalsRowDxfId="7225" headerRowBorderDxfId="7227" tableBorderDxfId="7226" totalsRowBorderDxfId="7224">
  <autoFilter ref="A1484:N1485"/>
  <tableColumns count="14">
    <tableColumn id="1" name="(A)_x000a_Program Name" totalsRowLabel="Total Program 363" totalsRowDxfId="7223"/>
    <tableColumn id="2" name="(B)_x000a_Fiscal _x000a_Year" totalsRowLabel="N/A" totalsRowDxfId="7222"/>
    <tableColumn id="3" name="(C)_x000a_Program_x000a_Costs" totalsRowFunction="sum" dataDxfId="7221" totalsRowDxfId="7220">
      <calculatedColumnFormula>SUBTOTAL(9,C1484:C1484)</calculatedColumnFormula>
    </tableColumn>
    <tableColumn id="4" name="(D)_x000a_Prior Period Adjustments" totalsRowFunction="sum" dataDxfId="7219" totalsRowDxfId="7218">
      <calculatedColumnFormula>SUBTOTAL(9,D1484:D1484)</calculatedColumnFormula>
    </tableColumn>
    <tableColumn id="5" name="(E)_x000a_Current Period Desk _x000a_Reviews" totalsRowFunction="sum" dataDxfId="7217" totalsRowDxfId="7216">
      <calculatedColumnFormula>SUBTOTAL(9,E1484:E1484)</calculatedColumnFormula>
    </tableColumn>
    <tableColumn id="6" name="(F)_x000a_Current Period _x000a_Final _x000a_Audits" totalsRowFunction="sum" dataDxfId="7215" totalsRowDxfId="7214">
      <calculatedColumnFormula>SUBTOTAL(9,F1484:F1484)</calculatedColumnFormula>
    </tableColumn>
    <tableColumn id="7" name="(G)_x000a_Current Period _x000a_Other Adjustments" totalsRowFunction="sum" dataDxfId="7213" totalsRowDxfId="7212">
      <calculatedColumnFormula>SUBTOTAL(9,G1484:G1484)</calculatedColumnFormula>
    </tableColumn>
    <tableColumn id="8" name="(H)_x000a_Net Program Costs_x000a_Sum (C through G)" totalsRowFunction="sum" dataDxfId="7211" totalsRowDxfId="7210">
      <calculatedColumnFormula>SUBTOTAL(9,H1484:H1484)</calculatedColumnFormula>
    </tableColumn>
    <tableColumn id="9" name="(I)_x000a_Payments_x000a_ and Offsets" totalsRowFunction="sum" dataDxfId="7209" totalsRowDxfId="7208">
      <calculatedColumnFormula>SUBTOTAL(9,I1484:I1484)</calculatedColumnFormula>
    </tableColumn>
    <tableColumn id="10" name="(J)_x000a_Accounts Payable Balance_x000a_(H + I)" totalsRowFunction="sum" dataDxfId="7207" totalsRowDxfId="7206">
      <calculatedColumnFormula>SUBTOTAL(9,J1484:J1484)</calculatedColumnFormula>
    </tableColumn>
    <tableColumn id="11" name="(K)_x000a_Established _x000a_Accounts Receivable" totalsRowFunction="sum" dataDxfId="7205" totalsRowDxfId="7204">
      <calculatedColumnFormula>SUBTOTAL(9,K1484:K1484)</calculatedColumnFormula>
    </tableColumn>
    <tableColumn id="12" name="(L)_x000a_Recovered_x000a_ Accounts Receivable" totalsRowFunction="sum" dataDxfId="7203" totalsRowDxfId="7202">
      <calculatedColumnFormula>SUBTOTAL(9,L1484:L1484)</calculatedColumnFormula>
    </tableColumn>
    <tableColumn id="13" name="(M)_x000a_Accounts Receivable Balance_x000a_(K + L)" totalsRowFunction="sum" dataDxfId="7201" totalsRowDxfId="7200">
      <calculatedColumnFormula>SUBTOTAL(9,M1484:M1484)</calculatedColumnFormula>
    </tableColumn>
    <tableColumn id="14" name="(N)_x000a_Net Balance_x000a_(J minus M)" totalsRowFunction="sum" dataDxfId="7199" totalsRowDxfId="7198">
      <calculatedColumnFormula>SUBTOTAL(9,N1484:N1484)</calculatedColumnFormula>
    </tableColumn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3.xml><?xml version="1.0" encoding="utf-8"?>
<table xmlns="http://schemas.openxmlformats.org/spreadsheetml/2006/main" id="83" name="Program279" displayName="Program279" ref="A1472:N1482" totalsRowCount="1" headerRowDxfId="7197" dataDxfId="7195" totalsRowDxfId="7193" headerRowBorderDxfId="7196" tableBorderDxfId="7194" totalsRowBorderDxfId="7192">
  <autoFilter ref="A1472:N1481"/>
  <tableColumns count="14">
    <tableColumn id="1" name="(A)_x000a_Program Name" totalsRowLabel="Total Program 279" dataDxfId="7191" totalsRowDxfId="7190"/>
    <tableColumn id="2" name="(B)_x000a_Fiscal _x000a_Year" totalsRowLabel="N/A" dataDxfId="7189" totalsRowDxfId="7188"/>
    <tableColumn id="3" name="(C)_x000a_Program_x000a_Costs" totalsRowFunction="sum" dataDxfId="7187" totalsRowDxfId="7186"/>
    <tableColumn id="4" name="(D)_x000a_Prior Period Adjustments" totalsRowFunction="sum" dataDxfId="7185" totalsRowDxfId="7184"/>
    <tableColumn id="5" name="(E)_x000a_Current Period Desk _x000a_Reviews" totalsRowFunction="sum" dataDxfId="7183" totalsRowDxfId="7182"/>
    <tableColumn id="6" name="(F)_x000a_Current Period _x000a_Final _x000a_Audits" totalsRowFunction="sum" dataDxfId="7181" totalsRowDxfId="7180"/>
    <tableColumn id="7" name="(G)_x000a_Current Period _x000a_Other Adjustments" totalsRowFunction="sum" dataDxfId="7179" totalsRowDxfId="7178"/>
    <tableColumn id="8" name="(H)_x000a_Net Program Costs_x000a_Sum (C through G)" totalsRowFunction="sum" dataDxfId="7177" totalsRowDxfId="7176"/>
    <tableColumn id="9" name="(I)_x000a_Payments_x000a_ and Offsets" totalsRowFunction="sum" dataDxfId="7175" totalsRowDxfId="7174"/>
    <tableColumn id="10" name="(J)_x000a_Accounts Payable Balance_x000a_(H + I)" totalsRowFunction="sum" dataDxfId="7173" totalsRowDxfId="7172"/>
    <tableColumn id="11" name="(K)_x000a_Established _x000a_Accounts Receivable" totalsRowFunction="sum" dataDxfId="7171" totalsRowDxfId="7170"/>
    <tableColumn id="12" name="(L)_x000a_Recovered_x000a_ Accounts Receivable" totalsRowFunction="sum" dataDxfId="7169" totalsRowDxfId="7168"/>
    <tableColumn id="13" name="(M)_x000a_Accounts Receivable Balance_x000a_(K + L)" totalsRowFunction="sum" dataDxfId="7167" totalsRowDxfId="7166"/>
    <tableColumn id="14" name="(N)_x000a_Net Balance_x000a_(J minus M)" totalsRowFunction="sum" dataDxfId="7165" totalsRowDxfId="716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4.xml><?xml version="1.0" encoding="utf-8"?>
<table xmlns="http://schemas.openxmlformats.org/spreadsheetml/2006/main" id="84" name="Program28" displayName="Program28" ref="A1465:N1470" totalsRowCount="1" headerRowDxfId="7163" dataDxfId="7161" totalsRowDxfId="7159" headerRowBorderDxfId="7162" tableBorderDxfId="7160" totalsRowBorderDxfId="7158">
  <autoFilter ref="A1465:N1469"/>
  <tableColumns count="14">
    <tableColumn id="1" name="(A)_x000a_Program Name" totalsRowLabel="Total Program 28" dataDxfId="7157" totalsRowDxfId="7156"/>
    <tableColumn id="2" name="(B)_x000a_Fiscal _x000a_Year" totalsRowLabel="N/A" dataDxfId="7155" totalsRowDxfId="7154"/>
    <tableColumn id="3" name="(C)_x000a_Program_x000a_Costs" totalsRowFunction="sum" dataDxfId="7153" totalsRowDxfId="7152"/>
    <tableColumn id="4" name="(D)_x000a_Prior Period Adjustments" totalsRowFunction="sum" dataDxfId="7151" totalsRowDxfId="7150"/>
    <tableColumn id="5" name="(E)_x000a_Current Period Desk _x000a_Reviews" totalsRowFunction="sum" dataDxfId="7149" totalsRowDxfId="7148"/>
    <tableColumn id="6" name="(F)_x000a_Current Period _x000a_Final _x000a_Audits" totalsRowFunction="sum" dataDxfId="7147" totalsRowDxfId="7146"/>
    <tableColumn id="7" name="(G)_x000a_Current Period _x000a_Other Adjustments" totalsRowFunction="sum" dataDxfId="7145" totalsRowDxfId="7144"/>
    <tableColumn id="8" name="(H)_x000a_Net Program Costs_x000a_Sum (C through G)" totalsRowFunction="sum" dataDxfId="7143" totalsRowDxfId="7142"/>
    <tableColumn id="9" name="(I)_x000a_Payments_x000a_ and Offsets" totalsRowFunction="sum" dataDxfId="7141" totalsRowDxfId="7140"/>
    <tableColumn id="10" name="(J)_x000a_Accounts Payable Balance_x000a_(H + I)" totalsRowFunction="sum" dataDxfId="7139" totalsRowDxfId="7138"/>
    <tableColumn id="11" name="(K)_x000a_Established _x000a_Accounts Receivable" totalsRowFunction="sum" dataDxfId="7137" totalsRowDxfId="7136"/>
    <tableColumn id="12" name="(L)_x000a_Recovered_x000a_ Accounts Receivable" totalsRowFunction="sum" dataDxfId="7135" totalsRowDxfId="7134"/>
    <tableColumn id="13" name="(M)_x000a_Accounts Receivable Balance_x000a_(K + L)" totalsRowFunction="sum" dataDxfId="7133" totalsRowDxfId="7132"/>
    <tableColumn id="14" name="(N)_x000a_Net Balance_x000a_(J minus M)" totalsRowFunction="sum" dataDxfId="7131" totalsRowDxfId="713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5.xml><?xml version="1.0" encoding="utf-8"?>
<table xmlns="http://schemas.openxmlformats.org/spreadsheetml/2006/main" id="85" name="Program215" displayName="Program215" ref="A1449:N1463" totalsRowCount="1" headerRowDxfId="7129" dataDxfId="7127" totalsRowDxfId="7125" headerRowBorderDxfId="7128" tableBorderDxfId="7126" totalsRowBorderDxfId="7124">
  <autoFilter ref="A1449:N1462"/>
  <tableColumns count="14">
    <tableColumn id="1" name="(A)_x000a_Program Name" totalsRowLabel="Total Program 215" dataDxfId="7123" totalsRowDxfId="7122"/>
    <tableColumn id="2" name="(B)_x000a_Fiscal _x000a_Year" totalsRowLabel="N/A" dataDxfId="7121" totalsRowDxfId="7120"/>
    <tableColumn id="3" name="(C)_x000a_Program_x000a_Costs" totalsRowFunction="sum" dataDxfId="7119" totalsRowDxfId="7118"/>
    <tableColumn id="4" name="(D)_x000a_Prior Period Adjustments" totalsRowFunction="sum" dataDxfId="7117" totalsRowDxfId="7116"/>
    <tableColumn id="5" name="(E)_x000a_Current Period Desk _x000a_Reviews" totalsRowFunction="sum" dataDxfId="7115" totalsRowDxfId="7114"/>
    <tableColumn id="6" name="(F)_x000a_Current Period _x000a_Final _x000a_Audits" totalsRowFunction="sum" dataDxfId="7113" totalsRowDxfId="7112"/>
    <tableColumn id="7" name="(G)_x000a_Current Period _x000a_Other Adjustments" totalsRowFunction="sum" dataDxfId="7111" totalsRowDxfId="7110"/>
    <tableColumn id="8" name="(H)_x000a_Net Program Costs_x000a_Sum (C through G)" totalsRowFunction="sum" dataDxfId="7109" totalsRowDxfId="7108"/>
    <tableColumn id="9" name="(I)_x000a_Payments_x000a_ and Offsets" totalsRowFunction="sum" dataDxfId="7107" totalsRowDxfId="7106"/>
    <tableColumn id="10" name="(J)_x000a_Accounts Payable Balance_x000a_(H + I)" totalsRowFunction="sum" dataDxfId="7105" totalsRowDxfId="7104"/>
    <tableColumn id="11" name="(K)_x000a_Established _x000a_Accounts Receivable" totalsRowFunction="sum" dataDxfId="7103" totalsRowDxfId="7102"/>
    <tableColumn id="12" name="(L)_x000a_Recovered_x000a_ Accounts Receivable" totalsRowFunction="sum" dataDxfId="7101" totalsRowDxfId="7100"/>
    <tableColumn id="13" name="(M)_x000a_Accounts Receivable Balance_x000a_(K + L)" totalsRowFunction="sum" dataDxfId="7099" totalsRowDxfId="7098"/>
    <tableColumn id="14" name="(N)_x000a_Net Balance_x000a_(J minus M)" totalsRowFunction="sum" dataDxfId="7097" totalsRowDxfId="709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6.xml><?xml version="1.0" encoding="utf-8"?>
<table xmlns="http://schemas.openxmlformats.org/spreadsheetml/2006/main" id="86" name="Program121" displayName="Program121" ref="A1417:N1447" totalsRowCount="1" headerRowDxfId="7095" dataDxfId="7093" totalsRowDxfId="7091" headerRowBorderDxfId="7094" tableBorderDxfId="7092" totalsRowBorderDxfId="7090">
  <autoFilter ref="A1417:N1446"/>
  <tableColumns count="14">
    <tableColumn id="1" name="(A)_x000a_Program Name" totalsRowLabel="Total Program 121" dataDxfId="7089" totalsRowDxfId="7088"/>
    <tableColumn id="2" name="(B)_x000a_Fiscal _x000a_Year" totalsRowLabel="N/A" dataDxfId="7087" totalsRowDxfId="7086"/>
    <tableColumn id="3" name="(C)_x000a_Program_x000a_Costs" totalsRowFunction="sum" dataDxfId="7085" totalsRowDxfId="7084"/>
    <tableColumn id="4" name="(D)_x000a_Prior Period Adjustments" totalsRowFunction="sum" dataDxfId="7083" totalsRowDxfId="7082"/>
    <tableColumn id="5" name="(E)_x000a_Current Period Desk _x000a_Reviews" totalsRowFunction="sum" dataDxfId="7081" totalsRowDxfId="7080"/>
    <tableColumn id="6" name="(F)_x000a_Current Period _x000a_Final _x000a_Audits" totalsRowFunction="sum" dataDxfId="7079" totalsRowDxfId="7078"/>
    <tableColumn id="7" name="(G)_x000a_Current Period _x000a_Other Adjustments" totalsRowFunction="sum" dataDxfId="7077" totalsRowDxfId="7076"/>
    <tableColumn id="8" name="(H)_x000a_Net Program Costs_x000a_Sum (C through G)" totalsRowFunction="sum" dataDxfId="7075" totalsRowDxfId="7074"/>
    <tableColumn id="9" name="(I)_x000a_Payments_x000a_ and Offsets" totalsRowFunction="sum" dataDxfId="7073" totalsRowDxfId="7072"/>
    <tableColumn id="10" name="(J)_x000a_Accounts Payable Balance_x000a_(H + I)" totalsRowFunction="sum" dataDxfId="7071" totalsRowDxfId="7070"/>
    <tableColumn id="11" name="(K)_x000a_Established _x000a_Accounts Receivable" totalsRowFunction="sum" dataDxfId="7069" totalsRowDxfId="7068"/>
    <tableColumn id="12" name="(L)_x000a_Recovered_x000a_ Accounts Receivable" totalsRowFunction="sum" dataDxfId="7067" totalsRowDxfId="7066"/>
    <tableColumn id="13" name="(M)_x000a_Accounts Receivable Balance_x000a_(K + L)" totalsRowFunction="sum" dataDxfId="7065" totalsRowDxfId="7064"/>
    <tableColumn id="14" name="(N)_x000a_Net Balance_x000a_(J minus M)" totalsRowFunction="sum" dataDxfId="7063" totalsRowDxfId="706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7.xml><?xml version="1.0" encoding="utf-8"?>
<table xmlns="http://schemas.openxmlformats.org/spreadsheetml/2006/main" id="87" name="Program24" displayName="Program24" ref="A1404:N1415" totalsRowCount="1" headerRowDxfId="7061" dataDxfId="7059" totalsRowDxfId="7057" headerRowBorderDxfId="7060" tableBorderDxfId="7058" totalsRowBorderDxfId="7056">
  <autoFilter ref="A1404:N1414"/>
  <tableColumns count="14">
    <tableColumn id="1" name="(A)_x000a_Program Name" totalsRowLabel="Total Program 24" dataDxfId="7055" totalsRowDxfId="7054"/>
    <tableColumn id="2" name="(B)_x000a_Fiscal _x000a_Year" totalsRowLabel="N/A" dataDxfId="7053" totalsRowDxfId="7052"/>
    <tableColumn id="3" name="(C)_x000a_Program_x000a_Costs" totalsRowFunction="sum" dataDxfId="7051" totalsRowDxfId="7050"/>
    <tableColumn id="4" name="(D)_x000a_Prior Period Adjustments" totalsRowFunction="sum" dataDxfId="7049" totalsRowDxfId="7048"/>
    <tableColumn id="5" name="(E)_x000a_Current Period Desk _x000a_Reviews" totalsRowFunction="sum" dataDxfId="7047" totalsRowDxfId="7046"/>
    <tableColumn id="6" name="(F)_x000a_Current Period _x000a_Final _x000a_Audits" totalsRowFunction="sum" dataDxfId="7045" totalsRowDxfId="7044"/>
    <tableColumn id="7" name="(G)_x000a_Current Period _x000a_Other Adjustments" totalsRowFunction="sum" dataDxfId="7043" totalsRowDxfId="7042"/>
    <tableColumn id="8" name="(H)_x000a_Net Program Costs_x000a_Sum (C through G)" totalsRowFunction="sum" dataDxfId="7041" totalsRowDxfId="7040"/>
    <tableColumn id="9" name="(I)_x000a_Payments_x000a_ and Offsets" totalsRowFunction="sum" dataDxfId="7039" totalsRowDxfId="7038"/>
    <tableColumn id="10" name="(J)_x000a_Accounts Payable Balance_x000a_(H + I)" totalsRowFunction="sum" dataDxfId="7037" totalsRowDxfId="7036"/>
    <tableColumn id="11" name="(K)_x000a_Established _x000a_Accounts Receivable" totalsRowFunction="sum" dataDxfId="7035" totalsRowDxfId="7034"/>
    <tableColumn id="12" name="(L)_x000a_Recovered_x000a_ Accounts Receivable" totalsRowFunction="sum" dataDxfId="7033" totalsRowDxfId="7032"/>
    <tableColumn id="13" name="(M)_x000a_Accounts Receivable Balance_x000a_(K + L)" totalsRowFunction="sum" dataDxfId="7031" totalsRowDxfId="7030"/>
    <tableColumn id="14" name="(N)_x000a_Net Balance_x000a_(J minus M)" totalsRowFunction="sum" dataDxfId="7029" totalsRowDxfId="702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8.xml><?xml version="1.0" encoding="utf-8"?>
<table xmlns="http://schemas.openxmlformats.org/spreadsheetml/2006/main" id="88" name="Program324" displayName="Program324" ref="A1390:N1402" totalsRowCount="1" headerRowDxfId="7027" dataDxfId="7025" totalsRowDxfId="7023" headerRowBorderDxfId="7026" tableBorderDxfId="7024" totalsRowBorderDxfId="7022">
  <autoFilter ref="A1390:N1401"/>
  <tableColumns count="14">
    <tableColumn id="1" name="(A)_x000a_Program Name" totalsRowLabel="Total Program 324" dataDxfId="7021" totalsRowDxfId="7020"/>
    <tableColumn id="2" name="(B)_x000a_Fiscal _x000a_Year" totalsRowLabel="N/A" dataDxfId="7019" totalsRowDxfId="7018"/>
    <tableColumn id="3" name="(C)_x000a_Program_x000a_Costs" totalsRowFunction="sum" dataDxfId="7017" totalsRowDxfId="7016"/>
    <tableColumn id="4" name="(D)_x000a_Prior Period Adjustments" totalsRowFunction="sum" dataDxfId="7015" totalsRowDxfId="7014"/>
    <tableColumn id="5" name="(E)_x000a_Current Period Desk _x000a_Reviews" totalsRowFunction="sum" dataDxfId="7013" totalsRowDxfId="7012"/>
    <tableColumn id="6" name="(F)_x000a_Current Period _x000a_Final _x000a_Audits" totalsRowFunction="sum" dataDxfId="7011" totalsRowDxfId="7010"/>
    <tableColumn id="7" name="(G)_x000a_Current Period _x000a_Other Adjustments" totalsRowFunction="sum" dataDxfId="7009" totalsRowDxfId="7008"/>
    <tableColumn id="8" name="(H)_x000a_Net Program Costs_x000a_Sum (C through G)" totalsRowFunction="sum" dataDxfId="7007" totalsRowDxfId="7006"/>
    <tableColumn id="9" name="(I)_x000a_Payments_x000a_ and Offsets" totalsRowFunction="sum" dataDxfId="7005" totalsRowDxfId="7004"/>
    <tableColumn id="10" name="(J)_x000a_Accounts Payable Balance_x000a_(H + I)" totalsRowFunction="sum" dataDxfId="7003" totalsRowDxfId="7002"/>
    <tableColumn id="11" name="(K)_x000a_Established _x000a_Accounts Receivable" totalsRowFunction="sum" dataDxfId="7001" totalsRowDxfId="7000"/>
    <tableColumn id="12" name="(L)_x000a_Recovered_x000a_ Accounts Receivable" totalsRowFunction="sum" dataDxfId="6999" totalsRowDxfId="6998"/>
    <tableColumn id="13" name="(M)_x000a_Accounts Receivable Balance_x000a_(K + L)" totalsRowFunction="sum" dataDxfId="6997" totalsRowDxfId="6996"/>
    <tableColumn id="14" name="(N)_x000a_Net Balance_x000a_(J minus M)" totalsRowFunction="sum" dataDxfId="6995" totalsRowDxfId="699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89.xml><?xml version="1.0" encoding="utf-8"?>
<table xmlns="http://schemas.openxmlformats.org/spreadsheetml/2006/main" id="89" name="Program83" displayName="Program83" ref="A1365:N1388" totalsRowCount="1" headerRowDxfId="6993" dataDxfId="6991" totalsRowDxfId="6989" headerRowBorderDxfId="6992" tableBorderDxfId="6990" totalsRowBorderDxfId="6988">
  <autoFilter ref="A1365:N1387"/>
  <tableColumns count="14">
    <tableColumn id="1" name="(A)_x000a_Program Name" totalsRowLabel="Total Program 83" dataDxfId="6987" totalsRowDxfId="6986"/>
    <tableColumn id="2" name="(B)_x000a_Fiscal _x000a_Year" totalsRowLabel="N/A" dataDxfId="6985" totalsRowDxfId="6984"/>
    <tableColumn id="3" name="(C)_x000a_Program_x000a_Costs" totalsRowFunction="sum" dataDxfId="6983" totalsRowDxfId="6982"/>
    <tableColumn id="4" name="(D)_x000a_Prior Period Adjustments" totalsRowFunction="sum" dataDxfId="6981" totalsRowDxfId="6980"/>
    <tableColumn id="5" name="(E)_x000a_Current Period Desk _x000a_Reviews" totalsRowFunction="sum" dataDxfId="6979" totalsRowDxfId="6978"/>
    <tableColumn id="6" name="(F)_x000a_Current Period _x000a_Final _x000a_Audits" totalsRowFunction="sum" dataDxfId="6977" totalsRowDxfId="6976"/>
    <tableColumn id="7" name="(G)_x000a_Current Period _x000a_Other Adjustments" totalsRowFunction="sum" dataDxfId="6975" totalsRowDxfId="6974"/>
    <tableColumn id="8" name="(H)_x000a_Net Program Costs_x000a_Sum (C through G)" totalsRowFunction="sum" dataDxfId="6973" totalsRowDxfId="6972"/>
    <tableColumn id="9" name="(I)_x000a_Payments_x000a_ and Offsets" totalsRowFunction="sum" dataDxfId="6971" totalsRowDxfId="6970"/>
    <tableColumn id="10" name="(J)_x000a_Accounts Payable Balance_x000a_(H + I)" totalsRowFunction="sum" dataDxfId="6969" totalsRowDxfId="6968"/>
    <tableColumn id="11" name="(K)_x000a_Established _x000a_Accounts Receivable" totalsRowFunction="sum" dataDxfId="6967" totalsRowDxfId="6966"/>
    <tableColumn id="12" name="(L)_x000a_Recovered_x000a_ Accounts Receivable" totalsRowFunction="sum" dataDxfId="6965" totalsRowDxfId="6964"/>
    <tableColumn id="13" name="(M)_x000a_Accounts Receivable Balance_x000a_(K + L)" totalsRowFunction="sum" dataDxfId="6963" totalsRowDxfId="6962"/>
    <tableColumn id="14" name="(N)_x000a_Net Balance_x000a_(J minus M)" totalsRowFunction="sum" dataDxfId="6961" totalsRowDxfId="696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.xml><?xml version="1.0" encoding="utf-8"?>
<table xmlns="http://schemas.openxmlformats.org/spreadsheetml/2006/main" id="9" name="Progam359" displayName="Progam359" ref="A43:N46" totalsRowCount="1" headerRowDxfId="9710" dataDxfId="9708" totalsRowDxfId="9706" headerRowBorderDxfId="9709" tableBorderDxfId="9707" totalsRowBorderDxfId="9705">
  <autoFilter ref="A43:N45"/>
  <tableColumns count="14">
    <tableColumn id="1" name="(A)_x000a_Program Name" totalsRowLabel="Total Program 359" dataDxfId="9704" totalsRowDxfId="9703"/>
    <tableColumn id="2" name="(B)_x000a_Fiscal _x000a_Year" totalsRowLabel="N/A" dataDxfId="9702" totalsRowDxfId="9701"/>
    <tableColumn id="3" name="(C)_x000a_Program_x000a_Costs" totalsRowFunction="sum" dataDxfId="9700" totalsRowDxfId="9699"/>
    <tableColumn id="4" name="(D)_x000a_Prior Period Adjustments" totalsRowFunction="sum" dataDxfId="9698" totalsRowDxfId="9697"/>
    <tableColumn id="5" name="(E)_x000a_Current Period Desk _x000a_Reviews" totalsRowFunction="sum" dataDxfId="9696" totalsRowDxfId="9695"/>
    <tableColumn id="6" name="(F)_x000a_Current Period _x000a_Final _x000a_Audits" totalsRowFunction="sum" dataDxfId="9694" totalsRowDxfId="9693"/>
    <tableColumn id="7" name="(G)_x000a_Current Period _x000a_Other Adjustments" totalsRowFunction="sum" dataDxfId="9692" totalsRowDxfId="9691"/>
    <tableColumn id="8" name="(H)_x000a_Net Program Costs_x000a_Sum (C through G)" totalsRowFunction="sum" dataDxfId="9690" totalsRowDxfId="9689"/>
    <tableColumn id="9" name="(I)_x000a_Payments_x000a_ and Offsets" totalsRowFunction="sum" dataDxfId="9688" totalsRowDxfId="9687"/>
    <tableColumn id="10" name="(J)_x000a_Accounts Payable Balance_x000a_(H + I)" totalsRowFunction="sum" dataDxfId="9686" totalsRowDxfId="9685"/>
    <tableColumn id="11" name="(K)_x000a_Established _x000a_Accounts Receivable" totalsRowFunction="sum" dataDxfId="9684" totalsRowDxfId="9683"/>
    <tableColumn id="12" name="(L)_x000a_Recovered_x000a_ Accounts Receivable" totalsRowFunction="sum" dataDxfId="9682" totalsRowDxfId="9681"/>
    <tableColumn id="13" name="(M)_x000a_Accounts Receivable Balance_x000a_(K + L)" totalsRowFunction="sum" dataDxfId="9680" totalsRowDxfId="9679"/>
    <tableColumn id="14" name="(N)_x000a_Net Balance_x000a_(J minus M)" totalsRowFunction="sum" dataDxfId="9678" totalsRowDxfId="9677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0.xml><?xml version="1.0" encoding="utf-8"?>
<table xmlns="http://schemas.openxmlformats.org/spreadsheetml/2006/main" id="90" name="Program124" displayName="Program124" ref="A1342:N1363" totalsRowCount="1" headerRowDxfId="6959" dataDxfId="6957" totalsRowDxfId="6955" headerRowBorderDxfId="6958" tableBorderDxfId="6956" totalsRowBorderDxfId="6954">
  <autoFilter ref="A1342:N1362"/>
  <tableColumns count="14">
    <tableColumn id="1" name="(A)_x000a_Program Name" totalsRowLabel="Total Program 124" dataDxfId="6953" totalsRowDxfId="6952"/>
    <tableColumn id="2" name="(B)_x000a_Fiscal _x000a_Year" totalsRowLabel="N/A" dataDxfId="6951" totalsRowDxfId="6950"/>
    <tableColumn id="3" name="(C)_x000a_Program_x000a_Costs" totalsRowFunction="sum" dataDxfId="6949" totalsRowDxfId="6948"/>
    <tableColumn id="4" name="(D)_x000a_Prior Period Adjustments" totalsRowFunction="sum" dataDxfId="6947" totalsRowDxfId="6946"/>
    <tableColumn id="5" name="(E)_x000a_Current Period Desk _x000a_Reviews" totalsRowFunction="sum" dataDxfId="6945" totalsRowDxfId="6944"/>
    <tableColumn id="6" name="(F)_x000a_Current Period _x000a_Final _x000a_Audits" totalsRowFunction="sum" dataDxfId="6943" totalsRowDxfId="6942"/>
    <tableColumn id="7" name="(G)_x000a_Current Period _x000a_Other Adjustments" totalsRowFunction="sum" dataDxfId="6941" totalsRowDxfId="6940"/>
    <tableColumn id="8" name="(H)_x000a_Net Program Costs_x000a_Sum (C through G)" totalsRowFunction="sum" dataDxfId="6939" totalsRowDxfId="6938"/>
    <tableColumn id="9" name="(I)_x000a_Payments_x000a_ and Offsets" totalsRowFunction="sum" dataDxfId="6937" totalsRowDxfId="6936"/>
    <tableColumn id="10" name="(J)_x000a_Accounts Payable Balance_x000a_(H + I)" totalsRowFunction="sum" dataDxfId="6935" totalsRowDxfId="6934"/>
    <tableColumn id="11" name="(K)_x000a_Established _x000a_Accounts Receivable" totalsRowFunction="sum" dataDxfId="6933" totalsRowDxfId="6932"/>
    <tableColumn id="12" name="(L)_x000a_Recovered_x000a_ Accounts Receivable" totalsRowFunction="sum" dataDxfId="6931" totalsRowDxfId="6930"/>
    <tableColumn id="13" name="(M)_x000a_Accounts Receivable Balance_x000a_(K + L)" totalsRowFunction="sum" dataDxfId="6929" totalsRowDxfId="6928"/>
    <tableColumn id="14" name="(N)_x000a_Net Balance_x000a_(J minus M)" totalsRowFunction="sum" dataDxfId="6927" totalsRowDxfId="692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1.xml><?xml version="1.0" encoding="utf-8"?>
<table xmlns="http://schemas.openxmlformats.org/spreadsheetml/2006/main" id="91" name="Program356" displayName="Program356" ref="A1322:N1340" totalsRowCount="1" headerRowDxfId="6925" dataDxfId="6923" totalsRowDxfId="6921" headerRowBorderDxfId="6924" tableBorderDxfId="6922" totalsRowBorderDxfId="6920">
  <autoFilter ref="A1322:N1339"/>
  <tableColumns count="14">
    <tableColumn id="1" name="(A)_x000a_Program Name" totalsRowLabel="Total Program 356" dataDxfId="6919" totalsRowDxfId="6918"/>
    <tableColumn id="2" name="(B)_x000a_Fiscal _x000a_Year" totalsRowLabel="N/A" dataDxfId="6917" totalsRowDxfId="6916"/>
    <tableColumn id="3" name="(C)_x000a_Program_x000a_Costs" totalsRowFunction="sum" dataDxfId="6915" totalsRowDxfId="6914"/>
    <tableColumn id="4" name="(D)_x000a_Prior Period Adjustments" totalsRowFunction="sum" dataDxfId="6913" totalsRowDxfId="6912"/>
    <tableColumn id="5" name="(E)_x000a_Current Period Desk _x000a_Reviews" totalsRowFunction="sum" dataDxfId="6911" totalsRowDxfId="6910"/>
    <tableColumn id="6" name="(F)_x000a_Current Period _x000a_Final _x000a_Audits" totalsRowFunction="sum" dataDxfId="6909" totalsRowDxfId="6908"/>
    <tableColumn id="7" name="(G)_x000a_Current Period _x000a_Other Adjustments" totalsRowFunction="sum" dataDxfId="6907" totalsRowDxfId="6906"/>
    <tableColumn id="8" name="(H)_x000a_Net Program Costs_x000a_Sum (C through G)" totalsRowFunction="sum" dataDxfId="6905" totalsRowDxfId="6904"/>
    <tableColumn id="9" name="(I)_x000a_Payments_x000a_ and Offsets" totalsRowFunction="sum" dataDxfId="6903" totalsRowDxfId="6902"/>
    <tableColumn id="10" name="(J)_x000a_Accounts Payable Balance_x000a_(H + I)" totalsRowFunction="sum" dataDxfId="6901" totalsRowDxfId="6900"/>
    <tableColumn id="11" name="(K)_x000a_Established _x000a_Accounts Receivable" totalsRowFunction="sum" dataDxfId="6899" totalsRowDxfId="6898"/>
    <tableColumn id="12" name="(L)_x000a_Recovered_x000a_ Accounts Receivable" totalsRowFunction="sum" dataDxfId="6897" totalsRowDxfId="6896"/>
    <tableColumn id="13" name="(M)_x000a_Accounts Receivable Balance_x000a_(K + L)" totalsRowFunction="sum" dataDxfId="6895" totalsRowDxfId="6894"/>
    <tableColumn id="14" name="(N)_x000a_Net Balance_x000a_(J minus M)" totalsRowFunction="sum" dataDxfId="6893" totalsRowDxfId="689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2.xml><?xml version="1.0" encoding="utf-8"?>
<table xmlns="http://schemas.openxmlformats.org/spreadsheetml/2006/main" id="92" name="Program187" displayName="Program187" ref="A1294:N1320" totalsRowCount="1" headerRowDxfId="6891" dataDxfId="6889" totalsRowDxfId="6887" headerRowBorderDxfId="6890" tableBorderDxfId="6888" totalsRowBorderDxfId="6886">
  <autoFilter ref="A1294:N1319"/>
  <tableColumns count="14">
    <tableColumn id="1" name="(A)_x000a_Program Name" totalsRowLabel="Total Program 187" dataDxfId="6885" totalsRowDxfId="6884"/>
    <tableColumn id="2" name="(B)_x000a_Fiscal _x000a_Year" totalsRowLabel="N/A" dataDxfId="6883" totalsRowDxfId="6882"/>
    <tableColumn id="3" name="(C)_x000a_Program_x000a_Costs" totalsRowFunction="sum" dataDxfId="6881" totalsRowDxfId="6880"/>
    <tableColumn id="4" name="(D)_x000a_Prior Period Adjustments" totalsRowFunction="sum" dataDxfId="6879" totalsRowDxfId="6878"/>
    <tableColumn id="5" name="(E)_x000a_Current Period Desk _x000a_Reviews" totalsRowFunction="sum" dataDxfId="6877" totalsRowDxfId="6876"/>
    <tableColumn id="6" name="(F)_x000a_Current Period _x000a_Final _x000a_Audits" totalsRowFunction="sum" dataDxfId="6875" totalsRowDxfId="6874"/>
    <tableColumn id="7" name="(G)_x000a_Current Period _x000a_Other Adjustments" totalsRowFunction="sum" dataDxfId="6873" totalsRowDxfId="6872"/>
    <tableColumn id="8" name="(H)_x000a_Net Program Costs_x000a_Sum (C through G)" totalsRowFunction="sum" dataDxfId="6871" totalsRowDxfId="6870"/>
    <tableColumn id="9" name="(I)_x000a_Payments_x000a_ and Offsets" totalsRowFunction="sum" dataDxfId="6869" totalsRowDxfId="6868"/>
    <tableColumn id="10" name="(J)_x000a_Accounts Payable Balance_x000a_(H + I)" totalsRowFunction="sum" dataDxfId="6867" totalsRowDxfId="6866"/>
    <tableColumn id="11" name="(K)_x000a_Established _x000a_Accounts Receivable" totalsRowFunction="sum" dataDxfId="6865" totalsRowDxfId="6864"/>
    <tableColumn id="12" name="(L)_x000a_Recovered_x000a_ Accounts Receivable" totalsRowFunction="sum" dataDxfId="6863" totalsRowDxfId="6862"/>
    <tableColumn id="13" name="(M)_x000a_Accounts Receivable Balance_x000a_(K + L)" totalsRowFunction="sum" dataDxfId="6861" totalsRowDxfId="6860"/>
    <tableColumn id="14" name="(N)_x000a_Net Balance_x000a_(J minus M)" totalsRowFunction="sum" dataDxfId="6859" totalsRowDxfId="685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3.xml><?xml version="1.0" encoding="utf-8"?>
<table xmlns="http://schemas.openxmlformats.org/spreadsheetml/2006/main" id="93" name="Program264" displayName="Program264" ref="A1271:N1292" totalsRowCount="1" headerRowDxfId="6857" dataDxfId="6855" totalsRowDxfId="6853" headerRowBorderDxfId="6856" tableBorderDxfId="6854" totalsRowBorderDxfId="6852">
  <autoFilter ref="A1271:N1291"/>
  <tableColumns count="14">
    <tableColumn id="1" name="(A)_x000a_Program Name" totalsRowLabel="Total Program 264" dataDxfId="6851" totalsRowDxfId="6850"/>
    <tableColumn id="2" name="(B)_x000a_Fiscal _x000a_Year" totalsRowLabel="N/A" dataDxfId="6849" totalsRowDxfId="6848"/>
    <tableColumn id="3" name="(C)_x000a_Program_x000a_Costs" totalsRowFunction="sum" dataDxfId="6847" totalsRowDxfId="6846"/>
    <tableColumn id="4" name="(D)_x000a_Prior Period Adjustments" totalsRowFunction="sum" dataDxfId="6845" totalsRowDxfId="6844"/>
    <tableColumn id="5" name="(E)_x000a_Current Period Desk _x000a_Reviews" totalsRowFunction="sum" dataDxfId="6843" totalsRowDxfId="6842"/>
    <tableColumn id="6" name="(F)_x000a_Current Period _x000a_Final _x000a_Audits" totalsRowFunction="sum" dataDxfId="6841" totalsRowDxfId="6840"/>
    <tableColumn id="7" name="(G)_x000a_Current Period _x000a_Other Adjustments" totalsRowFunction="sum" dataDxfId="6839" totalsRowDxfId="6838"/>
    <tableColumn id="8" name="(H)_x000a_Net Program Costs_x000a_Sum (C through G)" totalsRowFunction="sum" dataDxfId="6837" totalsRowDxfId="6836"/>
    <tableColumn id="9" name="(I)_x000a_Payments_x000a_ and Offsets" totalsRowFunction="sum" dataDxfId="6835" totalsRowDxfId="6834"/>
    <tableColumn id="10" name="(J)_x000a_Accounts Payable Balance_x000a_(H + I)" totalsRowFunction="sum" dataDxfId="6833" totalsRowDxfId="6832"/>
    <tableColumn id="11" name="(K)_x000a_Established _x000a_Accounts Receivable" totalsRowFunction="sum" dataDxfId="6831" totalsRowDxfId="6830"/>
    <tableColumn id="12" name="(L)_x000a_Recovered_x000a_ Accounts Receivable" totalsRowFunction="sum" dataDxfId="6829" totalsRowDxfId="6828"/>
    <tableColumn id="13" name="(M)_x000a_Accounts Receivable Balance_x000a_(K + L)" totalsRowFunction="sum" dataDxfId="6827" totalsRowDxfId="6826"/>
    <tableColumn id="14" name="(N)_x000a_Net Balance_x000a_(J minus M)" totalsRowFunction="sum" dataDxfId="6825" totalsRowDxfId="682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4.xml><?xml version="1.0" encoding="utf-8"?>
<table xmlns="http://schemas.openxmlformats.org/spreadsheetml/2006/main" id="94" name="Program118" displayName="Program118" ref="A1250:N1269" totalsRowCount="1" headerRowDxfId="6823" dataDxfId="6821" totalsRowDxfId="6819" headerRowBorderDxfId="6822" tableBorderDxfId="6820" totalsRowBorderDxfId="6818">
  <autoFilter ref="A1250:N1268"/>
  <tableColumns count="14">
    <tableColumn id="1" name="(A)_x000a_Program Name" totalsRowLabel="Total Program 118" dataDxfId="6817" totalsRowDxfId="6816"/>
    <tableColumn id="2" name="(B)_x000a_Fiscal _x000a_Year" totalsRowLabel="N/A" dataDxfId="6815" totalsRowDxfId="6814"/>
    <tableColumn id="3" name="(C)_x000a_Program_x000a_Costs" totalsRowFunction="sum" dataDxfId="6813" totalsRowDxfId="6812"/>
    <tableColumn id="4" name="(D)_x000a_Prior Period Adjustments" totalsRowFunction="sum" dataDxfId="6811" totalsRowDxfId="6810"/>
    <tableColumn id="5" name="(E)_x000a_Current Period Desk _x000a_Reviews" totalsRowFunction="sum" dataDxfId="6809" totalsRowDxfId="6808"/>
    <tableColumn id="6" name="(F)_x000a_Current Period _x000a_Final _x000a_Audits" totalsRowFunction="sum" dataDxfId="6807" totalsRowDxfId="6806"/>
    <tableColumn id="7" name="(G)_x000a_Current Period _x000a_Other Adjustments" totalsRowFunction="sum" dataDxfId="6805" totalsRowDxfId="6804"/>
    <tableColumn id="8" name="(H)_x000a_Net Program Costs_x000a_Sum (C through G)" totalsRowFunction="sum" dataDxfId="6803" totalsRowDxfId="6802"/>
    <tableColumn id="9" name="(I)_x000a_Payments_x000a_ and Offsets" totalsRowFunction="sum" dataDxfId="6801" totalsRowDxfId="6800"/>
    <tableColumn id="10" name="(J)_x000a_Accounts Payable Balance_x000a_(H + I)" totalsRowFunction="sum" dataDxfId="6799" totalsRowDxfId="6798"/>
    <tableColumn id="11" name="(K)_x000a_Established _x000a_Accounts Receivable" totalsRowFunction="sum" dataDxfId="6797" totalsRowDxfId="6796"/>
    <tableColumn id="12" name="(L)_x000a_Recovered_x000a_ Accounts Receivable" totalsRowFunction="sum" dataDxfId="6795" totalsRowDxfId="6794"/>
    <tableColumn id="13" name="(M)_x000a_Accounts Receivable Balance_x000a_(K + L)" totalsRowFunction="sum" dataDxfId="6793" totalsRowDxfId="6792"/>
    <tableColumn id="14" name="(N)_x000a_Net Balance_x000a_(J minus M)" totalsRowFunction="sum" dataDxfId="6791" totalsRowDxfId="679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5.xml><?xml version="1.0" encoding="utf-8"?>
<table xmlns="http://schemas.openxmlformats.org/spreadsheetml/2006/main" id="95" name="Program122" displayName="Program122" ref="A1229:N1248" totalsRowCount="1" headerRowDxfId="6789" dataDxfId="6787" totalsRowDxfId="6785" headerRowBorderDxfId="6788" tableBorderDxfId="6786" totalsRowBorderDxfId="6784">
  <autoFilter ref="A1229:N1247"/>
  <tableColumns count="14">
    <tableColumn id="1" name="(A)_x000a_Program Name" totalsRowLabel="Total Program 122" dataDxfId="6783" totalsRowDxfId="6782"/>
    <tableColumn id="2" name="(B)_x000a_Fiscal _x000a_Year" totalsRowLabel="N/A" dataDxfId="6781" totalsRowDxfId="6780"/>
    <tableColumn id="3" name="(C)_x000a_Program_x000a_Costs" totalsRowFunction="sum" dataDxfId="6779" totalsRowDxfId="6778"/>
    <tableColumn id="4" name="(D)_x000a_Prior Period Adjustments" totalsRowFunction="sum" dataDxfId="6777" totalsRowDxfId="6776"/>
    <tableColumn id="5" name="(E)_x000a_Current Period Desk _x000a_Reviews" totalsRowFunction="sum" dataDxfId="6775" totalsRowDxfId="6774"/>
    <tableColumn id="6" name="(F)_x000a_Current Period _x000a_Final _x000a_Audits" totalsRowFunction="sum" dataDxfId="6773" totalsRowDxfId="6772"/>
    <tableColumn id="7" name="(G)_x000a_Current Period _x000a_Other Adjustments" totalsRowFunction="sum" dataDxfId="6771" totalsRowDxfId="6770"/>
    <tableColumn id="8" name="(H)_x000a_Net Program Costs_x000a_Sum (C through G)" totalsRowFunction="sum" dataDxfId="6769" totalsRowDxfId="6768"/>
    <tableColumn id="9" name="(I)_x000a_Payments_x000a_ and Offsets" totalsRowFunction="sum" dataDxfId="6767" totalsRowDxfId="6766"/>
    <tableColumn id="10" name="(J)_x000a_Accounts Payable Balance_x000a_(H + I)" totalsRowFunction="sum" dataDxfId="6765" totalsRowDxfId="6764"/>
    <tableColumn id="11" name="(K)_x000a_Established _x000a_Accounts Receivable" totalsRowFunction="sum" dataDxfId="6763" totalsRowDxfId="6762"/>
    <tableColumn id="12" name="(L)_x000a_Recovered_x000a_ Accounts Receivable" totalsRowFunction="sum" dataDxfId="6761" totalsRowDxfId="6760"/>
    <tableColumn id="13" name="(M)_x000a_Accounts Receivable Balance_x000a_(K + L)" totalsRowFunction="sum" dataDxfId="6759" totalsRowDxfId="6758"/>
    <tableColumn id="14" name="(N)_x000a_Net Balance_x000a_(J minus M)" totalsRowFunction="sum" dataDxfId="6757" totalsRowDxfId="6756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6.xml><?xml version="1.0" encoding="utf-8"?>
<table xmlns="http://schemas.openxmlformats.org/spreadsheetml/2006/main" id="96" name="Program219" displayName="Program219" ref="A1207:N1227" totalsRowCount="1" headerRowDxfId="6755" dataDxfId="6753" totalsRowDxfId="6751" headerRowBorderDxfId="6754" tableBorderDxfId="6752" totalsRowBorderDxfId="6750">
  <autoFilter ref="A1207:N1226"/>
  <tableColumns count="14">
    <tableColumn id="1" name="(A)_x000a_Program Name" totalsRowLabel="Total Program 219" dataDxfId="6749" totalsRowDxfId="6748"/>
    <tableColumn id="2" name="(B)_x000a_Fiscal _x000a_Year" totalsRowLabel="N/A" dataDxfId="6747" totalsRowDxfId="6746"/>
    <tableColumn id="3" name="(C)_x000a_Program_x000a_Costs" totalsRowFunction="sum" dataDxfId="6745" totalsRowDxfId="6744"/>
    <tableColumn id="4" name="(D)_x000a_Prior Period Adjustments" totalsRowFunction="sum" dataDxfId="6743" totalsRowDxfId="6742"/>
    <tableColumn id="5" name="(E)_x000a_Current Period Desk _x000a_Reviews" totalsRowFunction="sum" dataDxfId="6741" totalsRowDxfId="6740"/>
    <tableColumn id="6" name="(F)_x000a_Current Period _x000a_Final _x000a_Audits" totalsRowFunction="sum" dataDxfId="6739" totalsRowDxfId="6738"/>
    <tableColumn id="7" name="(G)_x000a_Current Period _x000a_Other Adjustments" totalsRowFunction="sum" dataDxfId="6737" totalsRowDxfId="6736"/>
    <tableColumn id="8" name="(H)_x000a_Net Program Costs_x000a_Sum (C through G)" totalsRowFunction="sum" dataDxfId="6735" totalsRowDxfId="6734"/>
    <tableColumn id="9" name="(I)_x000a_Payments_x000a_ and Offsets" totalsRowFunction="sum" dataDxfId="6733" totalsRowDxfId="6732"/>
    <tableColumn id="10" name="(J)_x000a_Accounts Payable Balance_x000a_(H + I)" totalsRowFunction="sum" dataDxfId="6731" totalsRowDxfId="6730"/>
    <tableColumn id="11" name="(K)_x000a_Established _x000a_Accounts Receivable" totalsRowFunction="sum" dataDxfId="6729" totalsRowDxfId="6728"/>
    <tableColumn id="12" name="(L)_x000a_Recovered_x000a_ Accounts Receivable" totalsRowFunction="sum" dataDxfId="6727" totalsRowDxfId="6726"/>
    <tableColumn id="13" name="(M)_x000a_Accounts Receivable Balance_x000a_(K + L)" totalsRowFunction="sum" dataDxfId="6725" totalsRowDxfId="6724"/>
    <tableColumn id="14" name="(N)_x000a_Net Balance_x000a_(J minus M)" totalsRowFunction="sum" dataDxfId="6723" totalsRowDxfId="6722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7.xml><?xml version="1.0" encoding="utf-8"?>
<table xmlns="http://schemas.openxmlformats.org/spreadsheetml/2006/main" id="97" name="Program202" displayName="Program202" ref="A1199:N1205" totalsRowCount="1" headerRowDxfId="6721" dataDxfId="6719" totalsRowDxfId="6717" headerRowBorderDxfId="6720" tableBorderDxfId="6718" totalsRowBorderDxfId="6716">
  <autoFilter ref="A1199:N1204"/>
  <tableColumns count="14">
    <tableColumn id="1" name="(A)_x000a_Program Name" totalsRowLabel="Total Program 202" dataDxfId="6715" totalsRowDxfId="6714"/>
    <tableColumn id="2" name="(B)_x000a_Fiscal _x000a_Year" totalsRowLabel="N/A" dataDxfId="6713" totalsRowDxfId="6712"/>
    <tableColumn id="3" name="(C)_x000a_Program_x000a_Costs" totalsRowFunction="sum" dataDxfId="6711" totalsRowDxfId="6710"/>
    <tableColumn id="4" name="(D)_x000a_Prior Period Adjustments" totalsRowFunction="sum" dataDxfId="6709" totalsRowDxfId="6708"/>
    <tableColumn id="5" name="(E)_x000a_Current Period Desk _x000a_Reviews" totalsRowFunction="sum" dataDxfId="6707" totalsRowDxfId="6706"/>
    <tableColumn id="6" name="(F)_x000a_Current Period _x000a_Final _x000a_Audits" totalsRowFunction="sum" dataDxfId="6705" totalsRowDxfId="6704"/>
    <tableColumn id="7" name="(G)_x000a_Current Period _x000a_Other Adjustments" totalsRowFunction="sum" dataDxfId="6703" totalsRowDxfId="6702"/>
    <tableColumn id="8" name="(H)_x000a_Net Program Costs_x000a_Sum (C through G)" totalsRowFunction="sum" dataDxfId="6701" totalsRowDxfId="6700"/>
    <tableColumn id="9" name="(I)_x000a_Payments_x000a_ and Offsets" totalsRowFunction="sum" dataDxfId="6699" totalsRowDxfId="6698"/>
    <tableColumn id="10" name="(J)_x000a_Accounts Payable Balance_x000a_(H + I)" totalsRowFunction="sum" dataDxfId="6697" totalsRowDxfId="6696"/>
    <tableColumn id="11" name="(K)_x000a_Established _x000a_Accounts Receivable" totalsRowFunction="sum" dataDxfId="6695" totalsRowDxfId="6694"/>
    <tableColumn id="12" name="(L)_x000a_Recovered_x000a_ Accounts Receivable" totalsRowFunction="sum" dataDxfId="6693" totalsRowDxfId="6692"/>
    <tableColumn id="13" name="(M)_x000a_Accounts Receivable Balance_x000a_(K + L)" totalsRowFunction="sum" dataDxfId="6691" totalsRowDxfId="6690"/>
    <tableColumn id="14" name="(N)_x000a_Net Balance_x000a_(J minus M)" totalsRowFunction="sum" dataDxfId="6689" totalsRowDxfId="6688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ables/table98.xml><?xml version="1.0" encoding="utf-8"?>
<table xmlns="http://schemas.openxmlformats.org/spreadsheetml/2006/main" id="98" name="Program49" displayName="Program49" ref="A1181:N1197" totalsRowCount="1" headerRowDxfId="6687" dataDxfId="6685" totalsRowDxfId="6683" headerRowBorderDxfId="6686" tableBorderDxfId="6684" totalsRowBorderDxfId="6682">
  <autoFilter ref="A1181:N1196"/>
  <tableColumns count="14">
    <tableColumn id="1" name="(A)_x000a_Program Name" totalsRowLabel="Total Program 49" dataDxfId="6681" totalsRowDxfId="6680"/>
    <tableColumn id="2" name="(B)_x000a_Fiscal _x000a_Year" totalsRowLabel="N/A" dataDxfId="6679" totalsRowDxfId="6678"/>
    <tableColumn id="3" name="(C)_x000a_Program_x000a_Costs" totalsRowFunction="sum" dataDxfId="6677" totalsRowDxfId="6676"/>
    <tableColumn id="4" name="(D)_x000a_Prior Period Adjustments" totalsRowFunction="sum" dataDxfId="6675" totalsRowDxfId="6674"/>
    <tableColumn id="5" name="(E)_x000a_Current Period Desk _x000a_Reviews" totalsRowFunction="sum" dataDxfId="6673" totalsRowDxfId="6672"/>
    <tableColumn id="6" name="(F)_x000a_Current Period _x000a_Final _x000a_Audits" totalsRowFunction="sum" dataDxfId="6671" totalsRowDxfId="6670"/>
    <tableColumn id="7" name="(G)_x000a_Current Period _x000a_Other Adjustments" totalsRowFunction="sum" dataDxfId="6669" totalsRowDxfId="6668"/>
    <tableColumn id="8" name="(H)_x000a_Net Program Costs_x000a_Sum (C through G)" totalsRowFunction="sum" dataDxfId="6667" totalsRowDxfId="6666"/>
    <tableColumn id="9" name="(I)_x000a_Payments_x000a_ and Offsets" totalsRowFunction="sum" dataDxfId="6665" totalsRowDxfId="6664"/>
    <tableColumn id="10" name="(J)_x000a_Accounts Payable Balance_x000a_(H + I)" totalsRowFunction="sum" dataDxfId="6663" totalsRowDxfId="6662"/>
    <tableColumn id="11" name="(K)_x000a_Established _x000a_Accounts Receivable" totalsRowFunction="sum" dataDxfId="6661" totalsRowDxfId="6660"/>
    <tableColumn id="12" name="(L)_x000a_Recovered_x000a_ Accounts Receivable" totalsRowFunction="sum" dataDxfId="6659" totalsRowDxfId="6658"/>
    <tableColumn id="13" name="(M)_x000a_Accounts Receivable Balance_x000a_(K + L)" totalsRowFunction="sum" dataDxfId="6657" totalsRowDxfId="6656"/>
    <tableColumn id="14" name="(N)_x000a_Net Balance_x000a_(J minus M)" totalsRowFunction="sum" dataDxfId="6655" totalsRowDxfId="6654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et" altTextSummary="Detail of State-Mandated Program Cost Report of Audit Findings.  For the Period of April 1, 2019, through March 31, 2020."/>
    </ext>
  </extLst>
</table>
</file>

<file path=xl/tables/table99.xml><?xml version="1.0" encoding="utf-8"?>
<table xmlns="http://schemas.openxmlformats.org/spreadsheetml/2006/main" id="99" name="Program200" displayName="Program200" ref="A1165:N1179" totalsRowCount="1" headerRowDxfId="6653" dataDxfId="6651" totalsRowDxfId="6649" headerRowBorderDxfId="6652" tableBorderDxfId="6650" totalsRowBorderDxfId="6648">
  <autoFilter ref="A1165:N1178"/>
  <tableColumns count="14">
    <tableColumn id="1" name="(A)_x000a_Program Name" totalsRowLabel="Total Program 200" dataDxfId="6647" totalsRowDxfId="6646"/>
    <tableColumn id="2" name="(B)_x000a_Fiscal _x000a_Year" totalsRowLabel="N/A" dataDxfId="6645" totalsRowDxfId="6644"/>
    <tableColumn id="3" name="(C)_x000a_Program_x000a_Costs" totalsRowFunction="sum" dataDxfId="6643" totalsRowDxfId="6642"/>
    <tableColumn id="4" name="(D)_x000a_Prior Period Adjustments" totalsRowFunction="sum" dataDxfId="6641" totalsRowDxfId="6640"/>
    <tableColumn id="5" name="(E)_x000a_Current Period Desk _x000a_Reviews" totalsRowFunction="sum" dataDxfId="6639" totalsRowDxfId="6638"/>
    <tableColumn id="6" name="(F)_x000a_Current Period _x000a_Final _x000a_Audits" totalsRowFunction="sum" dataDxfId="6637" totalsRowDxfId="6636"/>
    <tableColumn id="7" name="(G)_x000a_Current Period _x000a_Other Adjustments" totalsRowFunction="sum" dataDxfId="6635" totalsRowDxfId="6634"/>
    <tableColumn id="8" name="(H)_x000a_Net Program Costs_x000a_Sum (C through G)" totalsRowFunction="sum" dataDxfId="6633" totalsRowDxfId="6632"/>
    <tableColumn id="9" name="(I)_x000a_Payments_x000a_ and Offsets" totalsRowFunction="sum" dataDxfId="6631" totalsRowDxfId="6630"/>
    <tableColumn id="10" name="(J)_x000a_Accounts Payable Balance_x000a_(H + I)" totalsRowFunction="sum" dataDxfId="6629" totalsRowDxfId="6628"/>
    <tableColumn id="11" name="(K)_x000a_Established _x000a_Accounts Receivable" totalsRowFunction="sum" dataDxfId="6627" totalsRowDxfId="6626"/>
    <tableColumn id="12" name="(L)_x000a_Recovered_x000a_ Accounts Receivable" totalsRowFunction="sum" dataDxfId="6625" totalsRowDxfId="6624"/>
    <tableColumn id="13" name="(M)_x000a_Accounts Receivable Balance_x000a_(K + L)" totalsRowFunction="sum" dataDxfId="6623" totalsRowDxfId="6622"/>
    <tableColumn id="14" name="(N)_x000a_Net Balance_x000a_(J minus M)" totalsRowFunction="sum" dataDxfId="6621" totalsRowDxfId="6620"/>
  </tableColumns>
  <tableStyleInfo showFirstColumn="1" showLastColumn="0" showRowStripes="1" showColumnStripes="0"/>
  <extLst>
    <ext xmlns:x14="http://schemas.microsoft.com/office/spreadsheetml/2009/9/main" uri="{504A1905-F514-4f6f-8877-14C23A59335A}">
      <x14:table altText="2020 Audit Finding Report" altTextSummary="Detail of State-Mandated Program Cost Report of Audit Findings.  For the Period of April 1, 2019, through March 31, 2020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31.xml"/><Relationship Id="rId117" Type="http://schemas.openxmlformats.org/officeDocument/2006/relationships/table" Target="../tables/table122.xml"/><Relationship Id="rId21" Type="http://schemas.openxmlformats.org/officeDocument/2006/relationships/table" Target="../tables/table26.xml"/><Relationship Id="rId42" Type="http://schemas.openxmlformats.org/officeDocument/2006/relationships/table" Target="../tables/table47.xml"/><Relationship Id="rId47" Type="http://schemas.openxmlformats.org/officeDocument/2006/relationships/table" Target="../tables/table52.xml"/><Relationship Id="rId63" Type="http://schemas.openxmlformats.org/officeDocument/2006/relationships/table" Target="../tables/table68.xml"/><Relationship Id="rId68" Type="http://schemas.openxmlformats.org/officeDocument/2006/relationships/table" Target="../tables/table73.xml"/><Relationship Id="rId84" Type="http://schemas.openxmlformats.org/officeDocument/2006/relationships/table" Target="../tables/table89.xml"/><Relationship Id="rId89" Type="http://schemas.openxmlformats.org/officeDocument/2006/relationships/table" Target="../tables/table94.xml"/><Relationship Id="rId112" Type="http://schemas.openxmlformats.org/officeDocument/2006/relationships/table" Target="../tables/table117.xml"/><Relationship Id="rId16" Type="http://schemas.openxmlformats.org/officeDocument/2006/relationships/table" Target="../tables/table21.xml"/><Relationship Id="rId107" Type="http://schemas.openxmlformats.org/officeDocument/2006/relationships/table" Target="../tables/table112.xml"/><Relationship Id="rId11" Type="http://schemas.openxmlformats.org/officeDocument/2006/relationships/table" Target="../tables/table16.xml"/><Relationship Id="rId32" Type="http://schemas.openxmlformats.org/officeDocument/2006/relationships/table" Target="../tables/table37.xml"/><Relationship Id="rId37" Type="http://schemas.openxmlformats.org/officeDocument/2006/relationships/table" Target="../tables/table42.xml"/><Relationship Id="rId53" Type="http://schemas.openxmlformats.org/officeDocument/2006/relationships/table" Target="../tables/table58.xml"/><Relationship Id="rId58" Type="http://schemas.openxmlformats.org/officeDocument/2006/relationships/table" Target="../tables/table63.xml"/><Relationship Id="rId74" Type="http://schemas.openxmlformats.org/officeDocument/2006/relationships/table" Target="../tables/table79.xml"/><Relationship Id="rId79" Type="http://schemas.openxmlformats.org/officeDocument/2006/relationships/table" Target="../tables/table84.xml"/><Relationship Id="rId102" Type="http://schemas.openxmlformats.org/officeDocument/2006/relationships/table" Target="../tables/table107.xml"/><Relationship Id="rId123" Type="http://schemas.openxmlformats.org/officeDocument/2006/relationships/table" Target="../tables/table128.xml"/><Relationship Id="rId128" Type="http://schemas.openxmlformats.org/officeDocument/2006/relationships/table" Target="../tables/table133.xml"/><Relationship Id="rId5" Type="http://schemas.openxmlformats.org/officeDocument/2006/relationships/table" Target="../tables/table10.xml"/><Relationship Id="rId90" Type="http://schemas.openxmlformats.org/officeDocument/2006/relationships/table" Target="../tables/table95.xml"/><Relationship Id="rId95" Type="http://schemas.openxmlformats.org/officeDocument/2006/relationships/table" Target="../tables/table100.xml"/><Relationship Id="rId19" Type="http://schemas.openxmlformats.org/officeDocument/2006/relationships/table" Target="../tables/table24.xml"/><Relationship Id="rId14" Type="http://schemas.openxmlformats.org/officeDocument/2006/relationships/table" Target="../tables/table19.xml"/><Relationship Id="rId22" Type="http://schemas.openxmlformats.org/officeDocument/2006/relationships/table" Target="../tables/table27.xml"/><Relationship Id="rId27" Type="http://schemas.openxmlformats.org/officeDocument/2006/relationships/table" Target="../tables/table32.xml"/><Relationship Id="rId30" Type="http://schemas.openxmlformats.org/officeDocument/2006/relationships/table" Target="../tables/table35.xml"/><Relationship Id="rId35" Type="http://schemas.openxmlformats.org/officeDocument/2006/relationships/table" Target="../tables/table40.xml"/><Relationship Id="rId43" Type="http://schemas.openxmlformats.org/officeDocument/2006/relationships/table" Target="../tables/table48.xml"/><Relationship Id="rId48" Type="http://schemas.openxmlformats.org/officeDocument/2006/relationships/table" Target="../tables/table53.xml"/><Relationship Id="rId56" Type="http://schemas.openxmlformats.org/officeDocument/2006/relationships/table" Target="../tables/table61.xml"/><Relationship Id="rId64" Type="http://schemas.openxmlformats.org/officeDocument/2006/relationships/table" Target="../tables/table69.xml"/><Relationship Id="rId69" Type="http://schemas.openxmlformats.org/officeDocument/2006/relationships/table" Target="../tables/table74.xml"/><Relationship Id="rId77" Type="http://schemas.openxmlformats.org/officeDocument/2006/relationships/table" Target="../tables/table82.xml"/><Relationship Id="rId100" Type="http://schemas.openxmlformats.org/officeDocument/2006/relationships/table" Target="../tables/table105.xml"/><Relationship Id="rId105" Type="http://schemas.openxmlformats.org/officeDocument/2006/relationships/table" Target="../tables/table110.xml"/><Relationship Id="rId113" Type="http://schemas.openxmlformats.org/officeDocument/2006/relationships/table" Target="../tables/table118.xml"/><Relationship Id="rId118" Type="http://schemas.openxmlformats.org/officeDocument/2006/relationships/table" Target="../tables/table123.xml"/><Relationship Id="rId126" Type="http://schemas.openxmlformats.org/officeDocument/2006/relationships/table" Target="../tables/table131.xml"/><Relationship Id="rId8" Type="http://schemas.openxmlformats.org/officeDocument/2006/relationships/table" Target="../tables/table13.xml"/><Relationship Id="rId51" Type="http://schemas.openxmlformats.org/officeDocument/2006/relationships/table" Target="../tables/table56.xml"/><Relationship Id="rId72" Type="http://schemas.openxmlformats.org/officeDocument/2006/relationships/table" Target="../tables/table77.xml"/><Relationship Id="rId80" Type="http://schemas.openxmlformats.org/officeDocument/2006/relationships/table" Target="../tables/table85.xml"/><Relationship Id="rId85" Type="http://schemas.openxmlformats.org/officeDocument/2006/relationships/table" Target="../tables/table90.xml"/><Relationship Id="rId93" Type="http://schemas.openxmlformats.org/officeDocument/2006/relationships/table" Target="../tables/table98.xml"/><Relationship Id="rId98" Type="http://schemas.openxmlformats.org/officeDocument/2006/relationships/table" Target="../tables/table103.xml"/><Relationship Id="rId121" Type="http://schemas.openxmlformats.org/officeDocument/2006/relationships/table" Target="../tables/table126.xml"/><Relationship Id="rId3" Type="http://schemas.openxmlformats.org/officeDocument/2006/relationships/table" Target="../tables/table8.xml"/><Relationship Id="rId12" Type="http://schemas.openxmlformats.org/officeDocument/2006/relationships/table" Target="../tables/table17.xml"/><Relationship Id="rId17" Type="http://schemas.openxmlformats.org/officeDocument/2006/relationships/table" Target="../tables/table22.xml"/><Relationship Id="rId25" Type="http://schemas.openxmlformats.org/officeDocument/2006/relationships/table" Target="../tables/table30.xml"/><Relationship Id="rId33" Type="http://schemas.openxmlformats.org/officeDocument/2006/relationships/table" Target="../tables/table38.xml"/><Relationship Id="rId38" Type="http://schemas.openxmlformats.org/officeDocument/2006/relationships/table" Target="../tables/table43.xml"/><Relationship Id="rId46" Type="http://schemas.openxmlformats.org/officeDocument/2006/relationships/table" Target="../tables/table51.xml"/><Relationship Id="rId59" Type="http://schemas.openxmlformats.org/officeDocument/2006/relationships/table" Target="../tables/table64.xml"/><Relationship Id="rId67" Type="http://schemas.openxmlformats.org/officeDocument/2006/relationships/table" Target="../tables/table72.xml"/><Relationship Id="rId103" Type="http://schemas.openxmlformats.org/officeDocument/2006/relationships/table" Target="../tables/table108.xml"/><Relationship Id="rId108" Type="http://schemas.openxmlformats.org/officeDocument/2006/relationships/table" Target="../tables/table113.xml"/><Relationship Id="rId116" Type="http://schemas.openxmlformats.org/officeDocument/2006/relationships/table" Target="../tables/table121.xml"/><Relationship Id="rId124" Type="http://schemas.openxmlformats.org/officeDocument/2006/relationships/table" Target="../tables/table129.xml"/><Relationship Id="rId129" Type="http://schemas.openxmlformats.org/officeDocument/2006/relationships/table" Target="../tables/table134.xml"/><Relationship Id="rId20" Type="http://schemas.openxmlformats.org/officeDocument/2006/relationships/table" Target="../tables/table25.xml"/><Relationship Id="rId41" Type="http://schemas.openxmlformats.org/officeDocument/2006/relationships/table" Target="../tables/table46.xml"/><Relationship Id="rId54" Type="http://schemas.openxmlformats.org/officeDocument/2006/relationships/table" Target="../tables/table59.xml"/><Relationship Id="rId62" Type="http://schemas.openxmlformats.org/officeDocument/2006/relationships/table" Target="../tables/table67.xml"/><Relationship Id="rId70" Type="http://schemas.openxmlformats.org/officeDocument/2006/relationships/table" Target="../tables/table75.xml"/><Relationship Id="rId75" Type="http://schemas.openxmlformats.org/officeDocument/2006/relationships/table" Target="../tables/table80.xml"/><Relationship Id="rId83" Type="http://schemas.openxmlformats.org/officeDocument/2006/relationships/table" Target="../tables/table88.xml"/><Relationship Id="rId88" Type="http://schemas.openxmlformats.org/officeDocument/2006/relationships/table" Target="../tables/table93.xml"/><Relationship Id="rId91" Type="http://schemas.openxmlformats.org/officeDocument/2006/relationships/table" Target="../tables/table96.xml"/><Relationship Id="rId96" Type="http://schemas.openxmlformats.org/officeDocument/2006/relationships/table" Target="../tables/table101.xml"/><Relationship Id="rId111" Type="http://schemas.openxmlformats.org/officeDocument/2006/relationships/table" Target="../tables/table116.xml"/><Relationship Id="rId132" Type="http://schemas.openxmlformats.org/officeDocument/2006/relationships/table" Target="../tables/table13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15" Type="http://schemas.openxmlformats.org/officeDocument/2006/relationships/table" Target="../tables/table20.xml"/><Relationship Id="rId23" Type="http://schemas.openxmlformats.org/officeDocument/2006/relationships/table" Target="../tables/table28.xml"/><Relationship Id="rId28" Type="http://schemas.openxmlformats.org/officeDocument/2006/relationships/table" Target="../tables/table33.xml"/><Relationship Id="rId36" Type="http://schemas.openxmlformats.org/officeDocument/2006/relationships/table" Target="../tables/table41.xml"/><Relationship Id="rId49" Type="http://schemas.openxmlformats.org/officeDocument/2006/relationships/table" Target="../tables/table54.xml"/><Relationship Id="rId57" Type="http://schemas.openxmlformats.org/officeDocument/2006/relationships/table" Target="../tables/table62.xml"/><Relationship Id="rId106" Type="http://schemas.openxmlformats.org/officeDocument/2006/relationships/table" Target="../tables/table111.xml"/><Relationship Id="rId114" Type="http://schemas.openxmlformats.org/officeDocument/2006/relationships/table" Target="../tables/table119.xml"/><Relationship Id="rId119" Type="http://schemas.openxmlformats.org/officeDocument/2006/relationships/table" Target="../tables/table124.xml"/><Relationship Id="rId127" Type="http://schemas.openxmlformats.org/officeDocument/2006/relationships/table" Target="../tables/table132.xml"/><Relationship Id="rId10" Type="http://schemas.openxmlformats.org/officeDocument/2006/relationships/table" Target="../tables/table15.xml"/><Relationship Id="rId31" Type="http://schemas.openxmlformats.org/officeDocument/2006/relationships/table" Target="../tables/table36.xml"/><Relationship Id="rId44" Type="http://schemas.openxmlformats.org/officeDocument/2006/relationships/table" Target="../tables/table49.xml"/><Relationship Id="rId52" Type="http://schemas.openxmlformats.org/officeDocument/2006/relationships/table" Target="../tables/table57.xml"/><Relationship Id="rId60" Type="http://schemas.openxmlformats.org/officeDocument/2006/relationships/table" Target="../tables/table65.xml"/><Relationship Id="rId65" Type="http://schemas.openxmlformats.org/officeDocument/2006/relationships/table" Target="../tables/table70.xml"/><Relationship Id="rId73" Type="http://schemas.openxmlformats.org/officeDocument/2006/relationships/table" Target="../tables/table78.xml"/><Relationship Id="rId78" Type="http://schemas.openxmlformats.org/officeDocument/2006/relationships/table" Target="../tables/table83.xml"/><Relationship Id="rId81" Type="http://schemas.openxmlformats.org/officeDocument/2006/relationships/table" Target="../tables/table86.xml"/><Relationship Id="rId86" Type="http://schemas.openxmlformats.org/officeDocument/2006/relationships/table" Target="../tables/table91.xml"/><Relationship Id="rId94" Type="http://schemas.openxmlformats.org/officeDocument/2006/relationships/table" Target="../tables/table99.xml"/><Relationship Id="rId99" Type="http://schemas.openxmlformats.org/officeDocument/2006/relationships/table" Target="../tables/table104.xml"/><Relationship Id="rId101" Type="http://schemas.openxmlformats.org/officeDocument/2006/relationships/table" Target="../tables/table106.xml"/><Relationship Id="rId122" Type="http://schemas.openxmlformats.org/officeDocument/2006/relationships/table" Target="../tables/table127.xml"/><Relationship Id="rId130" Type="http://schemas.openxmlformats.org/officeDocument/2006/relationships/table" Target="../tables/table135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Relationship Id="rId13" Type="http://schemas.openxmlformats.org/officeDocument/2006/relationships/table" Target="../tables/table18.xml"/><Relationship Id="rId18" Type="http://schemas.openxmlformats.org/officeDocument/2006/relationships/table" Target="../tables/table23.xml"/><Relationship Id="rId39" Type="http://schemas.openxmlformats.org/officeDocument/2006/relationships/table" Target="../tables/table44.xml"/><Relationship Id="rId109" Type="http://schemas.openxmlformats.org/officeDocument/2006/relationships/table" Target="../tables/table114.xml"/><Relationship Id="rId34" Type="http://schemas.openxmlformats.org/officeDocument/2006/relationships/table" Target="../tables/table39.xml"/><Relationship Id="rId50" Type="http://schemas.openxmlformats.org/officeDocument/2006/relationships/table" Target="../tables/table55.xml"/><Relationship Id="rId55" Type="http://schemas.openxmlformats.org/officeDocument/2006/relationships/table" Target="../tables/table60.xml"/><Relationship Id="rId76" Type="http://schemas.openxmlformats.org/officeDocument/2006/relationships/table" Target="../tables/table81.xml"/><Relationship Id="rId97" Type="http://schemas.openxmlformats.org/officeDocument/2006/relationships/table" Target="../tables/table102.xml"/><Relationship Id="rId104" Type="http://schemas.openxmlformats.org/officeDocument/2006/relationships/table" Target="../tables/table109.xml"/><Relationship Id="rId120" Type="http://schemas.openxmlformats.org/officeDocument/2006/relationships/table" Target="../tables/table125.xml"/><Relationship Id="rId125" Type="http://schemas.openxmlformats.org/officeDocument/2006/relationships/table" Target="../tables/table130.xml"/><Relationship Id="rId7" Type="http://schemas.openxmlformats.org/officeDocument/2006/relationships/table" Target="../tables/table12.xml"/><Relationship Id="rId71" Type="http://schemas.openxmlformats.org/officeDocument/2006/relationships/table" Target="../tables/table76.xml"/><Relationship Id="rId92" Type="http://schemas.openxmlformats.org/officeDocument/2006/relationships/table" Target="../tables/table97.xml"/><Relationship Id="rId2" Type="http://schemas.openxmlformats.org/officeDocument/2006/relationships/table" Target="../tables/table7.xml"/><Relationship Id="rId29" Type="http://schemas.openxmlformats.org/officeDocument/2006/relationships/table" Target="../tables/table34.xml"/><Relationship Id="rId24" Type="http://schemas.openxmlformats.org/officeDocument/2006/relationships/table" Target="../tables/table29.xml"/><Relationship Id="rId40" Type="http://schemas.openxmlformats.org/officeDocument/2006/relationships/table" Target="../tables/table45.xml"/><Relationship Id="rId45" Type="http://schemas.openxmlformats.org/officeDocument/2006/relationships/table" Target="../tables/table50.xml"/><Relationship Id="rId66" Type="http://schemas.openxmlformats.org/officeDocument/2006/relationships/table" Target="../tables/table71.xml"/><Relationship Id="rId87" Type="http://schemas.openxmlformats.org/officeDocument/2006/relationships/table" Target="../tables/table92.xml"/><Relationship Id="rId110" Type="http://schemas.openxmlformats.org/officeDocument/2006/relationships/table" Target="../tables/table115.xml"/><Relationship Id="rId115" Type="http://schemas.openxmlformats.org/officeDocument/2006/relationships/table" Target="../tables/table120.xml"/><Relationship Id="rId131" Type="http://schemas.openxmlformats.org/officeDocument/2006/relationships/table" Target="../tables/table136.xml"/><Relationship Id="rId61" Type="http://schemas.openxmlformats.org/officeDocument/2006/relationships/table" Target="../tables/table66.xml"/><Relationship Id="rId82" Type="http://schemas.openxmlformats.org/officeDocument/2006/relationships/table" Target="../tables/table87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162.xml"/><Relationship Id="rId117" Type="http://schemas.openxmlformats.org/officeDocument/2006/relationships/table" Target="../tables/table253.xml"/><Relationship Id="rId21" Type="http://schemas.openxmlformats.org/officeDocument/2006/relationships/table" Target="../tables/table157.xml"/><Relationship Id="rId42" Type="http://schemas.openxmlformats.org/officeDocument/2006/relationships/table" Target="../tables/table178.xml"/><Relationship Id="rId47" Type="http://schemas.openxmlformats.org/officeDocument/2006/relationships/table" Target="../tables/table183.xml"/><Relationship Id="rId63" Type="http://schemas.openxmlformats.org/officeDocument/2006/relationships/table" Target="../tables/table199.xml"/><Relationship Id="rId68" Type="http://schemas.openxmlformats.org/officeDocument/2006/relationships/table" Target="../tables/table204.xml"/><Relationship Id="rId84" Type="http://schemas.openxmlformats.org/officeDocument/2006/relationships/table" Target="../tables/table220.xml"/><Relationship Id="rId89" Type="http://schemas.openxmlformats.org/officeDocument/2006/relationships/table" Target="../tables/table225.xml"/><Relationship Id="rId112" Type="http://schemas.openxmlformats.org/officeDocument/2006/relationships/table" Target="../tables/table248.xml"/><Relationship Id="rId16" Type="http://schemas.openxmlformats.org/officeDocument/2006/relationships/table" Target="../tables/table152.xml"/><Relationship Id="rId107" Type="http://schemas.openxmlformats.org/officeDocument/2006/relationships/table" Target="../tables/table243.xml"/><Relationship Id="rId11" Type="http://schemas.openxmlformats.org/officeDocument/2006/relationships/table" Target="../tables/table147.xml"/><Relationship Id="rId32" Type="http://schemas.openxmlformats.org/officeDocument/2006/relationships/table" Target="../tables/table168.xml"/><Relationship Id="rId37" Type="http://schemas.openxmlformats.org/officeDocument/2006/relationships/table" Target="../tables/table173.xml"/><Relationship Id="rId53" Type="http://schemas.openxmlformats.org/officeDocument/2006/relationships/table" Target="../tables/table189.xml"/><Relationship Id="rId58" Type="http://schemas.openxmlformats.org/officeDocument/2006/relationships/table" Target="../tables/table194.xml"/><Relationship Id="rId74" Type="http://schemas.openxmlformats.org/officeDocument/2006/relationships/table" Target="../tables/table210.xml"/><Relationship Id="rId79" Type="http://schemas.openxmlformats.org/officeDocument/2006/relationships/table" Target="../tables/table215.xml"/><Relationship Id="rId102" Type="http://schemas.openxmlformats.org/officeDocument/2006/relationships/table" Target="../tables/table238.xml"/><Relationship Id="rId123" Type="http://schemas.openxmlformats.org/officeDocument/2006/relationships/table" Target="../tables/table259.xml"/><Relationship Id="rId5" Type="http://schemas.openxmlformats.org/officeDocument/2006/relationships/table" Target="../tables/table141.xml"/><Relationship Id="rId61" Type="http://schemas.openxmlformats.org/officeDocument/2006/relationships/table" Target="../tables/table197.xml"/><Relationship Id="rId82" Type="http://schemas.openxmlformats.org/officeDocument/2006/relationships/table" Target="../tables/table218.xml"/><Relationship Id="rId90" Type="http://schemas.openxmlformats.org/officeDocument/2006/relationships/table" Target="../tables/table226.xml"/><Relationship Id="rId95" Type="http://schemas.openxmlformats.org/officeDocument/2006/relationships/table" Target="../tables/table231.xml"/><Relationship Id="rId19" Type="http://schemas.openxmlformats.org/officeDocument/2006/relationships/table" Target="../tables/table155.xml"/><Relationship Id="rId14" Type="http://schemas.openxmlformats.org/officeDocument/2006/relationships/table" Target="../tables/table150.xml"/><Relationship Id="rId22" Type="http://schemas.openxmlformats.org/officeDocument/2006/relationships/table" Target="../tables/table158.xml"/><Relationship Id="rId27" Type="http://schemas.openxmlformats.org/officeDocument/2006/relationships/table" Target="../tables/table163.xml"/><Relationship Id="rId30" Type="http://schemas.openxmlformats.org/officeDocument/2006/relationships/table" Target="../tables/table166.xml"/><Relationship Id="rId35" Type="http://schemas.openxmlformats.org/officeDocument/2006/relationships/table" Target="../tables/table171.xml"/><Relationship Id="rId43" Type="http://schemas.openxmlformats.org/officeDocument/2006/relationships/table" Target="../tables/table179.xml"/><Relationship Id="rId48" Type="http://schemas.openxmlformats.org/officeDocument/2006/relationships/table" Target="../tables/table184.xml"/><Relationship Id="rId56" Type="http://schemas.openxmlformats.org/officeDocument/2006/relationships/table" Target="../tables/table192.xml"/><Relationship Id="rId64" Type="http://schemas.openxmlformats.org/officeDocument/2006/relationships/table" Target="../tables/table200.xml"/><Relationship Id="rId69" Type="http://schemas.openxmlformats.org/officeDocument/2006/relationships/table" Target="../tables/table205.xml"/><Relationship Id="rId77" Type="http://schemas.openxmlformats.org/officeDocument/2006/relationships/table" Target="../tables/table213.xml"/><Relationship Id="rId100" Type="http://schemas.openxmlformats.org/officeDocument/2006/relationships/table" Target="../tables/table236.xml"/><Relationship Id="rId105" Type="http://schemas.openxmlformats.org/officeDocument/2006/relationships/table" Target="../tables/table241.xml"/><Relationship Id="rId113" Type="http://schemas.openxmlformats.org/officeDocument/2006/relationships/table" Target="../tables/table249.xml"/><Relationship Id="rId118" Type="http://schemas.openxmlformats.org/officeDocument/2006/relationships/table" Target="../tables/table254.xml"/><Relationship Id="rId8" Type="http://schemas.openxmlformats.org/officeDocument/2006/relationships/table" Target="../tables/table144.xml"/><Relationship Id="rId51" Type="http://schemas.openxmlformats.org/officeDocument/2006/relationships/table" Target="../tables/table187.xml"/><Relationship Id="rId72" Type="http://schemas.openxmlformats.org/officeDocument/2006/relationships/table" Target="../tables/table208.xml"/><Relationship Id="rId80" Type="http://schemas.openxmlformats.org/officeDocument/2006/relationships/table" Target="../tables/table216.xml"/><Relationship Id="rId85" Type="http://schemas.openxmlformats.org/officeDocument/2006/relationships/table" Target="../tables/table221.xml"/><Relationship Id="rId93" Type="http://schemas.openxmlformats.org/officeDocument/2006/relationships/table" Target="../tables/table229.xml"/><Relationship Id="rId98" Type="http://schemas.openxmlformats.org/officeDocument/2006/relationships/table" Target="../tables/table234.xml"/><Relationship Id="rId121" Type="http://schemas.openxmlformats.org/officeDocument/2006/relationships/table" Target="../tables/table257.xml"/><Relationship Id="rId3" Type="http://schemas.openxmlformats.org/officeDocument/2006/relationships/table" Target="../tables/table139.xml"/><Relationship Id="rId12" Type="http://schemas.openxmlformats.org/officeDocument/2006/relationships/table" Target="../tables/table148.xml"/><Relationship Id="rId17" Type="http://schemas.openxmlformats.org/officeDocument/2006/relationships/table" Target="../tables/table153.xml"/><Relationship Id="rId25" Type="http://schemas.openxmlformats.org/officeDocument/2006/relationships/table" Target="../tables/table161.xml"/><Relationship Id="rId33" Type="http://schemas.openxmlformats.org/officeDocument/2006/relationships/table" Target="../tables/table169.xml"/><Relationship Id="rId38" Type="http://schemas.openxmlformats.org/officeDocument/2006/relationships/table" Target="../tables/table174.xml"/><Relationship Id="rId46" Type="http://schemas.openxmlformats.org/officeDocument/2006/relationships/table" Target="../tables/table182.xml"/><Relationship Id="rId59" Type="http://schemas.openxmlformats.org/officeDocument/2006/relationships/table" Target="../tables/table195.xml"/><Relationship Id="rId67" Type="http://schemas.openxmlformats.org/officeDocument/2006/relationships/table" Target="../tables/table203.xml"/><Relationship Id="rId103" Type="http://schemas.openxmlformats.org/officeDocument/2006/relationships/table" Target="../tables/table239.xml"/><Relationship Id="rId108" Type="http://schemas.openxmlformats.org/officeDocument/2006/relationships/table" Target="../tables/table244.xml"/><Relationship Id="rId116" Type="http://schemas.openxmlformats.org/officeDocument/2006/relationships/table" Target="../tables/table252.xml"/><Relationship Id="rId124" Type="http://schemas.openxmlformats.org/officeDocument/2006/relationships/table" Target="../tables/table260.xml"/><Relationship Id="rId20" Type="http://schemas.openxmlformats.org/officeDocument/2006/relationships/table" Target="../tables/table156.xml"/><Relationship Id="rId41" Type="http://schemas.openxmlformats.org/officeDocument/2006/relationships/table" Target="../tables/table177.xml"/><Relationship Id="rId54" Type="http://schemas.openxmlformats.org/officeDocument/2006/relationships/table" Target="../tables/table190.xml"/><Relationship Id="rId62" Type="http://schemas.openxmlformats.org/officeDocument/2006/relationships/table" Target="../tables/table198.xml"/><Relationship Id="rId70" Type="http://schemas.openxmlformats.org/officeDocument/2006/relationships/table" Target="../tables/table206.xml"/><Relationship Id="rId75" Type="http://schemas.openxmlformats.org/officeDocument/2006/relationships/table" Target="../tables/table211.xml"/><Relationship Id="rId83" Type="http://schemas.openxmlformats.org/officeDocument/2006/relationships/table" Target="../tables/table219.xml"/><Relationship Id="rId88" Type="http://schemas.openxmlformats.org/officeDocument/2006/relationships/table" Target="../tables/table224.xml"/><Relationship Id="rId91" Type="http://schemas.openxmlformats.org/officeDocument/2006/relationships/table" Target="../tables/table227.xml"/><Relationship Id="rId96" Type="http://schemas.openxmlformats.org/officeDocument/2006/relationships/table" Target="../tables/table232.xml"/><Relationship Id="rId111" Type="http://schemas.openxmlformats.org/officeDocument/2006/relationships/table" Target="../tables/table247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2.xml"/><Relationship Id="rId15" Type="http://schemas.openxmlformats.org/officeDocument/2006/relationships/table" Target="../tables/table151.xml"/><Relationship Id="rId23" Type="http://schemas.openxmlformats.org/officeDocument/2006/relationships/table" Target="../tables/table159.xml"/><Relationship Id="rId28" Type="http://schemas.openxmlformats.org/officeDocument/2006/relationships/table" Target="../tables/table164.xml"/><Relationship Id="rId36" Type="http://schemas.openxmlformats.org/officeDocument/2006/relationships/table" Target="../tables/table172.xml"/><Relationship Id="rId49" Type="http://schemas.openxmlformats.org/officeDocument/2006/relationships/table" Target="../tables/table185.xml"/><Relationship Id="rId57" Type="http://schemas.openxmlformats.org/officeDocument/2006/relationships/table" Target="../tables/table193.xml"/><Relationship Id="rId106" Type="http://schemas.openxmlformats.org/officeDocument/2006/relationships/table" Target="../tables/table242.xml"/><Relationship Id="rId114" Type="http://schemas.openxmlformats.org/officeDocument/2006/relationships/table" Target="../tables/table250.xml"/><Relationship Id="rId119" Type="http://schemas.openxmlformats.org/officeDocument/2006/relationships/table" Target="../tables/table255.xml"/><Relationship Id="rId10" Type="http://schemas.openxmlformats.org/officeDocument/2006/relationships/table" Target="../tables/table146.xml"/><Relationship Id="rId31" Type="http://schemas.openxmlformats.org/officeDocument/2006/relationships/table" Target="../tables/table167.xml"/><Relationship Id="rId44" Type="http://schemas.openxmlformats.org/officeDocument/2006/relationships/table" Target="../tables/table180.xml"/><Relationship Id="rId52" Type="http://schemas.openxmlformats.org/officeDocument/2006/relationships/table" Target="../tables/table188.xml"/><Relationship Id="rId60" Type="http://schemas.openxmlformats.org/officeDocument/2006/relationships/table" Target="../tables/table196.xml"/><Relationship Id="rId65" Type="http://schemas.openxmlformats.org/officeDocument/2006/relationships/table" Target="../tables/table201.xml"/><Relationship Id="rId73" Type="http://schemas.openxmlformats.org/officeDocument/2006/relationships/table" Target="../tables/table209.xml"/><Relationship Id="rId78" Type="http://schemas.openxmlformats.org/officeDocument/2006/relationships/table" Target="../tables/table214.xml"/><Relationship Id="rId81" Type="http://schemas.openxmlformats.org/officeDocument/2006/relationships/table" Target="../tables/table217.xml"/><Relationship Id="rId86" Type="http://schemas.openxmlformats.org/officeDocument/2006/relationships/table" Target="../tables/table222.xml"/><Relationship Id="rId94" Type="http://schemas.openxmlformats.org/officeDocument/2006/relationships/table" Target="../tables/table230.xml"/><Relationship Id="rId99" Type="http://schemas.openxmlformats.org/officeDocument/2006/relationships/table" Target="../tables/table235.xml"/><Relationship Id="rId101" Type="http://schemas.openxmlformats.org/officeDocument/2006/relationships/table" Target="../tables/table237.xml"/><Relationship Id="rId122" Type="http://schemas.openxmlformats.org/officeDocument/2006/relationships/table" Target="../tables/table258.xml"/><Relationship Id="rId4" Type="http://schemas.openxmlformats.org/officeDocument/2006/relationships/table" Target="../tables/table140.xml"/><Relationship Id="rId9" Type="http://schemas.openxmlformats.org/officeDocument/2006/relationships/table" Target="../tables/table145.xml"/><Relationship Id="rId13" Type="http://schemas.openxmlformats.org/officeDocument/2006/relationships/table" Target="../tables/table149.xml"/><Relationship Id="rId18" Type="http://schemas.openxmlformats.org/officeDocument/2006/relationships/table" Target="../tables/table154.xml"/><Relationship Id="rId39" Type="http://schemas.openxmlformats.org/officeDocument/2006/relationships/table" Target="../tables/table175.xml"/><Relationship Id="rId109" Type="http://schemas.openxmlformats.org/officeDocument/2006/relationships/table" Target="../tables/table245.xml"/><Relationship Id="rId34" Type="http://schemas.openxmlformats.org/officeDocument/2006/relationships/table" Target="../tables/table170.xml"/><Relationship Id="rId50" Type="http://schemas.openxmlformats.org/officeDocument/2006/relationships/table" Target="../tables/table186.xml"/><Relationship Id="rId55" Type="http://schemas.openxmlformats.org/officeDocument/2006/relationships/table" Target="../tables/table191.xml"/><Relationship Id="rId76" Type="http://schemas.openxmlformats.org/officeDocument/2006/relationships/table" Target="../tables/table212.xml"/><Relationship Id="rId97" Type="http://schemas.openxmlformats.org/officeDocument/2006/relationships/table" Target="../tables/table233.xml"/><Relationship Id="rId104" Type="http://schemas.openxmlformats.org/officeDocument/2006/relationships/table" Target="../tables/table240.xml"/><Relationship Id="rId120" Type="http://schemas.openxmlformats.org/officeDocument/2006/relationships/table" Target="../tables/table256.xml"/><Relationship Id="rId7" Type="http://schemas.openxmlformats.org/officeDocument/2006/relationships/table" Target="../tables/table143.xml"/><Relationship Id="rId71" Type="http://schemas.openxmlformats.org/officeDocument/2006/relationships/table" Target="../tables/table207.xml"/><Relationship Id="rId92" Type="http://schemas.openxmlformats.org/officeDocument/2006/relationships/table" Target="../tables/table228.xml"/><Relationship Id="rId2" Type="http://schemas.openxmlformats.org/officeDocument/2006/relationships/table" Target="../tables/table138.xml"/><Relationship Id="rId29" Type="http://schemas.openxmlformats.org/officeDocument/2006/relationships/table" Target="../tables/table165.xml"/><Relationship Id="rId24" Type="http://schemas.openxmlformats.org/officeDocument/2006/relationships/table" Target="../tables/table160.xml"/><Relationship Id="rId40" Type="http://schemas.openxmlformats.org/officeDocument/2006/relationships/table" Target="../tables/table176.xml"/><Relationship Id="rId45" Type="http://schemas.openxmlformats.org/officeDocument/2006/relationships/table" Target="../tables/table181.xml"/><Relationship Id="rId66" Type="http://schemas.openxmlformats.org/officeDocument/2006/relationships/table" Target="../tables/table202.xml"/><Relationship Id="rId87" Type="http://schemas.openxmlformats.org/officeDocument/2006/relationships/table" Target="../tables/table223.xml"/><Relationship Id="rId110" Type="http://schemas.openxmlformats.org/officeDocument/2006/relationships/table" Target="../tables/table246.xml"/><Relationship Id="rId115" Type="http://schemas.openxmlformats.org/officeDocument/2006/relationships/table" Target="../tables/table25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67.xml"/><Relationship Id="rId13" Type="http://schemas.openxmlformats.org/officeDocument/2006/relationships/table" Target="../tables/table272.xml"/><Relationship Id="rId18" Type="http://schemas.openxmlformats.org/officeDocument/2006/relationships/table" Target="../tables/table277.xml"/><Relationship Id="rId26" Type="http://schemas.openxmlformats.org/officeDocument/2006/relationships/table" Target="../tables/table285.xml"/><Relationship Id="rId3" Type="http://schemas.openxmlformats.org/officeDocument/2006/relationships/table" Target="../tables/table262.xml"/><Relationship Id="rId21" Type="http://schemas.openxmlformats.org/officeDocument/2006/relationships/table" Target="../tables/table280.xml"/><Relationship Id="rId34" Type="http://schemas.openxmlformats.org/officeDocument/2006/relationships/table" Target="../tables/table293.xml"/><Relationship Id="rId7" Type="http://schemas.openxmlformats.org/officeDocument/2006/relationships/table" Target="../tables/table266.xml"/><Relationship Id="rId12" Type="http://schemas.openxmlformats.org/officeDocument/2006/relationships/table" Target="../tables/table271.xml"/><Relationship Id="rId17" Type="http://schemas.openxmlformats.org/officeDocument/2006/relationships/table" Target="../tables/table276.xml"/><Relationship Id="rId25" Type="http://schemas.openxmlformats.org/officeDocument/2006/relationships/table" Target="../tables/table284.xml"/><Relationship Id="rId33" Type="http://schemas.openxmlformats.org/officeDocument/2006/relationships/table" Target="../tables/table292.xml"/><Relationship Id="rId38" Type="http://schemas.openxmlformats.org/officeDocument/2006/relationships/table" Target="../tables/table297.xml"/><Relationship Id="rId2" Type="http://schemas.openxmlformats.org/officeDocument/2006/relationships/table" Target="../tables/table261.xml"/><Relationship Id="rId16" Type="http://schemas.openxmlformats.org/officeDocument/2006/relationships/table" Target="../tables/table275.xml"/><Relationship Id="rId20" Type="http://schemas.openxmlformats.org/officeDocument/2006/relationships/table" Target="../tables/table279.xml"/><Relationship Id="rId29" Type="http://schemas.openxmlformats.org/officeDocument/2006/relationships/table" Target="../tables/table288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65.xml"/><Relationship Id="rId11" Type="http://schemas.openxmlformats.org/officeDocument/2006/relationships/table" Target="../tables/table270.xml"/><Relationship Id="rId24" Type="http://schemas.openxmlformats.org/officeDocument/2006/relationships/table" Target="../tables/table283.xml"/><Relationship Id="rId32" Type="http://schemas.openxmlformats.org/officeDocument/2006/relationships/table" Target="../tables/table291.xml"/><Relationship Id="rId37" Type="http://schemas.openxmlformats.org/officeDocument/2006/relationships/table" Target="../tables/table296.xml"/><Relationship Id="rId5" Type="http://schemas.openxmlformats.org/officeDocument/2006/relationships/table" Target="../tables/table264.xml"/><Relationship Id="rId15" Type="http://schemas.openxmlformats.org/officeDocument/2006/relationships/table" Target="../tables/table274.xml"/><Relationship Id="rId23" Type="http://schemas.openxmlformats.org/officeDocument/2006/relationships/table" Target="../tables/table282.xml"/><Relationship Id="rId28" Type="http://schemas.openxmlformats.org/officeDocument/2006/relationships/table" Target="../tables/table287.xml"/><Relationship Id="rId36" Type="http://schemas.openxmlformats.org/officeDocument/2006/relationships/table" Target="../tables/table295.xml"/><Relationship Id="rId10" Type="http://schemas.openxmlformats.org/officeDocument/2006/relationships/table" Target="../tables/table269.xml"/><Relationship Id="rId19" Type="http://schemas.openxmlformats.org/officeDocument/2006/relationships/table" Target="../tables/table278.xml"/><Relationship Id="rId31" Type="http://schemas.openxmlformats.org/officeDocument/2006/relationships/table" Target="../tables/table290.xml"/><Relationship Id="rId4" Type="http://schemas.openxmlformats.org/officeDocument/2006/relationships/table" Target="../tables/table263.xml"/><Relationship Id="rId9" Type="http://schemas.openxmlformats.org/officeDocument/2006/relationships/table" Target="../tables/table268.xml"/><Relationship Id="rId14" Type="http://schemas.openxmlformats.org/officeDocument/2006/relationships/table" Target="../tables/table273.xml"/><Relationship Id="rId22" Type="http://schemas.openxmlformats.org/officeDocument/2006/relationships/table" Target="../tables/table281.xml"/><Relationship Id="rId27" Type="http://schemas.openxmlformats.org/officeDocument/2006/relationships/table" Target="../tables/table286.xml"/><Relationship Id="rId30" Type="http://schemas.openxmlformats.org/officeDocument/2006/relationships/table" Target="../tables/table289.xml"/><Relationship Id="rId35" Type="http://schemas.openxmlformats.org/officeDocument/2006/relationships/table" Target="../tables/table29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tabSelected="1" zoomScale="90" zoomScaleNormal="90" workbookViewId="0">
      <selection activeCell="A28" sqref="A28"/>
    </sheetView>
  </sheetViews>
  <sheetFormatPr defaultRowHeight="14.5" x14ac:dyDescent="0.35"/>
  <cols>
    <col min="1" max="1" width="121.453125" bestFit="1" customWidth="1"/>
  </cols>
  <sheetData>
    <row r="1" spans="1:12" ht="29.5" x14ac:dyDescent="0.35">
      <c r="A1" s="1" t="s">
        <v>11</v>
      </c>
    </row>
    <row r="2" spans="1:12" ht="45" x14ac:dyDescent="0.35">
      <c r="A2" s="2" t="s">
        <v>16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2" ht="47.5" x14ac:dyDescent="0.35">
      <c r="A3" s="2" t="s">
        <v>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ht="29.5" x14ac:dyDescent="0.35">
      <c r="A4" s="8" t="s">
        <v>12</v>
      </c>
    </row>
    <row r="5" spans="1:12" ht="29.5" x14ac:dyDescent="0.35">
      <c r="A5" s="1" t="s">
        <v>18</v>
      </c>
    </row>
    <row r="6" spans="1:12" ht="29.5" x14ac:dyDescent="0.35">
      <c r="A6" s="8" t="s">
        <v>12</v>
      </c>
    </row>
    <row r="7" spans="1:12" ht="15.5" x14ac:dyDescent="0.35">
      <c r="A7" s="5" t="s">
        <v>12</v>
      </c>
    </row>
    <row r="8" spans="1:12" ht="15.5" x14ac:dyDescent="0.35">
      <c r="A8" s="5" t="s">
        <v>12</v>
      </c>
    </row>
    <row r="9" spans="1:12" ht="15.5" x14ac:dyDescent="0.35">
      <c r="A9" s="5" t="s">
        <v>12</v>
      </c>
    </row>
    <row r="10" spans="1:12" ht="15.5" x14ac:dyDescent="0.35">
      <c r="A10" s="5" t="s">
        <v>12</v>
      </c>
    </row>
    <row r="11" spans="1:12" ht="15.5" x14ac:dyDescent="0.35">
      <c r="A11" s="5" t="s">
        <v>12</v>
      </c>
    </row>
    <row r="12" spans="1:12" ht="15.5" x14ac:dyDescent="0.35">
      <c r="A12" s="5" t="s">
        <v>12</v>
      </c>
    </row>
    <row r="13" spans="1:12" ht="15.5" x14ac:dyDescent="0.35">
      <c r="A13" s="5" t="s">
        <v>12</v>
      </c>
    </row>
    <row r="14" spans="1:12" ht="15.5" x14ac:dyDescent="0.35">
      <c r="A14" s="5" t="s">
        <v>12</v>
      </c>
    </row>
    <row r="15" spans="1:12" ht="15.5" x14ac:dyDescent="0.35">
      <c r="A15" s="5" t="s">
        <v>12</v>
      </c>
    </row>
    <row r="16" spans="1:12" ht="15.5" x14ac:dyDescent="0.35">
      <c r="A16" s="5" t="s">
        <v>12</v>
      </c>
    </row>
    <row r="17" spans="1:10" ht="15.5" x14ac:dyDescent="0.35">
      <c r="A17" s="5" t="s">
        <v>12</v>
      </c>
    </row>
    <row r="18" spans="1:10" ht="15.5" x14ac:dyDescent="0.35">
      <c r="A18" s="5" t="s">
        <v>12</v>
      </c>
    </row>
    <row r="19" spans="1:10" ht="15.5" x14ac:dyDescent="0.35">
      <c r="A19" s="5" t="s">
        <v>12</v>
      </c>
    </row>
    <row r="20" spans="1:10" ht="15.5" x14ac:dyDescent="0.35">
      <c r="A20" s="5" t="s">
        <v>12</v>
      </c>
    </row>
    <row r="21" spans="1:10" ht="15.5" x14ac:dyDescent="0.35">
      <c r="A21" s="5" t="s">
        <v>12</v>
      </c>
    </row>
    <row r="22" spans="1:10" ht="15.5" x14ac:dyDescent="0.35">
      <c r="A22" s="5" t="s">
        <v>12</v>
      </c>
    </row>
    <row r="23" spans="1:10" ht="15.5" x14ac:dyDescent="0.35">
      <c r="A23" s="5" t="s">
        <v>12</v>
      </c>
    </row>
    <row r="24" spans="1:10" ht="15.5" x14ac:dyDescent="0.35">
      <c r="A24" s="5" t="s">
        <v>12</v>
      </c>
      <c r="F24" s="3"/>
      <c r="G24" s="3"/>
      <c r="H24" s="3"/>
    </row>
    <row r="25" spans="1:10" ht="15.5" x14ac:dyDescent="0.35">
      <c r="A25" s="6" t="s">
        <v>13</v>
      </c>
      <c r="D25" s="3"/>
      <c r="E25" s="3"/>
      <c r="F25" s="3"/>
      <c r="G25" s="3"/>
      <c r="H25" s="3"/>
      <c r="I25" s="3"/>
      <c r="J25" s="3"/>
    </row>
    <row r="26" spans="1:10" ht="40" x14ac:dyDescent="0.35">
      <c r="A26" s="7" t="s">
        <v>14</v>
      </c>
    </row>
    <row r="27" spans="1:10" ht="29.5" x14ac:dyDescent="0.35">
      <c r="A27" s="1" t="s">
        <v>15</v>
      </c>
    </row>
    <row r="28" spans="1:10" x14ac:dyDescent="0.35">
      <c r="A28" s="36" t="s">
        <v>42</v>
      </c>
    </row>
  </sheetData>
  <pageMargins left="0.7" right="0.7" top="0.75" bottom="0.75" header="0.3" footer="0.3"/>
  <pageSetup scale="7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topLeftCell="A4" workbookViewId="0">
      <selection activeCell="B14" sqref="B14"/>
    </sheetView>
  </sheetViews>
  <sheetFormatPr defaultRowHeight="14.5" x14ac:dyDescent="0.35"/>
  <cols>
    <col min="1" max="1" width="20" bestFit="1" customWidth="1"/>
    <col min="2" max="2" width="117.453125" bestFit="1" customWidth="1"/>
    <col min="3" max="3" width="10.54296875" bestFit="1" customWidth="1"/>
  </cols>
  <sheetData>
    <row r="1" spans="1:3" ht="20" x14ac:dyDescent="0.35">
      <c r="A1" s="9" t="s">
        <v>19</v>
      </c>
      <c r="B1" s="10"/>
      <c r="C1" s="10"/>
    </row>
    <row r="2" spans="1:3" ht="20" x14ac:dyDescent="0.35">
      <c r="A2" s="9" t="s">
        <v>21</v>
      </c>
      <c r="B2" s="10"/>
      <c r="C2" s="10"/>
    </row>
    <row r="3" spans="1:3" ht="20" x14ac:dyDescent="0.35">
      <c r="A3" s="9" t="s">
        <v>20</v>
      </c>
      <c r="B3" s="10"/>
      <c r="C3" s="10"/>
    </row>
    <row r="4" spans="1:3" ht="17.5" x14ac:dyDescent="0.35">
      <c r="A4" s="11" t="s">
        <v>18</v>
      </c>
      <c r="B4" s="10"/>
      <c r="C4" s="10"/>
    </row>
    <row r="5" spans="1:3" ht="18" x14ac:dyDescent="0.35">
      <c r="A5" s="12" t="s">
        <v>40</v>
      </c>
      <c r="B5" s="12"/>
      <c r="C5" s="13"/>
    </row>
    <row r="6" spans="1:3" ht="18" x14ac:dyDescent="0.35">
      <c r="A6" s="12" t="s">
        <v>41</v>
      </c>
      <c r="B6" s="12"/>
      <c r="C6" s="13"/>
    </row>
    <row r="7" spans="1:3" ht="18" x14ac:dyDescent="0.35">
      <c r="A7" s="12" t="s">
        <v>679</v>
      </c>
      <c r="B7" s="12"/>
      <c r="C7" s="13"/>
    </row>
    <row r="8" spans="1:3" ht="18" x14ac:dyDescent="0.35">
      <c r="A8" s="12" t="s">
        <v>680</v>
      </c>
      <c r="B8" s="12"/>
      <c r="C8" s="13"/>
    </row>
    <row r="9" spans="1:3" x14ac:dyDescent="0.35">
      <c r="A9" s="36" t="s">
        <v>42</v>
      </c>
    </row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6"/>
  <sheetViews>
    <sheetView zoomScale="85" zoomScaleNormal="85" zoomScalePageLayoutView="80" workbookViewId="0">
      <selection activeCell="A32" sqref="A32"/>
    </sheetView>
  </sheetViews>
  <sheetFormatPr defaultColWidth="8.7265625" defaultRowHeight="15.5" x14ac:dyDescent="0.35"/>
  <cols>
    <col min="1" max="1" width="59.7265625" style="16" customWidth="1"/>
    <col min="2" max="2" width="2.81640625" style="16" customWidth="1"/>
    <col min="3" max="6" width="32.7265625" style="43" customWidth="1"/>
    <col min="7" max="16384" width="8.7265625" style="16"/>
  </cols>
  <sheetData>
    <row r="1" spans="1:6" ht="107.15" customHeight="1" x14ac:dyDescent="0.35">
      <c r="A1" s="14" t="s">
        <v>26</v>
      </c>
      <c r="B1" s="15"/>
      <c r="C1" s="37"/>
      <c r="D1" s="37"/>
      <c r="E1" s="37"/>
      <c r="F1" s="37"/>
    </row>
    <row r="2" spans="1:6" ht="37.5" customHeight="1" x14ac:dyDescent="0.35">
      <c r="A2" s="22" t="s">
        <v>39</v>
      </c>
      <c r="B2" s="23" t="s">
        <v>27</v>
      </c>
      <c r="C2" s="38" t="s">
        <v>1</v>
      </c>
      <c r="D2" s="38" t="s">
        <v>2</v>
      </c>
      <c r="E2" s="38" t="s">
        <v>3</v>
      </c>
      <c r="F2" s="39" t="s">
        <v>0</v>
      </c>
    </row>
    <row r="3" spans="1:6" ht="17.25" customHeight="1" x14ac:dyDescent="0.35">
      <c r="A3" s="17" t="s">
        <v>6</v>
      </c>
      <c r="B3" s="26" t="s">
        <v>12</v>
      </c>
      <c r="C3" s="40">
        <v>-182223</v>
      </c>
      <c r="D3" s="40">
        <v>-125634</v>
      </c>
      <c r="E3" s="40">
        <v>0</v>
      </c>
      <c r="F3" s="40">
        <v>-307857</v>
      </c>
    </row>
    <row r="4" spans="1:6" ht="17.25" customHeight="1" x14ac:dyDescent="0.35">
      <c r="A4" s="17" t="s">
        <v>7</v>
      </c>
      <c r="B4" s="26" t="s">
        <v>12</v>
      </c>
      <c r="C4" s="40">
        <v>-15074034</v>
      </c>
      <c r="D4" s="40">
        <v>-25034855</v>
      </c>
      <c r="E4" s="40">
        <v>-80286267</v>
      </c>
      <c r="F4" s="40">
        <v>-120395156</v>
      </c>
    </row>
    <row r="5" spans="1:6" ht="17.25" customHeight="1" x14ac:dyDescent="0.35">
      <c r="A5" s="18" t="s">
        <v>31</v>
      </c>
      <c r="B5" s="19" t="s">
        <v>28</v>
      </c>
      <c r="C5" s="40">
        <v>-140567</v>
      </c>
      <c r="D5" s="40">
        <v>-20695</v>
      </c>
      <c r="E5" s="40">
        <v>0</v>
      </c>
      <c r="F5" s="40">
        <v>-161262</v>
      </c>
    </row>
    <row r="6" spans="1:6" ht="17.25" customHeight="1" thickBot="1" x14ac:dyDescent="0.4">
      <c r="A6" s="25" t="s">
        <v>8</v>
      </c>
      <c r="B6" s="27" t="s">
        <v>12</v>
      </c>
      <c r="C6" s="41">
        <f>SUBTOTAL(109,CurrentPeriodAdjustments[Local Agencies])</f>
        <v>-15396824</v>
      </c>
      <c r="D6" s="41">
        <f>SUBTOTAL(109,CurrentPeriodAdjustments[School Districts])</f>
        <v>-25181184</v>
      </c>
      <c r="E6" s="41">
        <f>SUBTOTAL(109,CurrentPeriodAdjustments[Community College Districts])</f>
        <v>-80286267</v>
      </c>
      <c r="F6" s="41">
        <f>SUBTOTAL(109,CurrentPeriodAdjustments[Grand Total])</f>
        <v>-120864275</v>
      </c>
    </row>
    <row r="7" spans="1:6" ht="17.25" customHeight="1" x14ac:dyDescent="0.35">
      <c r="A7" s="24" t="s">
        <v>33</v>
      </c>
      <c r="B7" s="19"/>
      <c r="C7" s="40"/>
      <c r="D7" s="40"/>
      <c r="E7" s="40"/>
      <c r="F7" s="40"/>
    </row>
    <row r="8" spans="1:6" ht="37.5" customHeight="1" x14ac:dyDescent="0.35">
      <c r="A8" s="22" t="s">
        <v>39</v>
      </c>
      <c r="B8" s="23" t="s">
        <v>27</v>
      </c>
      <c r="C8" s="38" t="s">
        <v>1</v>
      </c>
      <c r="D8" s="38" t="s">
        <v>2</v>
      </c>
      <c r="E8" s="38" t="s">
        <v>3</v>
      </c>
      <c r="F8" s="39" t="s">
        <v>0</v>
      </c>
    </row>
    <row r="9" spans="1:6" ht="17.25" customHeight="1" x14ac:dyDescent="0.35">
      <c r="A9" s="17" t="s">
        <v>5</v>
      </c>
      <c r="B9" s="26" t="s">
        <v>12</v>
      </c>
      <c r="C9" s="40">
        <v>-783487650</v>
      </c>
      <c r="D9" s="40">
        <v>-1233678456.6700001</v>
      </c>
      <c r="E9" s="40">
        <v>-479865537</v>
      </c>
      <c r="F9" s="40">
        <v>-2497031643.6700001</v>
      </c>
    </row>
    <row r="10" spans="1:6" ht="17.25" customHeight="1" x14ac:dyDescent="0.35">
      <c r="A10" s="17" t="s">
        <v>8</v>
      </c>
      <c r="B10" s="26" t="s">
        <v>12</v>
      </c>
      <c r="C10" s="40">
        <v>-15396824</v>
      </c>
      <c r="D10" s="40">
        <v>-25181184</v>
      </c>
      <c r="E10" s="40">
        <v>-80286267</v>
      </c>
      <c r="F10" s="40">
        <v>-120864275</v>
      </c>
    </row>
    <row r="11" spans="1:6" ht="17.25" customHeight="1" x14ac:dyDescent="0.35">
      <c r="A11" s="25" t="s">
        <v>9</v>
      </c>
      <c r="B11" s="28" t="s">
        <v>12</v>
      </c>
      <c r="C11" s="42">
        <f>SUBTOTAL(109,CumulativeAdjustments[Local Agencies])</f>
        <v>-798884474</v>
      </c>
      <c r="D11" s="42">
        <f>SUBTOTAL(109,CumulativeAdjustments[School Districts])</f>
        <v>-1258859640.6700001</v>
      </c>
      <c r="E11" s="42">
        <f>SUBTOTAL(109,CumulativeAdjustments[Community College Districts])</f>
        <v>-560151804</v>
      </c>
      <c r="F11" s="42">
        <f>SUBTOTAL(109,CumulativeAdjustments[Grand Total])</f>
        <v>-2617895918.6700001</v>
      </c>
    </row>
    <row r="12" spans="1:6" ht="17.25" customHeight="1" x14ac:dyDescent="0.35">
      <c r="A12" s="24" t="s">
        <v>33</v>
      </c>
      <c r="B12" s="19"/>
      <c r="C12" s="40"/>
      <c r="D12" s="40"/>
      <c r="E12" s="40"/>
      <c r="F12" s="40"/>
    </row>
    <row r="13" spans="1:6" ht="37.5" customHeight="1" x14ac:dyDescent="0.35">
      <c r="A13" s="22" t="s">
        <v>39</v>
      </c>
      <c r="B13" s="23" t="s">
        <v>27</v>
      </c>
      <c r="C13" s="38" t="s">
        <v>1</v>
      </c>
      <c r="D13" s="38" t="s">
        <v>2</v>
      </c>
      <c r="E13" s="38" t="s">
        <v>3</v>
      </c>
      <c r="F13" s="39" t="s">
        <v>0</v>
      </c>
    </row>
    <row r="14" spans="1:6" ht="17.25" customHeight="1" x14ac:dyDescent="0.35">
      <c r="A14" s="17" t="s">
        <v>4</v>
      </c>
      <c r="B14" s="26" t="s">
        <v>12</v>
      </c>
      <c r="C14" s="40">
        <v>4926198460</v>
      </c>
      <c r="D14" s="40">
        <v>9229984823.5600014</v>
      </c>
      <c r="E14" s="40">
        <v>946412868</v>
      </c>
      <c r="F14" s="40">
        <v>15102596151.560001</v>
      </c>
    </row>
    <row r="15" spans="1:6" ht="17.25" customHeight="1" x14ac:dyDescent="0.35">
      <c r="A15" s="17" t="s">
        <v>9</v>
      </c>
      <c r="B15" s="26" t="s">
        <v>12</v>
      </c>
      <c r="C15" s="40">
        <v>-798884474</v>
      </c>
      <c r="D15" s="40">
        <v>-1258859640.6700001</v>
      </c>
      <c r="E15" s="40">
        <v>-560151804</v>
      </c>
      <c r="F15" s="40">
        <v>-2617895918.6700001</v>
      </c>
    </row>
    <row r="16" spans="1:6" s="29" customFormat="1" ht="17.25" customHeight="1" thickBot="1" x14ac:dyDescent="0.4">
      <c r="A16" s="35" t="s">
        <v>32</v>
      </c>
      <c r="B16" s="30" t="s">
        <v>29</v>
      </c>
      <c r="C16" s="41">
        <f>SUBTOTAL(109,ProgramCosts[Local Agencies])</f>
        <v>4127313986</v>
      </c>
      <c r="D16" s="41">
        <f>SUBTOTAL(109,ProgramCosts[School Districts])</f>
        <v>7971125182.8900013</v>
      </c>
      <c r="E16" s="41">
        <f>SUBTOTAL(109,ProgramCosts[Community College Districts])</f>
        <v>386261064</v>
      </c>
      <c r="F16" s="41">
        <f>SUBTOTAL(109,ProgramCosts[Grand Total])</f>
        <v>12484700232.890001</v>
      </c>
    </row>
    <row r="17" spans="1:6" ht="17.25" customHeight="1" x14ac:dyDescent="0.35">
      <c r="A17" s="24" t="s">
        <v>33</v>
      </c>
      <c r="B17" s="19"/>
      <c r="C17" s="40"/>
      <c r="D17" s="40"/>
      <c r="E17" s="40"/>
      <c r="F17" s="40"/>
    </row>
    <row r="18" spans="1:6" s="29" customFormat="1" ht="37.5" customHeight="1" x14ac:dyDescent="0.35">
      <c r="A18" s="22" t="s">
        <v>39</v>
      </c>
      <c r="B18" s="23" t="s">
        <v>27</v>
      </c>
      <c r="C18" s="38" t="s">
        <v>1</v>
      </c>
      <c r="D18" s="38" t="s">
        <v>2</v>
      </c>
      <c r="E18" s="38" t="s">
        <v>3</v>
      </c>
      <c r="F18" s="39" t="s">
        <v>0</v>
      </c>
    </row>
    <row r="19" spans="1:6" s="29" customFormat="1" ht="17.25" customHeight="1" x14ac:dyDescent="0.35">
      <c r="A19" s="17" t="s">
        <v>681</v>
      </c>
      <c r="B19" s="26" t="s">
        <v>12</v>
      </c>
      <c r="C19" s="40">
        <v>4127313986</v>
      </c>
      <c r="D19" s="40">
        <v>7971125182.8900013</v>
      </c>
      <c r="E19" s="40">
        <v>386261064</v>
      </c>
      <c r="F19" s="40">
        <v>12484700232.890001</v>
      </c>
    </row>
    <row r="20" spans="1:6" s="29" customFormat="1" ht="17.25" customHeight="1" x14ac:dyDescent="0.35">
      <c r="A20" s="17" t="s">
        <v>10</v>
      </c>
      <c r="B20" s="26" t="s">
        <v>12</v>
      </c>
      <c r="C20" s="40">
        <v>-3373765714</v>
      </c>
      <c r="D20" s="40">
        <v>-7030930295.8900003</v>
      </c>
      <c r="E20" s="40">
        <v>-352911876</v>
      </c>
      <c r="F20" s="40">
        <v>-10757607885.889999</v>
      </c>
    </row>
    <row r="21" spans="1:6" ht="17.25" customHeight="1" x14ac:dyDescent="0.35">
      <c r="A21" s="32" t="s">
        <v>22</v>
      </c>
      <c r="B21" s="31" t="s">
        <v>12</v>
      </c>
      <c r="C21" s="41">
        <f>SUBTOTAL(109,AccountsPayable[Local Agencies])</f>
        <v>753548272</v>
      </c>
      <c r="D21" s="41">
        <f>SUBTOTAL(109,AccountsPayable[School Districts])</f>
        <v>940194887.00000095</v>
      </c>
      <c r="E21" s="41">
        <f>SUBTOTAL(109,AccountsPayable[Community College Districts])</f>
        <v>33349188</v>
      </c>
      <c r="F21" s="41">
        <f>SUBTOTAL(109,AccountsPayable[Grand Total])</f>
        <v>1727092347.0000019</v>
      </c>
    </row>
    <row r="22" spans="1:6" ht="17.25" customHeight="1" x14ac:dyDescent="0.35">
      <c r="A22" s="24" t="s">
        <v>33</v>
      </c>
      <c r="B22" s="19"/>
      <c r="C22" s="40"/>
      <c r="D22" s="40"/>
      <c r="E22" s="40"/>
      <c r="F22" s="40"/>
    </row>
    <row r="23" spans="1:6" ht="37.5" customHeight="1" x14ac:dyDescent="0.35">
      <c r="A23" s="22" t="s">
        <v>39</v>
      </c>
      <c r="B23" s="23" t="s">
        <v>27</v>
      </c>
      <c r="C23" s="38" t="s">
        <v>1</v>
      </c>
      <c r="D23" s="38" t="s">
        <v>2</v>
      </c>
      <c r="E23" s="38" t="s">
        <v>3</v>
      </c>
      <c r="F23" s="39" t="s">
        <v>0</v>
      </c>
    </row>
    <row r="24" spans="1:6" ht="17.25" customHeight="1" x14ac:dyDescent="0.35">
      <c r="A24" s="33" t="s">
        <v>23</v>
      </c>
      <c r="B24" s="26" t="s">
        <v>12</v>
      </c>
      <c r="C24" s="40">
        <v>302253879</v>
      </c>
      <c r="D24" s="40">
        <v>321427504</v>
      </c>
      <c r="E24" s="40">
        <v>46603591</v>
      </c>
      <c r="F24" s="40">
        <v>670284974</v>
      </c>
    </row>
    <row r="25" spans="1:6" ht="17.25" customHeight="1" x14ac:dyDescent="0.35">
      <c r="A25" s="17" t="s">
        <v>24</v>
      </c>
      <c r="B25" s="26" t="s">
        <v>12</v>
      </c>
      <c r="C25" s="40">
        <v>-299819704</v>
      </c>
      <c r="D25" s="40">
        <v>-269721304</v>
      </c>
      <c r="E25" s="40">
        <v>-33812173</v>
      </c>
      <c r="F25" s="40">
        <v>-603353181</v>
      </c>
    </row>
    <row r="26" spans="1:6" x14ac:dyDescent="0.35">
      <c r="A26" s="32" t="s">
        <v>25</v>
      </c>
      <c r="B26" s="31" t="s">
        <v>12</v>
      </c>
      <c r="C26" s="41">
        <f>SUBTOTAL(109,AccountsReceivable[Local Agencies])</f>
        <v>2434175</v>
      </c>
      <c r="D26" s="41">
        <f>SUBTOTAL(109,AccountsReceivable[School Districts])</f>
        <v>51706200</v>
      </c>
      <c r="E26" s="41">
        <f>SUBTOTAL(109,AccountsReceivable[Community College Districts])</f>
        <v>12791418</v>
      </c>
      <c r="F26" s="41">
        <f>SUBTOTAL(109,AccountsReceivable[Grand Total])</f>
        <v>66931793</v>
      </c>
    </row>
    <row r="27" spans="1:6" ht="17.25" customHeight="1" x14ac:dyDescent="0.35">
      <c r="A27" s="24" t="s">
        <v>33</v>
      </c>
      <c r="B27" s="19"/>
      <c r="C27" s="40"/>
      <c r="D27" s="40"/>
      <c r="E27" s="40"/>
      <c r="F27" s="40"/>
    </row>
    <row r="28" spans="1:6" ht="37.5" customHeight="1" x14ac:dyDescent="0.35">
      <c r="A28" s="22" t="s">
        <v>39</v>
      </c>
      <c r="B28" s="23" t="s">
        <v>27</v>
      </c>
      <c r="C28" s="38" t="s">
        <v>1</v>
      </c>
      <c r="D28" s="38" t="s">
        <v>2</v>
      </c>
      <c r="E28" s="38" t="s">
        <v>3</v>
      </c>
      <c r="F28" s="39" t="s">
        <v>0</v>
      </c>
    </row>
    <row r="29" spans="1:6" ht="17.25" customHeight="1" x14ac:dyDescent="0.35">
      <c r="A29" s="33" t="s">
        <v>22</v>
      </c>
      <c r="B29" s="26" t="s">
        <v>12</v>
      </c>
      <c r="C29" s="40">
        <v>753548272</v>
      </c>
      <c r="D29" s="40">
        <v>940194887.00000095</v>
      </c>
      <c r="E29" s="40">
        <v>33349188</v>
      </c>
      <c r="F29" s="40">
        <v>1727092347.000001</v>
      </c>
    </row>
    <row r="30" spans="1:6" ht="17.25" customHeight="1" x14ac:dyDescent="0.35">
      <c r="A30" s="33" t="s">
        <v>25</v>
      </c>
      <c r="B30" s="26" t="s">
        <v>12</v>
      </c>
      <c r="C30" s="40">
        <v>-2434175</v>
      </c>
      <c r="D30" s="40">
        <v>-51706200</v>
      </c>
      <c r="E30" s="40">
        <v>-12791418</v>
      </c>
      <c r="F30" s="40">
        <v>-66931793</v>
      </c>
    </row>
    <row r="31" spans="1:6" ht="17.25" customHeight="1" x14ac:dyDescent="0.35">
      <c r="A31" s="25" t="s">
        <v>30</v>
      </c>
      <c r="B31" s="34" t="s">
        <v>34</v>
      </c>
      <c r="C31" s="41">
        <f>SUBTOTAL(109,NetBalance[Local Agencies])</f>
        <v>751114097</v>
      </c>
      <c r="D31" s="41">
        <f>SUBTOTAL(109,NetBalance[School Districts])</f>
        <v>888488687.00000095</v>
      </c>
      <c r="E31" s="41">
        <f>SUBTOTAL(109,NetBalance[Community College Districts])</f>
        <v>20557770</v>
      </c>
      <c r="F31" s="41">
        <f>SUBTOTAL(109,NetBalance[Grand Total])</f>
        <v>1660160554.000001</v>
      </c>
    </row>
    <row r="32" spans="1:6" x14ac:dyDescent="0.35">
      <c r="A32" s="21" t="s">
        <v>35</v>
      </c>
      <c r="B32" s="21"/>
    </row>
    <row r="33" spans="1:6" x14ac:dyDescent="0.35">
      <c r="A33" s="20" t="s">
        <v>36</v>
      </c>
      <c r="B33" s="20"/>
      <c r="C33" s="44"/>
      <c r="D33" s="44"/>
      <c r="E33" s="44"/>
      <c r="F33" s="44"/>
    </row>
    <row r="34" spans="1:6" x14ac:dyDescent="0.35">
      <c r="A34" s="20" t="s">
        <v>37</v>
      </c>
      <c r="B34" s="20"/>
      <c r="C34" s="44"/>
      <c r="D34" s="44"/>
      <c r="E34" s="44"/>
      <c r="F34" s="44"/>
    </row>
    <row r="35" spans="1:6" x14ac:dyDescent="0.35">
      <c r="A35" s="20" t="s">
        <v>38</v>
      </c>
      <c r="B35" s="20"/>
      <c r="C35" s="44"/>
      <c r="D35" s="44"/>
      <c r="E35" s="44"/>
      <c r="F35" s="44"/>
    </row>
    <row r="36" spans="1:6" x14ac:dyDescent="0.35">
      <c r="A36" s="36" t="s">
        <v>42</v>
      </c>
    </row>
  </sheetData>
  <hyperlinks>
    <hyperlink ref="A5" location="'Summary '!A32" tooltip="Hyperlink will take you to the footnotes." display="Other Adjustments¹"/>
    <hyperlink ref="A16" location="'Summary '!A32" tooltip="Hyperlink will take you to the footnotes." display="Net Program Costs²"/>
    <hyperlink ref="A31" location="'Summary '!A32" tooltip="Hyperlink will take you to the footnotes." display="Net Balance as of 03/31/2020³"/>
  </hyperlinks>
  <printOptions horizontalCentered="1"/>
  <pageMargins left="0.5" right="0.5" top="0.65" bottom="0.75" header="0.4" footer="0.1"/>
  <pageSetup scale="62" fitToHeight="0" orientation="landscape" useFirstPageNumber="1" r:id="rId1"/>
  <headerFooter>
    <oddFooter xml:space="preserve">&amp;L&amp;"Arial,Regular"&amp;12Summary of Local Agencies, School Districts, and Community College Districts&amp;R&amp;"Arial,Regular"&amp;12Page &amp;P of &amp;N           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3"/>
  <sheetViews>
    <sheetView topLeftCell="A2049" zoomScale="85" zoomScaleNormal="85" zoomScaleSheetLayoutView="70" workbookViewId="0">
      <selection activeCell="A2059" sqref="A2059"/>
    </sheetView>
  </sheetViews>
  <sheetFormatPr defaultColWidth="9.1796875" defaultRowHeight="15.5" outlineLevelRow="2" x14ac:dyDescent="0.35"/>
  <cols>
    <col min="1" max="1" width="54.1796875" style="45" customWidth="1"/>
    <col min="2" max="2" width="19.26953125" style="47" bestFit="1" customWidth="1"/>
    <col min="3" max="3" width="18.1796875" style="46" customWidth="1"/>
    <col min="4" max="4" width="17.7265625" style="46" customWidth="1"/>
    <col min="5" max="5" width="13.54296875" style="46" bestFit="1" customWidth="1"/>
    <col min="6" max="6" width="15.453125" style="46" bestFit="1" customWidth="1"/>
    <col min="7" max="7" width="15.54296875" style="46" customWidth="1"/>
    <col min="8" max="8" width="20.1796875" style="46" customWidth="1"/>
    <col min="9" max="9" width="18.81640625" style="46" customWidth="1"/>
    <col min="10" max="11" width="18.26953125" style="46" bestFit="1" customWidth="1"/>
    <col min="12" max="12" width="16" style="46" customWidth="1"/>
    <col min="13" max="13" width="15.81640625" style="46" customWidth="1"/>
    <col min="14" max="14" width="16.54296875" style="46" customWidth="1"/>
    <col min="15" max="16384" width="9.1796875" style="45"/>
  </cols>
  <sheetData>
    <row r="1" spans="1:14" ht="120" customHeight="1" x14ac:dyDescent="0.35">
      <c r="A1" s="99" t="s">
        <v>355</v>
      </c>
      <c r="B1" s="98"/>
      <c r="C1" s="97"/>
      <c r="D1" s="97"/>
      <c r="E1" s="96"/>
      <c r="F1" s="96"/>
      <c r="G1" s="96"/>
      <c r="H1" s="96"/>
      <c r="I1" s="96"/>
      <c r="J1" s="96"/>
      <c r="K1" s="95"/>
      <c r="L1" s="95"/>
      <c r="M1" s="95"/>
      <c r="N1" s="94"/>
    </row>
    <row r="2" spans="1:14" ht="78.75" customHeight="1" outlineLevel="1" x14ac:dyDescent="0.35">
      <c r="A2" s="60" t="s">
        <v>185</v>
      </c>
      <c r="B2" s="59" t="s">
        <v>184</v>
      </c>
      <c r="C2" s="58" t="s">
        <v>183</v>
      </c>
      <c r="D2" s="58" t="s">
        <v>182</v>
      </c>
      <c r="E2" s="56" t="s">
        <v>181</v>
      </c>
      <c r="F2" s="56" t="s">
        <v>180</v>
      </c>
      <c r="G2" s="56" t="s">
        <v>179</v>
      </c>
      <c r="H2" s="57" t="s">
        <v>674</v>
      </c>
      <c r="I2" s="55" t="s">
        <v>178</v>
      </c>
      <c r="J2" s="55" t="s">
        <v>177</v>
      </c>
      <c r="K2" s="56" t="s">
        <v>176</v>
      </c>
      <c r="L2" s="55" t="s">
        <v>175</v>
      </c>
      <c r="M2" s="55" t="s">
        <v>174</v>
      </c>
      <c r="N2" s="54" t="s">
        <v>173</v>
      </c>
    </row>
    <row r="3" spans="1:14" outlineLevel="2" x14ac:dyDescent="0.35">
      <c r="A3" s="93" t="s">
        <v>354</v>
      </c>
      <c r="B3" s="92" t="s">
        <v>212</v>
      </c>
      <c r="C3" s="91">
        <v>720191</v>
      </c>
      <c r="D3" s="91">
        <v>-720191</v>
      </c>
      <c r="E3" s="91">
        <v>0</v>
      </c>
      <c r="F3" s="91">
        <v>0</v>
      </c>
      <c r="G3" s="91">
        <v>0</v>
      </c>
      <c r="H3" s="91">
        <v>0</v>
      </c>
      <c r="I3" s="91">
        <v>0</v>
      </c>
      <c r="J3" s="91">
        <v>0</v>
      </c>
      <c r="K3" s="91">
        <v>0</v>
      </c>
      <c r="L3" s="91">
        <v>0</v>
      </c>
      <c r="M3" s="91">
        <v>0</v>
      </c>
      <c r="N3" s="91">
        <v>0</v>
      </c>
    </row>
    <row r="4" spans="1:14" outlineLevel="2" x14ac:dyDescent="0.35">
      <c r="A4" s="82" t="s">
        <v>354</v>
      </c>
      <c r="B4" s="66" t="s">
        <v>206</v>
      </c>
      <c r="C4" s="51">
        <v>24852067</v>
      </c>
      <c r="D4" s="51">
        <v>-71276</v>
      </c>
      <c r="E4" s="51">
        <v>0</v>
      </c>
      <c r="F4" s="51">
        <v>0</v>
      </c>
      <c r="G4" s="51">
        <v>0</v>
      </c>
      <c r="H4" s="51">
        <v>24780791</v>
      </c>
      <c r="I4" s="51">
        <v>0</v>
      </c>
      <c r="J4" s="51">
        <v>24780791</v>
      </c>
      <c r="K4" s="51">
        <v>0</v>
      </c>
      <c r="L4" s="51">
        <v>0</v>
      </c>
      <c r="M4" s="51">
        <v>0</v>
      </c>
      <c r="N4" s="51">
        <v>24780791</v>
      </c>
    </row>
    <row r="5" spans="1:14" outlineLevel="2" x14ac:dyDescent="0.35">
      <c r="A5" s="82" t="s">
        <v>354</v>
      </c>
      <c r="B5" s="66" t="s">
        <v>205</v>
      </c>
      <c r="C5" s="51">
        <v>24745106</v>
      </c>
      <c r="D5" s="51">
        <v>-34283</v>
      </c>
      <c r="E5" s="51">
        <v>0</v>
      </c>
      <c r="F5" s="51">
        <v>0</v>
      </c>
      <c r="G5" s="51">
        <v>0</v>
      </c>
      <c r="H5" s="51">
        <v>24710823</v>
      </c>
      <c r="I5" s="51">
        <v>0</v>
      </c>
      <c r="J5" s="51">
        <v>24710823</v>
      </c>
      <c r="K5" s="51">
        <v>0</v>
      </c>
      <c r="L5" s="51">
        <v>0</v>
      </c>
      <c r="M5" s="51">
        <v>0</v>
      </c>
      <c r="N5" s="51">
        <v>24710823</v>
      </c>
    </row>
    <row r="6" spans="1:14" outlineLevel="2" x14ac:dyDescent="0.35">
      <c r="A6" s="82" t="s">
        <v>354</v>
      </c>
      <c r="B6" s="66" t="s">
        <v>204</v>
      </c>
      <c r="C6" s="51">
        <v>26550898</v>
      </c>
      <c r="D6" s="51">
        <v>-882862</v>
      </c>
      <c r="E6" s="51">
        <v>0</v>
      </c>
      <c r="F6" s="51">
        <v>0</v>
      </c>
      <c r="G6" s="51">
        <v>0</v>
      </c>
      <c r="H6" s="51">
        <v>25668036</v>
      </c>
      <c r="I6" s="51">
        <v>-25668036</v>
      </c>
      <c r="J6" s="51">
        <v>0</v>
      </c>
      <c r="K6" s="51">
        <v>1012417</v>
      </c>
      <c r="L6" s="51">
        <v>-1012417</v>
      </c>
      <c r="M6" s="51">
        <v>0</v>
      </c>
      <c r="N6" s="51">
        <v>0</v>
      </c>
    </row>
    <row r="7" spans="1:14" outlineLevel="2" x14ac:dyDescent="0.35">
      <c r="A7" s="82" t="s">
        <v>354</v>
      </c>
      <c r="B7" s="66" t="s">
        <v>203</v>
      </c>
      <c r="C7" s="51">
        <v>23235338</v>
      </c>
      <c r="D7" s="51">
        <v>-677510</v>
      </c>
      <c r="E7" s="51">
        <v>0</v>
      </c>
      <c r="F7" s="51">
        <v>0</v>
      </c>
      <c r="G7" s="51">
        <v>0</v>
      </c>
      <c r="H7" s="51">
        <v>22557828</v>
      </c>
      <c r="I7" s="51">
        <v>-22557828</v>
      </c>
      <c r="J7" s="51">
        <v>0</v>
      </c>
      <c r="K7" s="51">
        <v>103885</v>
      </c>
      <c r="L7" s="51">
        <v>-103885</v>
      </c>
      <c r="M7" s="51">
        <v>0</v>
      </c>
      <c r="N7" s="51">
        <v>0</v>
      </c>
    </row>
    <row r="8" spans="1:14" outlineLevel="2" x14ac:dyDescent="0.35">
      <c r="A8" s="82" t="s">
        <v>354</v>
      </c>
      <c r="B8" s="66" t="s">
        <v>202</v>
      </c>
      <c r="C8" s="51">
        <v>19463385</v>
      </c>
      <c r="D8" s="51">
        <v>183088</v>
      </c>
      <c r="E8" s="51">
        <v>0</v>
      </c>
      <c r="F8" s="51">
        <v>0</v>
      </c>
      <c r="G8" s="51">
        <v>0</v>
      </c>
      <c r="H8" s="51">
        <v>19646473</v>
      </c>
      <c r="I8" s="51">
        <v>-19646473</v>
      </c>
      <c r="J8" s="51">
        <v>0</v>
      </c>
      <c r="K8" s="51">
        <v>1879295</v>
      </c>
      <c r="L8" s="51">
        <v>-1879295</v>
      </c>
      <c r="M8" s="51">
        <v>0</v>
      </c>
      <c r="N8" s="51">
        <v>0</v>
      </c>
    </row>
    <row r="9" spans="1:14" outlineLevel="2" x14ac:dyDescent="0.35">
      <c r="A9" s="82" t="s">
        <v>354</v>
      </c>
      <c r="B9" s="66" t="s">
        <v>201</v>
      </c>
      <c r="C9" s="51">
        <v>19196359</v>
      </c>
      <c r="D9" s="51">
        <v>-374473</v>
      </c>
      <c r="E9" s="51">
        <v>0</v>
      </c>
      <c r="F9" s="51">
        <v>0</v>
      </c>
      <c r="G9" s="51">
        <v>0</v>
      </c>
      <c r="H9" s="51">
        <v>18821886</v>
      </c>
      <c r="I9" s="51">
        <v>-18821886</v>
      </c>
      <c r="J9" s="51">
        <v>0</v>
      </c>
      <c r="K9" s="51">
        <v>675827</v>
      </c>
      <c r="L9" s="51">
        <v>-675827</v>
      </c>
      <c r="M9" s="51">
        <v>0</v>
      </c>
      <c r="N9" s="51">
        <v>0</v>
      </c>
    </row>
    <row r="10" spans="1:14" outlineLevel="2" x14ac:dyDescent="0.35">
      <c r="A10" s="82" t="s">
        <v>354</v>
      </c>
      <c r="B10" s="66" t="s">
        <v>200</v>
      </c>
      <c r="C10" s="51">
        <v>17906299</v>
      </c>
      <c r="D10" s="51">
        <v>-342700</v>
      </c>
      <c r="E10" s="51">
        <v>0</v>
      </c>
      <c r="F10" s="51">
        <v>0</v>
      </c>
      <c r="G10" s="51">
        <v>0</v>
      </c>
      <c r="H10" s="51">
        <v>17563599</v>
      </c>
      <c r="I10" s="51">
        <v>-17516451</v>
      </c>
      <c r="J10" s="51">
        <v>47148</v>
      </c>
      <c r="K10" s="51">
        <v>2316857</v>
      </c>
      <c r="L10" s="51">
        <v>-2316857</v>
      </c>
      <c r="M10" s="51">
        <v>0</v>
      </c>
      <c r="N10" s="51">
        <v>47148</v>
      </c>
    </row>
    <row r="11" spans="1:14" outlineLevel="2" x14ac:dyDescent="0.35">
      <c r="A11" s="82" t="s">
        <v>354</v>
      </c>
      <c r="B11" s="66" t="s">
        <v>199</v>
      </c>
      <c r="C11" s="51">
        <v>19450870</v>
      </c>
      <c r="D11" s="51">
        <v>-645194</v>
      </c>
      <c r="E11" s="51">
        <v>0</v>
      </c>
      <c r="F11" s="51">
        <v>0</v>
      </c>
      <c r="G11" s="51">
        <v>0</v>
      </c>
      <c r="H11" s="51">
        <v>18805676</v>
      </c>
      <c r="I11" s="51">
        <v>-18805676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</row>
    <row r="12" spans="1:14" outlineLevel="2" x14ac:dyDescent="0.35">
      <c r="A12" s="82" t="s">
        <v>354</v>
      </c>
      <c r="B12" s="66" t="s">
        <v>198</v>
      </c>
      <c r="C12" s="51">
        <v>12563437</v>
      </c>
      <c r="D12" s="51">
        <v>-589835</v>
      </c>
      <c r="E12" s="51">
        <v>0</v>
      </c>
      <c r="F12" s="51">
        <v>0</v>
      </c>
      <c r="G12" s="51">
        <v>0</v>
      </c>
      <c r="H12" s="51">
        <v>11973602</v>
      </c>
      <c r="I12" s="51">
        <v>-11973602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</row>
    <row r="13" spans="1:14" outlineLevel="2" x14ac:dyDescent="0.35">
      <c r="A13" s="82" t="s">
        <v>354</v>
      </c>
      <c r="B13" s="66" t="s">
        <v>197</v>
      </c>
      <c r="C13" s="51">
        <v>11981566</v>
      </c>
      <c r="D13" s="51">
        <v>-751917</v>
      </c>
      <c r="E13" s="51">
        <v>0</v>
      </c>
      <c r="F13" s="51">
        <v>0</v>
      </c>
      <c r="G13" s="51">
        <v>0</v>
      </c>
      <c r="H13" s="51">
        <v>11229649</v>
      </c>
      <c r="I13" s="51">
        <v>-11229649</v>
      </c>
      <c r="J13" s="51">
        <v>0</v>
      </c>
      <c r="K13" s="51">
        <v>433509</v>
      </c>
      <c r="L13" s="51">
        <v>-433509</v>
      </c>
      <c r="M13" s="51">
        <v>0</v>
      </c>
      <c r="N13" s="51">
        <v>0</v>
      </c>
    </row>
    <row r="14" spans="1:14" outlineLevel="2" x14ac:dyDescent="0.35">
      <c r="A14" s="82" t="s">
        <v>354</v>
      </c>
      <c r="B14" s="66" t="s">
        <v>196</v>
      </c>
      <c r="C14" s="51">
        <v>12476501</v>
      </c>
      <c r="D14" s="51">
        <v>-415112</v>
      </c>
      <c r="E14" s="51">
        <v>0</v>
      </c>
      <c r="F14" s="51">
        <v>0</v>
      </c>
      <c r="G14" s="51">
        <v>0</v>
      </c>
      <c r="H14" s="51">
        <v>12061389</v>
      </c>
      <c r="I14" s="51">
        <v>-12061389</v>
      </c>
      <c r="J14" s="51">
        <v>0</v>
      </c>
      <c r="K14" s="51">
        <v>254897</v>
      </c>
      <c r="L14" s="51">
        <v>-254897</v>
      </c>
      <c r="M14" s="51">
        <v>0</v>
      </c>
      <c r="N14" s="51">
        <v>0</v>
      </c>
    </row>
    <row r="15" spans="1:14" outlineLevel="2" x14ac:dyDescent="0.35">
      <c r="A15" s="82" t="s">
        <v>354</v>
      </c>
      <c r="B15" s="66" t="s">
        <v>195</v>
      </c>
      <c r="C15" s="51">
        <v>8991583</v>
      </c>
      <c r="D15" s="51">
        <v>-115022</v>
      </c>
      <c r="E15" s="51">
        <v>0</v>
      </c>
      <c r="F15" s="51">
        <v>0</v>
      </c>
      <c r="G15" s="51">
        <v>0</v>
      </c>
      <c r="H15" s="51">
        <v>8876561</v>
      </c>
      <c r="I15" s="51">
        <v>-8876561</v>
      </c>
      <c r="J15" s="51">
        <v>0</v>
      </c>
      <c r="K15" s="51">
        <v>1729887</v>
      </c>
      <c r="L15" s="51">
        <v>-1729887</v>
      </c>
      <c r="M15" s="51">
        <v>0</v>
      </c>
      <c r="N15" s="51">
        <v>0</v>
      </c>
    </row>
    <row r="16" spans="1:14" outlineLevel="2" x14ac:dyDescent="0.35">
      <c r="A16" s="82" t="s">
        <v>354</v>
      </c>
      <c r="B16" s="66" t="s">
        <v>194</v>
      </c>
      <c r="C16" s="51">
        <v>10689446</v>
      </c>
      <c r="D16" s="51">
        <v>-1143634</v>
      </c>
      <c r="E16" s="51">
        <v>0</v>
      </c>
      <c r="F16" s="51">
        <v>0</v>
      </c>
      <c r="G16" s="51">
        <v>0</v>
      </c>
      <c r="H16" s="51">
        <v>9545812</v>
      </c>
      <c r="I16" s="51">
        <v>-9545812</v>
      </c>
      <c r="J16" s="51">
        <v>0</v>
      </c>
      <c r="K16" s="51">
        <v>2091424</v>
      </c>
      <c r="L16" s="51">
        <v>-2091424</v>
      </c>
      <c r="M16" s="51">
        <v>0</v>
      </c>
      <c r="N16" s="51">
        <v>0</v>
      </c>
    </row>
    <row r="17" spans="1:14" outlineLevel="2" x14ac:dyDescent="0.35">
      <c r="A17" s="82" t="s">
        <v>354</v>
      </c>
      <c r="B17" s="66" t="s">
        <v>193</v>
      </c>
      <c r="C17" s="51">
        <v>9366930</v>
      </c>
      <c r="D17" s="51">
        <v>-1283475</v>
      </c>
      <c r="E17" s="51">
        <v>0</v>
      </c>
      <c r="F17" s="51">
        <v>0</v>
      </c>
      <c r="G17" s="51">
        <v>0</v>
      </c>
      <c r="H17" s="51">
        <v>8083455</v>
      </c>
      <c r="I17" s="51">
        <v>-8083455</v>
      </c>
      <c r="J17" s="51">
        <v>0</v>
      </c>
      <c r="K17" s="51">
        <v>1476537</v>
      </c>
      <c r="L17" s="51">
        <v>-1476537</v>
      </c>
      <c r="M17" s="51">
        <v>0</v>
      </c>
      <c r="N17" s="51">
        <v>0</v>
      </c>
    </row>
    <row r="18" spans="1:14" outlineLevel="2" x14ac:dyDescent="0.35">
      <c r="A18" s="82" t="s">
        <v>354</v>
      </c>
      <c r="B18" s="66" t="s">
        <v>192</v>
      </c>
      <c r="C18" s="51">
        <v>10705841</v>
      </c>
      <c r="D18" s="51">
        <v>-1340834</v>
      </c>
      <c r="E18" s="51">
        <v>0</v>
      </c>
      <c r="F18" s="51">
        <v>0</v>
      </c>
      <c r="G18" s="51">
        <v>0</v>
      </c>
      <c r="H18" s="51">
        <v>9365007</v>
      </c>
      <c r="I18" s="51">
        <v>-9365007</v>
      </c>
      <c r="J18" s="51">
        <v>0</v>
      </c>
      <c r="K18" s="51">
        <v>1825441</v>
      </c>
      <c r="L18" s="51">
        <v>-1825441</v>
      </c>
      <c r="M18" s="51">
        <v>0</v>
      </c>
      <c r="N18" s="51">
        <v>0</v>
      </c>
    </row>
    <row r="19" spans="1:14" outlineLevel="2" x14ac:dyDescent="0.35">
      <c r="A19" s="82" t="s">
        <v>354</v>
      </c>
      <c r="B19" s="66" t="s">
        <v>191</v>
      </c>
      <c r="C19" s="51">
        <v>8111801</v>
      </c>
      <c r="D19" s="51">
        <v>-22563</v>
      </c>
      <c r="E19" s="51">
        <v>0</v>
      </c>
      <c r="F19" s="51">
        <v>0</v>
      </c>
      <c r="G19" s="51">
        <v>0</v>
      </c>
      <c r="H19" s="51">
        <v>8089238</v>
      </c>
      <c r="I19" s="51">
        <v>-8089238</v>
      </c>
      <c r="J19" s="51">
        <v>0</v>
      </c>
      <c r="K19" s="51">
        <v>668475</v>
      </c>
      <c r="L19" s="51">
        <v>-668475</v>
      </c>
      <c r="M19" s="51">
        <v>0</v>
      </c>
      <c r="N19" s="51">
        <v>0</v>
      </c>
    </row>
    <row r="20" spans="1:14" outlineLevel="2" x14ac:dyDescent="0.35">
      <c r="A20" s="82" t="s">
        <v>354</v>
      </c>
      <c r="B20" s="66" t="s">
        <v>190</v>
      </c>
      <c r="C20" s="51">
        <v>8792593</v>
      </c>
      <c r="D20" s="51">
        <v>-59930</v>
      </c>
      <c r="E20" s="51">
        <v>0</v>
      </c>
      <c r="F20" s="51">
        <v>0</v>
      </c>
      <c r="G20" s="51">
        <v>0</v>
      </c>
      <c r="H20" s="51">
        <v>8732663</v>
      </c>
      <c r="I20" s="51">
        <v>-8732663</v>
      </c>
      <c r="J20" s="51">
        <v>0</v>
      </c>
      <c r="K20" s="51">
        <v>54807</v>
      </c>
      <c r="L20" s="51">
        <v>-54807</v>
      </c>
      <c r="M20" s="51">
        <v>0</v>
      </c>
      <c r="N20" s="51">
        <v>0</v>
      </c>
    </row>
    <row r="21" spans="1:14" outlineLevel="2" x14ac:dyDescent="0.35">
      <c r="A21" s="82" t="s">
        <v>354</v>
      </c>
      <c r="B21" s="66" t="s">
        <v>189</v>
      </c>
      <c r="C21" s="51">
        <v>8999606</v>
      </c>
      <c r="D21" s="51">
        <v>-102000</v>
      </c>
      <c r="E21" s="51">
        <v>0</v>
      </c>
      <c r="F21" s="51">
        <v>0</v>
      </c>
      <c r="G21" s="51">
        <v>0</v>
      </c>
      <c r="H21" s="51">
        <v>8897606</v>
      </c>
      <c r="I21" s="51">
        <v>-8897606</v>
      </c>
      <c r="J21" s="51">
        <v>0</v>
      </c>
      <c r="K21" s="51">
        <v>37195</v>
      </c>
      <c r="L21" s="51">
        <v>-37195</v>
      </c>
      <c r="M21" s="51">
        <v>0</v>
      </c>
      <c r="N21" s="51">
        <v>0</v>
      </c>
    </row>
    <row r="22" spans="1:14" outlineLevel="2" x14ac:dyDescent="0.35">
      <c r="A22" s="82" t="s">
        <v>354</v>
      </c>
      <c r="B22" s="66" t="s">
        <v>188</v>
      </c>
      <c r="C22" s="51">
        <v>239424</v>
      </c>
      <c r="D22" s="51">
        <v>-77892</v>
      </c>
      <c r="E22" s="51">
        <v>0</v>
      </c>
      <c r="F22" s="51">
        <v>0</v>
      </c>
      <c r="G22" s="51">
        <v>0</v>
      </c>
      <c r="H22" s="51">
        <v>161532</v>
      </c>
      <c r="I22" s="51">
        <v>-161532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</row>
    <row r="23" spans="1:14" outlineLevel="2" x14ac:dyDescent="0.35">
      <c r="A23" s="82" t="s">
        <v>354</v>
      </c>
      <c r="B23" s="66" t="s">
        <v>186</v>
      </c>
      <c r="C23" s="51">
        <v>6175389</v>
      </c>
      <c r="D23" s="51">
        <v>-645851</v>
      </c>
      <c r="E23" s="51">
        <v>0</v>
      </c>
      <c r="F23" s="51">
        <v>0</v>
      </c>
      <c r="G23" s="51">
        <v>0</v>
      </c>
      <c r="H23" s="51">
        <v>5529538</v>
      </c>
      <c r="I23" s="51">
        <v>-5529538</v>
      </c>
      <c r="J23" s="51">
        <v>0</v>
      </c>
      <c r="K23" s="51">
        <v>353081</v>
      </c>
      <c r="L23" s="51">
        <v>-353081</v>
      </c>
      <c r="M23" s="51">
        <v>0</v>
      </c>
      <c r="N23" s="51">
        <v>0</v>
      </c>
    </row>
    <row r="24" spans="1:14" outlineLevel="2" x14ac:dyDescent="0.35">
      <c r="A24" s="82" t="s">
        <v>354</v>
      </c>
      <c r="B24" s="66" t="s">
        <v>227</v>
      </c>
      <c r="C24" s="51">
        <v>329694</v>
      </c>
      <c r="D24" s="51">
        <v>0</v>
      </c>
      <c r="E24" s="51">
        <v>0</v>
      </c>
      <c r="F24" s="51">
        <v>0</v>
      </c>
      <c r="G24" s="51">
        <v>0</v>
      </c>
      <c r="H24" s="51">
        <v>329694</v>
      </c>
      <c r="I24" s="51">
        <v>-329694</v>
      </c>
      <c r="J24" s="51">
        <v>0</v>
      </c>
      <c r="K24" s="51">
        <v>187542</v>
      </c>
      <c r="L24" s="51">
        <v>-187542</v>
      </c>
      <c r="M24" s="51">
        <v>0</v>
      </c>
      <c r="N24" s="51">
        <v>0</v>
      </c>
    </row>
    <row r="25" spans="1:14" outlineLevel="2" x14ac:dyDescent="0.35">
      <c r="A25" s="82" t="s">
        <v>354</v>
      </c>
      <c r="B25" s="66" t="s">
        <v>226</v>
      </c>
      <c r="C25" s="51">
        <v>705397</v>
      </c>
      <c r="D25" s="51">
        <v>0</v>
      </c>
      <c r="E25" s="51">
        <v>0</v>
      </c>
      <c r="F25" s="51">
        <v>0</v>
      </c>
      <c r="G25" s="51">
        <v>0</v>
      </c>
      <c r="H25" s="51">
        <v>705397</v>
      </c>
      <c r="I25" s="51">
        <v>-705397</v>
      </c>
      <c r="J25" s="51">
        <v>0</v>
      </c>
      <c r="K25" s="51">
        <v>120000</v>
      </c>
      <c r="L25" s="51">
        <v>-120000</v>
      </c>
      <c r="M25" s="51">
        <v>0</v>
      </c>
      <c r="N25" s="51">
        <v>0</v>
      </c>
    </row>
    <row r="26" spans="1:14" s="71" customFormat="1" outlineLevel="1" x14ac:dyDescent="0.35">
      <c r="A26" s="65" t="s">
        <v>172</v>
      </c>
      <c r="B26" s="90" t="s">
        <v>12</v>
      </c>
      <c r="C26" s="42">
        <f>SUBTOTAL(109,Program2[(C)
Program
Costs])</f>
        <v>286249721</v>
      </c>
      <c r="D26" s="42">
        <f>SUBTOTAL(109,Program2[(D)
Prior Period Adjustments])</f>
        <v>-10113466</v>
      </c>
      <c r="E26" s="42">
        <f>SUBTOTAL(109,Program2[(E)
Current Period Desk 
Reviews])</f>
        <v>0</v>
      </c>
      <c r="F26" s="42">
        <f>SUBTOTAL(109,Program2[(F)
Current Period 
Final 
Audits])</f>
        <v>0</v>
      </c>
      <c r="G26" s="42">
        <f>SUBTOTAL(109,Program2[(G)
Current Period 
Other Adjustments])</f>
        <v>0</v>
      </c>
      <c r="H26" s="42">
        <f>SUBTOTAL(109,Program2[(H)
Net Program Costs
Sum (C through G)])</f>
        <v>276136255</v>
      </c>
      <c r="I26" s="42">
        <f>SUBTOTAL(109,Program2[(I)
Payments
 and Offsets])</f>
        <v>-226597493</v>
      </c>
      <c r="J26" s="42">
        <f>SUBTOTAL(109,Program2[(J)
Accounts Payable Balance
(H + I)])</f>
        <v>49538762</v>
      </c>
      <c r="K26" s="42">
        <f>SUBTOTAL(109,Program2[(K)
Established 
Accounts Receivable])</f>
        <v>15221076</v>
      </c>
      <c r="L26" s="42">
        <f>SUBTOTAL(109,Program2[(L)
Recovered
 Accounts Receivable])</f>
        <v>-15221076</v>
      </c>
      <c r="M26" s="42">
        <f>SUBTOTAL(109,Program2[(M)
Accounts Receivable Balance
(K + L)])</f>
        <v>0</v>
      </c>
      <c r="N26" s="42">
        <f>SUBTOTAL(109,Program2[(N)
Net Balance
(J minus M)])</f>
        <v>49538762</v>
      </c>
    </row>
    <row r="27" spans="1:14" ht="15.65" customHeight="1" outlineLevel="1" x14ac:dyDescent="0.35">
      <c r="A27" s="24" t="s">
        <v>33</v>
      </c>
      <c r="B27" s="89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</row>
    <row r="28" spans="1:14" ht="77.5" outlineLevel="2" x14ac:dyDescent="0.35">
      <c r="A28" s="60" t="s">
        <v>185</v>
      </c>
      <c r="B28" s="59" t="s">
        <v>184</v>
      </c>
      <c r="C28" s="58" t="s">
        <v>183</v>
      </c>
      <c r="D28" s="58" t="s">
        <v>182</v>
      </c>
      <c r="E28" s="56" t="s">
        <v>181</v>
      </c>
      <c r="F28" s="56" t="s">
        <v>180</v>
      </c>
      <c r="G28" s="56" t="s">
        <v>179</v>
      </c>
      <c r="H28" s="57" t="s">
        <v>674</v>
      </c>
      <c r="I28" s="55" t="s">
        <v>178</v>
      </c>
      <c r="J28" s="55" t="s">
        <v>177</v>
      </c>
      <c r="K28" s="56" t="s">
        <v>176</v>
      </c>
      <c r="L28" s="55" t="s">
        <v>175</v>
      </c>
      <c r="M28" s="55" t="s">
        <v>174</v>
      </c>
      <c r="N28" s="54" t="s">
        <v>173</v>
      </c>
    </row>
    <row r="29" spans="1:14" ht="15.5" customHeight="1" outlineLevel="2" x14ac:dyDescent="0.35">
      <c r="A29" s="87" t="s">
        <v>353</v>
      </c>
      <c r="B29" s="86" t="s">
        <v>206</v>
      </c>
      <c r="C29" s="85">
        <v>35138</v>
      </c>
      <c r="D29" s="85">
        <v>0</v>
      </c>
      <c r="E29" s="85">
        <v>0</v>
      </c>
      <c r="F29" s="85">
        <v>0</v>
      </c>
      <c r="G29" s="85">
        <v>0</v>
      </c>
      <c r="H29" s="85">
        <v>35138</v>
      </c>
      <c r="I29" s="85">
        <v>0</v>
      </c>
      <c r="J29" s="85">
        <v>35138</v>
      </c>
      <c r="K29" s="85">
        <v>0</v>
      </c>
      <c r="L29" s="85">
        <v>0</v>
      </c>
      <c r="M29" s="85">
        <v>0</v>
      </c>
      <c r="N29" s="85">
        <v>35138</v>
      </c>
    </row>
    <row r="30" spans="1:14" ht="15.5" customHeight="1" outlineLevel="2" x14ac:dyDescent="0.35">
      <c r="A30" s="83" t="s">
        <v>353</v>
      </c>
      <c r="B30" s="69" t="s">
        <v>205</v>
      </c>
      <c r="C30" s="68">
        <v>32562</v>
      </c>
      <c r="D30" s="68">
        <v>0</v>
      </c>
      <c r="E30" s="68">
        <v>0</v>
      </c>
      <c r="F30" s="68">
        <v>0</v>
      </c>
      <c r="G30" s="68">
        <v>0</v>
      </c>
      <c r="H30" s="68">
        <v>32562</v>
      </c>
      <c r="I30" s="68">
        <v>0</v>
      </c>
      <c r="J30" s="68">
        <v>32562</v>
      </c>
      <c r="K30" s="68">
        <v>0</v>
      </c>
      <c r="L30" s="68">
        <v>0</v>
      </c>
      <c r="M30" s="68">
        <v>0</v>
      </c>
      <c r="N30" s="68">
        <v>32562</v>
      </c>
    </row>
    <row r="31" spans="1:14" ht="15.5" customHeight="1" outlineLevel="2" x14ac:dyDescent="0.35">
      <c r="A31" s="83" t="s">
        <v>353</v>
      </c>
      <c r="B31" s="69" t="s">
        <v>204</v>
      </c>
      <c r="C31" s="68">
        <v>44383</v>
      </c>
      <c r="D31" s="68">
        <v>0</v>
      </c>
      <c r="E31" s="68">
        <v>0</v>
      </c>
      <c r="F31" s="68">
        <v>0</v>
      </c>
      <c r="G31" s="68">
        <v>0</v>
      </c>
      <c r="H31" s="68">
        <v>44383</v>
      </c>
      <c r="I31" s="68">
        <v>-44383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</row>
    <row r="32" spans="1:14" ht="15.5" customHeight="1" outlineLevel="2" x14ac:dyDescent="0.35">
      <c r="A32" s="83" t="s">
        <v>353</v>
      </c>
      <c r="B32" s="69" t="s">
        <v>203</v>
      </c>
      <c r="C32" s="68">
        <v>33426</v>
      </c>
      <c r="D32" s="68">
        <v>0</v>
      </c>
      <c r="E32" s="68">
        <v>0</v>
      </c>
      <c r="F32" s="68">
        <v>0</v>
      </c>
      <c r="G32" s="68">
        <v>0</v>
      </c>
      <c r="H32" s="68">
        <v>33426</v>
      </c>
      <c r="I32" s="68">
        <v>-33426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</row>
    <row r="33" spans="1:14" ht="15.5" customHeight="1" outlineLevel="2" x14ac:dyDescent="0.35">
      <c r="A33" s="83" t="s">
        <v>353</v>
      </c>
      <c r="B33" s="69" t="s">
        <v>202</v>
      </c>
      <c r="C33" s="68">
        <v>47977</v>
      </c>
      <c r="D33" s="68">
        <v>0</v>
      </c>
      <c r="E33" s="68">
        <v>0</v>
      </c>
      <c r="F33" s="68">
        <v>0</v>
      </c>
      <c r="G33" s="68">
        <v>0</v>
      </c>
      <c r="H33" s="68">
        <v>47977</v>
      </c>
      <c r="I33" s="68">
        <v>-47977</v>
      </c>
      <c r="J33" s="68">
        <v>0</v>
      </c>
      <c r="K33" s="68">
        <v>85711</v>
      </c>
      <c r="L33" s="68">
        <v>-85711</v>
      </c>
      <c r="M33" s="68">
        <v>0</v>
      </c>
      <c r="N33" s="68">
        <v>0</v>
      </c>
    </row>
    <row r="34" spans="1:14" ht="15.5" customHeight="1" outlineLevel="2" x14ac:dyDescent="0.35">
      <c r="A34" s="83" t="s">
        <v>353</v>
      </c>
      <c r="B34" s="69" t="s">
        <v>201</v>
      </c>
      <c r="C34" s="68">
        <v>41111</v>
      </c>
      <c r="D34" s="68">
        <v>0</v>
      </c>
      <c r="E34" s="68">
        <v>0</v>
      </c>
      <c r="F34" s="68">
        <v>0</v>
      </c>
      <c r="G34" s="68">
        <v>0</v>
      </c>
      <c r="H34" s="68">
        <v>41111</v>
      </c>
      <c r="I34" s="68">
        <v>-41111</v>
      </c>
      <c r="J34" s="68">
        <v>0</v>
      </c>
      <c r="K34" s="68">
        <v>16078</v>
      </c>
      <c r="L34" s="68">
        <v>-16078</v>
      </c>
      <c r="M34" s="68">
        <v>0</v>
      </c>
      <c r="N34" s="68">
        <v>0</v>
      </c>
    </row>
    <row r="35" spans="1:14" ht="15.5" customHeight="1" outlineLevel="2" x14ac:dyDescent="0.35">
      <c r="A35" s="83" t="s">
        <v>353</v>
      </c>
      <c r="B35" s="69" t="s">
        <v>200</v>
      </c>
      <c r="C35" s="68">
        <v>64019</v>
      </c>
      <c r="D35" s="68">
        <v>0</v>
      </c>
      <c r="E35" s="68">
        <v>0</v>
      </c>
      <c r="F35" s="68">
        <v>0</v>
      </c>
      <c r="G35" s="68">
        <v>0</v>
      </c>
      <c r="H35" s="68">
        <v>64019</v>
      </c>
      <c r="I35" s="68">
        <v>-64019</v>
      </c>
      <c r="J35" s="68">
        <v>0</v>
      </c>
      <c r="K35" s="68">
        <v>0</v>
      </c>
      <c r="L35" s="68">
        <v>0</v>
      </c>
      <c r="M35" s="68">
        <v>0</v>
      </c>
      <c r="N35" s="68">
        <v>0</v>
      </c>
    </row>
    <row r="36" spans="1:14" ht="15.5" customHeight="1" outlineLevel="2" x14ac:dyDescent="0.35">
      <c r="A36" s="83" t="s">
        <v>353</v>
      </c>
      <c r="B36" s="69" t="s">
        <v>199</v>
      </c>
      <c r="C36" s="68">
        <v>20545</v>
      </c>
      <c r="D36" s="68">
        <v>0</v>
      </c>
      <c r="E36" s="68">
        <v>0</v>
      </c>
      <c r="F36" s="68">
        <v>0</v>
      </c>
      <c r="G36" s="68">
        <v>0</v>
      </c>
      <c r="H36" s="68">
        <v>20545</v>
      </c>
      <c r="I36" s="68">
        <v>-20545</v>
      </c>
      <c r="J36" s="68">
        <v>0</v>
      </c>
      <c r="K36" s="68">
        <v>0</v>
      </c>
      <c r="L36" s="68">
        <v>0</v>
      </c>
      <c r="M36" s="68">
        <v>0</v>
      </c>
      <c r="N36" s="68">
        <v>0</v>
      </c>
    </row>
    <row r="37" spans="1:14" ht="15.5" customHeight="1" outlineLevel="2" x14ac:dyDescent="0.35">
      <c r="A37" s="83" t="s">
        <v>353</v>
      </c>
      <c r="B37" s="69" t="s">
        <v>198</v>
      </c>
      <c r="C37" s="68">
        <v>7789</v>
      </c>
      <c r="D37" s="68">
        <v>-137</v>
      </c>
      <c r="E37" s="68">
        <v>0</v>
      </c>
      <c r="F37" s="68">
        <v>0</v>
      </c>
      <c r="G37" s="68">
        <v>0</v>
      </c>
      <c r="H37" s="68">
        <v>7652</v>
      </c>
      <c r="I37" s="68">
        <v>-7652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</row>
    <row r="38" spans="1:14" ht="15.5" customHeight="1" outlineLevel="2" x14ac:dyDescent="0.35">
      <c r="A38" s="83" t="s">
        <v>353</v>
      </c>
      <c r="B38" s="69" t="s">
        <v>197</v>
      </c>
      <c r="C38" s="68">
        <v>8408</v>
      </c>
      <c r="D38" s="68">
        <v>-156</v>
      </c>
      <c r="E38" s="68">
        <v>0</v>
      </c>
      <c r="F38" s="68">
        <v>0</v>
      </c>
      <c r="G38" s="68">
        <v>0</v>
      </c>
      <c r="H38" s="68">
        <v>8252</v>
      </c>
      <c r="I38" s="68">
        <v>-8252</v>
      </c>
      <c r="J38" s="68">
        <v>0</v>
      </c>
      <c r="K38" s="68">
        <v>0</v>
      </c>
      <c r="L38" s="68">
        <v>0</v>
      </c>
      <c r="M38" s="68">
        <v>0</v>
      </c>
      <c r="N38" s="68">
        <v>0</v>
      </c>
    </row>
    <row r="39" spans="1:14" ht="15.5" customHeight="1" outlineLevel="2" x14ac:dyDescent="0.35">
      <c r="A39" s="83" t="s">
        <v>353</v>
      </c>
      <c r="B39" s="69" t="s">
        <v>196</v>
      </c>
      <c r="C39" s="68">
        <v>176752</v>
      </c>
      <c r="D39" s="68">
        <v>-156</v>
      </c>
      <c r="E39" s="68">
        <v>0</v>
      </c>
      <c r="F39" s="68">
        <v>0</v>
      </c>
      <c r="G39" s="68">
        <v>0</v>
      </c>
      <c r="H39" s="68">
        <v>176596</v>
      </c>
      <c r="I39" s="68">
        <v>-176596</v>
      </c>
      <c r="J39" s="68">
        <v>0</v>
      </c>
      <c r="K39" s="68">
        <v>0</v>
      </c>
      <c r="L39" s="68">
        <v>0</v>
      </c>
      <c r="M39" s="68">
        <v>0</v>
      </c>
      <c r="N39" s="68">
        <v>0</v>
      </c>
    </row>
    <row r="40" spans="1:14" ht="15.5" customHeight="1" outlineLevel="1" x14ac:dyDescent="0.35">
      <c r="A40" s="83" t="s">
        <v>353</v>
      </c>
      <c r="B40" s="69" t="s">
        <v>195</v>
      </c>
      <c r="C40" s="68">
        <v>29015</v>
      </c>
      <c r="D40" s="68">
        <v>-502</v>
      </c>
      <c r="E40" s="68">
        <v>0</v>
      </c>
      <c r="F40" s="68">
        <v>0</v>
      </c>
      <c r="G40" s="68">
        <v>0</v>
      </c>
      <c r="H40" s="68">
        <v>28513</v>
      </c>
      <c r="I40" s="68">
        <v>-28513</v>
      </c>
      <c r="J40" s="68">
        <v>0</v>
      </c>
      <c r="K40" s="68">
        <v>0</v>
      </c>
      <c r="L40" s="68">
        <v>0</v>
      </c>
      <c r="M40" s="68">
        <v>0</v>
      </c>
      <c r="N40" s="68">
        <v>0</v>
      </c>
    </row>
    <row r="41" spans="1:14" s="71" customFormat="1" outlineLevel="1" x14ac:dyDescent="0.35">
      <c r="A41" s="65" t="s">
        <v>171</v>
      </c>
      <c r="B41" s="81" t="s">
        <v>12</v>
      </c>
      <c r="C41" s="42">
        <f>SUBTOTAL(109,Progam248[(C)
Program
Costs])</f>
        <v>541125</v>
      </c>
      <c r="D41" s="42">
        <f>SUBTOTAL(109,Progam248[(D)
Prior Period Adjustments])</f>
        <v>-951</v>
      </c>
      <c r="E41" s="42">
        <f>SUBTOTAL(109,Progam248[(E)
Current Period Desk 
Reviews])</f>
        <v>0</v>
      </c>
      <c r="F41" s="42">
        <f>SUBTOTAL(109,Progam248[(F)
Current Period 
Final 
Audits])</f>
        <v>0</v>
      </c>
      <c r="G41" s="42">
        <f>SUBTOTAL(109,Progam248[(G)
Current Period 
Other Adjustments])</f>
        <v>0</v>
      </c>
      <c r="H41" s="42">
        <f>SUBTOTAL(109,Progam248[(H)
Net Program Costs
Sum (C through G)])</f>
        <v>540174</v>
      </c>
      <c r="I41" s="42">
        <f>SUBTOTAL(109,Progam248[(I)
Payments
 and Offsets])</f>
        <v>-472474</v>
      </c>
      <c r="J41" s="42">
        <f>SUBTOTAL(109,Progam248[(J)
Accounts Payable Balance
(H + I)])</f>
        <v>67700</v>
      </c>
      <c r="K41" s="42">
        <f>SUBTOTAL(109,Progam248[(K)
Established 
Accounts Receivable])</f>
        <v>101789</v>
      </c>
      <c r="L41" s="42">
        <f>SUBTOTAL(109,Progam248[(L)
Recovered
 Accounts Receivable])</f>
        <v>-101789</v>
      </c>
      <c r="M41" s="42">
        <f>SUBTOTAL(109,Progam248[(M)
Accounts Receivable Balance
(K + L)])</f>
        <v>0</v>
      </c>
      <c r="N41" s="42">
        <f>SUBTOTAL(109,Progam248[(N)
Net Balance
(J minus M)])</f>
        <v>67700</v>
      </c>
    </row>
    <row r="42" spans="1:14" s="84" customFormat="1" outlineLevel="2" x14ac:dyDescent="0.35">
      <c r="A42" s="63" t="s">
        <v>33</v>
      </c>
      <c r="B42" s="66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77.5" outlineLevel="2" x14ac:dyDescent="0.35">
      <c r="A43" s="60" t="s">
        <v>185</v>
      </c>
      <c r="B43" s="59" t="s">
        <v>184</v>
      </c>
      <c r="C43" s="58" t="s">
        <v>183</v>
      </c>
      <c r="D43" s="58" t="s">
        <v>182</v>
      </c>
      <c r="E43" s="56" t="s">
        <v>181</v>
      </c>
      <c r="F43" s="56" t="s">
        <v>180</v>
      </c>
      <c r="G43" s="56" t="s">
        <v>179</v>
      </c>
      <c r="H43" s="57" t="s">
        <v>674</v>
      </c>
      <c r="I43" s="55" t="s">
        <v>178</v>
      </c>
      <c r="J43" s="55" t="s">
        <v>177</v>
      </c>
      <c r="K43" s="56" t="s">
        <v>176</v>
      </c>
      <c r="L43" s="55" t="s">
        <v>175</v>
      </c>
      <c r="M43" s="55" t="s">
        <v>174</v>
      </c>
      <c r="N43" s="54" t="s">
        <v>173</v>
      </c>
    </row>
    <row r="44" spans="1:14" ht="31" outlineLevel="1" x14ac:dyDescent="0.35">
      <c r="A44" s="77" t="s">
        <v>352</v>
      </c>
      <c r="B44" s="69" t="s">
        <v>201</v>
      </c>
      <c r="C44" s="68">
        <v>96643</v>
      </c>
      <c r="D44" s="68">
        <v>-2250</v>
      </c>
      <c r="E44" s="68">
        <v>0</v>
      </c>
      <c r="F44" s="68">
        <v>0</v>
      </c>
      <c r="G44" s="68">
        <v>0</v>
      </c>
      <c r="H44" s="68">
        <v>94393</v>
      </c>
      <c r="I44" s="68">
        <v>-94393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</row>
    <row r="45" spans="1:14" ht="31" outlineLevel="1" x14ac:dyDescent="0.35">
      <c r="A45" s="83" t="s">
        <v>352</v>
      </c>
      <c r="B45" s="69" t="s">
        <v>200</v>
      </c>
      <c r="C45" s="68">
        <v>123285</v>
      </c>
      <c r="D45" s="68">
        <v>0</v>
      </c>
      <c r="E45" s="68">
        <v>0</v>
      </c>
      <c r="F45" s="68">
        <v>0</v>
      </c>
      <c r="G45" s="68">
        <v>0</v>
      </c>
      <c r="H45" s="68">
        <v>123285</v>
      </c>
      <c r="I45" s="68">
        <v>-123285</v>
      </c>
      <c r="J45" s="68">
        <v>0</v>
      </c>
      <c r="K45" s="68">
        <v>0</v>
      </c>
      <c r="L45" s="68">
        <v>0</v>
      </c>
      <c r="M45" s="68">
        <v>0</v>
      </c>
      <c r="N45" s="68">
        <v>0</v>
      </c>
    </row>
    <row r="46" spans="1:14" s="71" customFormat="1" outlineLevel="2" x14ac:dyDescent="0.35">
      <c r="A46" s="65" t="s">
        <v>170</v>
      </c>
      <c r="B46" s="81" t="s">
        <v>12</v>
      </c>
      <c r="C46" s="42">
        <f>SUBTOTAL(109,Progam359[(C)
Program
Costs])</f>
        <v>219928</v>
      </c>
      <c r="D46" s="42">
        <f>SUBTOTAL(109,Progam359[(D)
Prior Period Adjustments])</f>
        <v>-2250</v>
      </c>
      <c r="E46" s="42">
        <f>SUBTOTAL(109,Progam359[(E)
Current Period Desk 
Reviews])</f>
        <v>0</v>
      </c>
      <c r="F46" s="42">
        <f>SUBTOTAL(109,Progam359[(F)
Current Period 
Final 
Audits])</f>
        <v>0</v>
      </c>
      <c r="G46" s="42">
        <f>SUBTOTAL(109,Progam359[(G)
Current Period 
Other Adjustments])</f>
        <v>0</v>
      </c>
      <c r="H46" s="42">
        <f>SUBTOTAL(109,Progam359[(H)
Net Program Costs
Sum (C through G)])</f>
        <v>217678</v>
      </c>
      <c r="I46" s="42">
        <f>SUBTOTAL(109,Progam359[(I)
Payments
 and Offsets])</f>
        <v>-217678</v>
      </c>
      <c r="J46" s="42">
        <f>SUBTOTAL(109,Progam359[(J)
Accounts Payable Balance
(H + I)])</f>
        <v>0</v>
      </c>
      <c r="K46" s="42">
        <f>SUBTOTAL(109,Progam359[(K)
Established 
Accounts Receivable])</f>
        <v>0</v>
      </c>
      <c r="L46" s="42">
        <f>SUBTOTAL(109,Progam359[(L)
Recovered
 Accounts Receivable])</f>
        <v>0</v>
      </c>
      <c r="M46" s="42">
        <f>SUBTOTAL(109,Progam359[(M)
Accounts Receivable Balance
(K + L)])</f>
        <v>0</v>
      </c>
      <c r="N46" s="42">
        <f>SUBTOTAL(109,Progam359[(N)
Net Balance
(J minus M)])</f>
        <v>0</v>
      </c>
    </row>
    <row r="47" spans="1:14" outlineLevel="2" x14ac:dyDescent="0.35">
      <c r="A47" s="63" t="s">
        <v>33</v>
      </c>
      <c r="B47" s="62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ht="77.5" outlineLevel="2" x14ac:dyDescent="0.35">
      <c r="A48" s="60" t="s">
        <v>185</v>
      </c>
      <c r="B48" s="59" t="s">
        <v>184</v>
      </c>
      <c r="C48" s="58" t="s">
        <v>183</v>
      </c>
      <c r="D48" s="58" t="s">
        <v>182</v>
      </c>
      <c r="E48" s="56" t="s">
        <v>181</v>
      </c>
      <c r="F48" s="56" t="s">
        <v>180</v>
      </c>
      <c r="G48" s="56" t="s">
        <v>179</v>
      </c>
      <c r="H48" s="57" t="s">
        <v>674</v>
      </c>
      <c r="I48" s="55" t="s">
        <v>178</v>
      </c>
      <c r="J48" s="55" t="s">
        <v>177</v>
      </c>
      <c r="K48" s="56" t="s">
        <v>176</v>
      </c>
      <c r="L48" s="55" t="s">
        <v>175</v>
      </c>
      <c r="M48" s="55" t="s">
        <v>174</v>
      </c>
      <c r="N48" s="54" t="s">
        <v>173</v>
      </c>
    </row>
    <row r="49" spans="1:14" outlineLevel="2" x14ac:dyDescent="0.35">
      <c r="A49" s="53" t="s">
        <v>351</v>
      </c>
      <c r="B49" s="66" t="s">
        <v>215</v>
      </c>
      <c r="C49" s="51">
        <v>1984227</v>
      </c>
      <c r="D49" s="51">
        <v>0</v>
      </c>
      <c r="E49" s="51">
        <v>0</v>
      </c>
      <c r="F49" s="51">
        <v>0</v>
      </c>
      <c r="G49" s="51">
        <v>0</v>
      </c>
      <c r="H49" s="51">
        <v>1984227</v>
      </c>
      <c r="I49" s="51">
        <v>0</v>
      </c>
      <c r="J49" s="51">
        <v>1984227</v>
      </c>
      <c r="K49" s="51">
        <v>0</v>
      </c>
      <c r="L49" s="51">
        <v>0</v>
      </c>
      <c r="M49" s="51">
        <v>0</v>
      </c>
      <c r="N49" s="51">
        <v>1984227</v>
      </c>
    </row>
    <row r="50" spans="1:14" outlineLevel="2" x14ac:dyDescent="0.35">
      <c r="A50" s="82" t="s">
        <v>351</v>
      </c>
      <c r="B50" s="66" t="s">
        <v>214</v>
      </c>
      <c r="C50" s="51">
        <v>2014985</v>
      </c>
      <c r="D50" s="51">
        <v>0</v>
      </c>
      <c r="E50" s="51">
        <v>-35146</v>
      </c>
      <c r="F50" s="51">
        <v>0</v>
      </c>
      <c r="G50" s="51">
        <v>-10005</v>
      </c>
      <c r="H50" s="51">
        <v>1969834</v>
      </c>
      <c r="I50" s="51">
        <v>-1879823</v>
      </c>
      <c r="J50" s="51">
        <v>90011</v>
      </c>
      <c r="K50" s="51">
        <v>19451</v>
      </c>
      <c r="L50" s="51">
        <v>-15019</v>
      </c>
      <c r="M50" s="51">
        <v>4432</v>
      </c>
      <c r="N50" s="51">
        <v>85579</v>
      </c>
    </row>
    <row r="51" spans="1:14" outlineLevel="2" x14ac:dyDescent="0.35">
      <c r="A51" s="82" t="s">
        <v>351</v>
      </c>
      <c r="B51" s="66" t="s">
        <v>212</v>
      </c>
      <c r="C51" s="51">
        <v>2134465</v>
      </c>
      <c r="D51" s="51">
        <v>-18929</v>
      </c>
      <c r="E51" s="51">
        <v>-24078</v>
      </c>
      <c r="F51" s="51">
        <v>-180278</v>
      </c>
      <c r="G51" s="51">
        <v>0</v>
      </c>
      <c r="H51" s="51">
        <v>1911180</v>
      </c>
      <c r="I51" s="51">
        <v>-1911180</v>
      </c>
      <c r="J51" s="51">
        <v>0</v>
      </c>
      <c r="K51" s="51">
        <v>217348</v>
      </c>
      <c r="L51" s="51">
        <v>-217348</v>
      </c>
      <c r="M51" s="51">
        <v>0</v>
      </c>
      <c r="N51" s="51">
        <v>0</v>
      </c>
    </row>
    <row r="52" spans="1:14" outlineLevel="2" x14ac:dyDescent="0.35">
      <c r="A52" s="82" t="s">
        <v>351</v>
      </c>
      <c r="B52" s="66" t="s">
        <v>220</v>
      </c>
      <c r="C52" s="51">
        <v>2190490</v>
      </c>
      <c r="D52" s="51">
        <v>-31341</v>
      </c>
      <c r="E52" s="51">
        <v>0</v>
      </c>
      <c r="F52" s="51">
        <v>-198796</v>
      </c>
      <c r="G52" s="51">
        <v>0</v>
      </c>
      <c r="H52" s="51">
        <v>1960353</v>
      </c>
      <c r="I52" s="51">
        <v>-1960353</v>
      </c>
      <c r="J52" s="51">
        <v>0</v>
      </c>
      <c r="K52" s="51">
        <v>215502</v>
      </c>
      <c r="L52" s="51">
        <v>-215502</v>
      </c>
      <c r="M52" s="51">
        <v>0</v>
      </c>
      <c r="N52" s="51">
        <v>0</v>
      </c>
    </row>
    <row r="53" spans="1:14" outlineLevel="2" x14ac:dyDescent="0.35">
      <c r="A53" s="82" t="s">
        <v>351</v>
      </c>
      <c r="B53" s="66" t="s">
        <v>219</v>
      </c>
      <c r="C53" s="51">
        <v>2322353</v>
      </c>
      <c r="D53" s="51">
        <v>66334</v>
      </c>
      <c r="E53" s="51">
        <v>0</v>
      </c>
      <c r="F53" s="51">
        <v>-251176</v>
      </c>
      <c r="G53" s="51">
        <v>0</v>
      </c>
      <c r="H53" s="51">
        <v>2137511</v>
      </c>
      <c r="I53" s="51">
        <v>-2137511</v>
      </c>
      <c r="J53" s="51">
        <v>0</v>
      </c>
      <c r="K53" s="51">
        <v>273359</v>
      </c>
      <c r="L53" s="51">
        <v>-271123</v>
      </c>
      <c r="M53" s="51">
        <v>2236</v>
      </c>
      <c r="N53" s="51">
        <v>-2236</v>
      </c>
    </row>
    <row r="54" spans="1:14" outlineLevel="2" x14ac:dyDescent="0.35">
      <c r="A54" s="82" t="s">
        <v>351</v>
      </c>
      <c r="B54" s="66" t="s">
        <v>218</v>
      </c>
      <c r="C54" s="51">
        <v>2362027</v>
      </c>
      <c r="D54" s="51">
        <v>-39161</v>
      </c>
      <c r="E54" s="51">
        <v>0</v>
      </c>
      <c r="F54" s="51">
        <v>-273798</v>
      </c>
      <c r="G54" s="51">
        <v>0</v>
      </c>
      <c r="H54" s="51">
        <v>2049068</v>
      </c>
      <c r="I54" s="51">
        <v>-2049068</v>
      </c>
      <c r="J54" s="51">
        <v>0</v>
      </c>
      <c r="K54" s="51">
        <v>306968</v>
      </c>
      <c r="L54" s="51">
        <v>-306968</v>
      </c>
      <c r="M54" s="51">
        <v>0</v>
      </c>
      <c r="N54" s="51">
        <v>0</v>
      </c>
    </row>
    <row r="55" spans="1:14" outlineLevel="2" x14ac:dyDescent="0.35">
      <c r="A55" s="82" t="s">
        <v>351</v>
      </c>
      <c r="B55" s="66" t="s">
        <v>209</v>
      </c>
      <c r="C55" s="51">
        <v>2342907</v>
      </c>
      <c r="D55" s="51">
        <v>-3541</v>
      </c>
      <c r="E55" s="51">
        <v>0</v>
      </c>
      <c r="F55" s="51">
        <v>0</v>
      </c>
      <c r="G55" s="51">
        <v>0</v>
      </c>
      <c r="H55" s="51">
        <v>2339366</v>
      </c>
      <c r="I55" s="51">
        <v>-2339366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</row>
    <row r="56" spans="1:14" outlineLevel="2" x14ac:dyDescent="0.35">
      <c r="A56" s="82" t="s">
        <v>351</v>
      </c>
      <c r="B56" s="66" t="s">
        <v>208</v>
      </c>
      <c r="C56" s="51">
        <v>2476771</v>
      </c>
      <c r="D56" s="51">
        <v>-11917</v>
      </c>
      <c r="E56" s="51">
        <v>0</v>
      </c>
      <c r="F56" s="51">
        <v>0</v>
      </c>
      <c r="G56" s="51">
        <v>0</v>
      </c>
      <c r="H56" s="51">
        <v>2464854</v>
      </c>
      <c r="I56" s="51">
        <v>-2464854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</row>
    <row r="57" spans="1:14" outlineLevel="2" x14ac:dyDescent="0.35">
      <c r="A57" s="82" t="s">
        <v>351</v>
      </c>
      <c r="B57" s="66" t="s">
        <v>206</v>
      </c>
      <c r="C57" s="51">
        <v>2482654</v>
      </c>
      <c r="D57" s="51">
        <v>-8951</v>
      </c>
      <c r="E57" s="51">
        <v>0</v>
      </c>
      <c r="F57" s="51">
        <v>0</v>
      </c>
      <c r="G57" s="51">
        <v>0</v>
      </c>
      <c r="H57" s="51">
        <v>2473703</v>
      </c>
      <c r="I57" s="51">
        <v>-2473703</v>
      </c>
      <c r="J57" s="51">
        <v>0</v>
      </c>
      <c r="K57" s="51">
        <v>2884</v>
      </c>
      <c r="L57" s="51">
        <v>-2884</v>
      </c>
      <c r="M57" s="51">
        <v>0</v>
      </c>
      <c r="N57" s="51">
        <v>0</v>
      </c>
    </row>
    <row r="58" spans="1:14" outlineLevel="2" x14ac:dyDescent="0.35">
      <c r="A58" s="82" t="s">
        <v>351</v>
      </c>
      <c r="B58" s="66" t="s">
        <v>205</v>
      </c>
      <c r="C58" s="51">
        <v>2464333</v>
      </c>
      <c r="D58" s="51">
        <v>-21480</v>
      </c>
      <c r="E58" s="51">
        <v>0</v>
      </c>
      <c r="F58" s="51">
        <v>0</v>
      </c>
      <c r="G58" s="51">
        <v>0</v>
      </c>
      <c r="H58" s="51">
        <v>2442853</v>
      </c>
      <c r="I58" s="51">
        <v>-2442853</v>
      </c>
      <c r="J58" s="51">
        <v>0</v>
      </c>
      <c r="K58" s="51">
        <v>2933</v>
      </c>
      <c r="L58" s="51">
        <v>-2933</v>
      </c>
      <c r="M58" s="51">
        <v>0</v>
      </c>
      <c r="N58" s="51">
        <v>0</v>
      </c>
    </row>
    <row r="59" spans="1:14" outlineLevel="2" x14ac:dyDescent="0.35">
      <c r="A59" s="82" t="s">
        <v>351</v>
      </c>
      <c r="B59" s="66" t="s">
        <v>204</v>
      </c>
      <c r="C59" s="51">
        <v>2779649</v>
      </c>
      <c r="D59" s="51">
        <v>-105040</v>
      </c>
      <c r="E59" s="51">
        <v>0</v>
      </c>
      <c r="F59" s="51">
        <v>0</v>
      </c>
      <c r="G59" s="51">
        <v>0</v>
      </c>
      <c r="H59" s="51">
        <v>2674609</v>
      </c>
      <c r="I59" s="51">
        <v>-2674609</v>
      </c>
      <c r="J59" s="51">
        <v>0</v>
      </c>
      <c r="K59" s="51">
        <v>103932</v>
      </c>
      <c r="L59" s="51">
        <v>-103932</v>
      </c>
      <c r="M59" s="51">
        <v>0</v>
      </c>
      <c r="N59" s="51">
        <v>0</v>
      </c>
    </row>
    <row r="60" spans="1:14" outlineLevel="2" x14ac:dyDescent="0.35">
      <c r="A60" s="82" t="s">
        <v>351</v>
      </c>
      <c r="B60" s="66" t="s">
        <v>203</v>
      </c>
      <c r="C60" s="51">
        <v>2569824</v>
      </c>
      <c r="D60" s="51">
        <v>-32337</v>
      </c>
      <c r="E60" s="51">
        <v>0</v>
      </c>
      <c r="F60" s="51">
        <v>0</v>
      </c>
      <c r="G60" s="51">
        <v>0</v>
      </c>
      <c r="H60" s="51">
        <v>2537487</v>
      </c>
      <c r="I60" s="51">
        <v>-2537487</v>
      </c>
      <c r="J60" s="51">
        <v>0</v>
      </c>
      <c r="K60" s="51">
        <v>15363</v>
      </c>
      <c r="L60" s="51">
        <v>-15363</v>
      </c>
      <c r="M60" s="51">
        <v>0</v>
      </c>
      <c r="N60" s="51">
        <v>0</v>
      </c>
    </row>
    <row r="61" spans="1:14" outlineLevel="2" x14ac:dyDescent="0.35">
      <c r="A61" s="82" t="s">
        <v>351</v>
      </c>
      <c r="B61" s="66" t="s">
        <v>202</v>
      </c>
      <c r="C61" s="51">
        <v>2268923</v>
      </c>
      <c r="D61" s="51">
        <v>-4147</v>
      </c>
      <c r="E61" s="51">
        <v>0</v>
      </c>
      <c r="F61" s="51">
        <v>0</v>
      </c>
      <c r="G61" s="51">
        <v>0</v>
      </c>
      <c r="H61" s="51">
        <v>2264776</v>
      </c>
      <c r="I61" s="51">
        <v>-2264776</v>
      </c>
      <c r="J61" s="51">
        <v>0</v>
      </c>
      <c r="K61" s="51">
        <v>48676</v>
      </c>
      <c r="L61" s="51">
        <v>-48676</v>
      </c>
      <c r="M61" s="51">
        <v>0</v>
      </c>
      <c r="N61" s="51">
        <v>0</v>
      </c>
    </row>
    <row r="62" spans="1:14" outlineLevel="2" x14ac:dyDescent="0.35">
      <c r="A62" s="82" t="s">
        <v>351</v>
      </c>
      <c r="B62" s="66" t="s">
        <v>201</v>
      </c>
      <c r="C62" s="51">
        <v>1876712</v>
      </c>
      <c r="D62" s="51">
        <v>-2393</v>
      </c>
      <c r="E62" s="51">
        <v>0</v>
      </c>
      <c r="F62" s="51">
        <v>0</v>
      </c>
      <c r="G62" s="51">
        <v>0</v>
      </c>
      <c r="H62" s="51">
        <v>1874319</v>
      </c>
      <c r="I62" s="51">
        <v>-1874319</v>
      </c>
      <c r="J62" s="51">
        <v>0</v>
      </c>
      <c r="K62" s="51">
        <v>84889</v>
      </c>
      <c r="L62" s="51">
        <v>-84889</v>
      </c>
      <c r="M62" s="51">
        <v>0</v>
      </c>
      <c r="N62" s="51">
        <v>0</v>
      </c>
    </row>
    <row r="63" spans="1:14" outlineLevel="2" x14ac:dyDescent="0.35">
      <c r="A63" s="82" t="s">
        <v>351</v>
      </c>
      <c r="B63" s="66" t="s">
        <v>200</v>
      </c>
      <c r="C63" s="51">
        <v>1654811</v>
      </c>
      <c r="D63" s="51">
        <v>-7729</v>
      </c>
      <c r="E63" s="51">
        <v>0</v>
      </c>
      <c r="F63" s="51">
        <v>0</v>
      </c>
      <c r="G63" s="51">
        <v>0</v>
      </c>
      <c r="H63" s="51">
        <v>1647082</v>
      </c>
      <c r="I63" s="51">
        <v>-1647082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</row>
    <row r="64" spans="1:14" outlineLevel="2" x14ac:dyDescent="0.35">
      <c r="A64" s="82" t="s">
        <v>351</v>
      </c>
      <c r="B64" s="66" t="s">
        <v>199</v>
      </c>
      <c r="C64" s="51">
        <v>1633753</v>
      </c>
      <c r="D64" s="51">
        <v>-10146</v>
      </c>
      <c r="E64" s="51">
        <v>0</v>
      </c>
      <c r="F64" s="51">
        <v>0</v>
      </c>
      <c r="G64" s="51">
        <v>0</v>
      </c>
      <c r="H64" s="51">
        <v>1623607</v>
      </c>
      <c r="I64" s="51">
        <v>-1623607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</row>
    <row r="65" spans="1:14" outlineLevel="2" x14ac:dyDescent="0.35">
      <c r="A65" s="82" t="s">
        <v>351</v>
      </c>
      <c r="B65" s="66" t="s">
        <v>198</v>
      </c>
      <c r="C65" s="51">
        <v>1513644</v>
      </c>
      <c r="D65" s="51">
        <v>-11217</v>
      </c>
      <c r="E65" s="51">
        <v>0</v>
      </c>
      <c r="F65" s="51">
        <v>0</v>
      </c>
      <c r="G65" s="51">
        <v>0</v>
      </c>
      <c r="H65" s="51">
        <v>1502427</v>
      </c>
      <c r="I65" s="51">
        <v>-1502427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</row>
    <row r="66" spans="1:14" outlineLevel="2" x14ac:dyDescent="0.35">
      <c r="A66" s="82" t="s">
        <v>351</v>
      </c>
      <c r="B66" s="66" t="s">
        <v>197</v>
      </c>
      <c r="C66" s="51">
        <v>1363206</v>
      </c>
      <c r="D66" s="51">
        <v>-8230</v>
      </c>
      <c r="E66" s="51">
        <v>0</v>
      </c>
      <c r="F66" s="51">
        <v>0</v>
      </c>
      <c r="G66" s="51">
        <v>0</v>
      </c>
      <c r="H66" s="51">
        <v>1354976</v>
      </c>
      <c r="I66" s="51">
        <v>-1354976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</row>
    <row r="67" spans="1:14" outlineLevel="2" x14ac:dyDescent="0.35">
      <c r="A67" s="82" t="s">
        <v>351</v>
      </c>
      <c r="B67" s="66" t="s">
        <v>196</v>
      </c>
      <c r="C67" s="51">
        <v>1323775</v>
      </c>
      <c r="D67" s="51">
        <v>-9549</v>
      </c>
      <c r="E67" s="51">
        <v>0</v>
      </c>
      <c r="F67" s="51">
        <v>0</v>
      </c>
      <c r="G67" s="51">
        <v>0</v>
      </c>
      <c r="H67" s="51">
        <v>1314226</v>
      </c>
      <c r="I67" s="51">
        <v>-1314226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</row>
    <row r="68" spans="1:14" outlineLevel="1" x14ac:dyDescent="0.35">
      <c r="A68" s="82" t="s">
        <v>351</v>
      </c>
      <c r="B68" s="66" t="s">
        <v>195</v>
      </c>
      <c r="C68" s="51">
        <v>1258007</v>
      </c>
      <c r="D68" s="51">
        <v>-10018</v>
      </c>
      <c r="E68" s="51">
        <v>0</v>
      </c>
      <c r="F68" s="51">
        <v>0</v>
      </c>
      <c r="G68" s="51">
        <v>0</v>
      </c>
      <c r="H68" s="51">
        <v>1247989</v>
      </c>
      <c r="I68" s="51">
        <v>-1247989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</row>
    <row r="69" spans="1:14" outlineLevel="1" x14ac:dyDescent="0.35">
      <c r="A69" s="82" t="s">
        <v>351</v>
      </c>
      <c r="B69" s="66" t="s">
        <v>194</v>
      </c>
      <c r="C69" s="51">
        <v>1140357</v>
      </c>
      <c r="D69" s="51">
        <v>-10043</v>
      </c>
      <c r="E69" s="51">
        <v>0</v>
      </c>
      <c r="F69" s="51">
        <v>0</v>
      </c>
      <c r="G69" s="51">
        <v>0</v>
      </c>
      <c r="H69" s="51">
        <v>1130314</v>
      </c>
      <c r="I69" s="51">
        <v>-1130314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</row>
    <row r="70" spans="1:14" outlineLevel="1" x14ac:dyDescent="0.35">
      <c r="A70" s="82" t="s">
        <v>351</v>
      </c>
      <c r="B70" s="66" t="s">
        <v>193</v>
      </c>
      <c r="C70" s="51">
        <v>1066905</v>
      </c>
      <c r="D70" s="51">
        <v>-11091</v>
      </c>
      <c r="E70" s="51">
        <v>0</v>
      </c>
      <c r="F70" s="51">
        <v>0</v>
      </c>
      <c r="G70" s="51">
        <v>0</v>
      </c>
      <c r="H70" s="51">
        <v>1055814</v>
      </c>
      <c r="I70" s="51">
        <v>-1055814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</row>
    <row r="71" spans="1:14" outlineLevel="2" x14ac:dyDescent="0.35">
      <c r="A71" s="65" t="s">
        <v>169</v>
      </c>
      <c r="B71" s="81" t="s">
        <v>12</v>
      </c>
      <c r="C71" s="42">
        <f>SUBTOTAL(109,Program246[(C)
Program
Costs])</f>
        <v>43224778</v>
      </c>
      <c r="D71" s="42">
        <f>SUBTOTAL(109,Program246[(D)
Prior Period Adjustments])</f>
        <v>-290926</v>
      </c>
      <c r="E71" s="42">
        <f>SUBTOTAL(109,Program246[(E)
Current Period Desk 
Reviews])</f>
        <v>-59224</v>
      </c>
      <c r="F71" s="42">
        <f>SUBTOTAL(109,Program246[(F)
Current Period 
Final 
Audits])</f>
        <v>-904048</v>
      </c>
      <c r="G71" s="42">
        <f>SUBTOTAL(109,Program246[(G)
Current Period 
Other Adjustments])</f>
        <v>-10005</v>
      </c>
      <c r="H71" s="42">
        <f>SUBTOTAL(109,Program246[(H)
Net Program Costs
Sum (C through G)])</f>
        <v>41960575</v>
      </c>
      <c r="I71" s="42">
        <f>SUBTOTAL(109,Program246[(I)
Payments
 and Offsets])</f>
        <v>-39886337</v>
      </c>
      <c r="J71" s="42">
        <f>SUBTOTAL(109,Program246[(J)
Accounts Payable Balance
(H + I)])</f>
        <v>2074238</v>
      </c>
      <c r="K71" s="42">
        <f>SUBTOTAL(109,Program246[(K)
Established 
Accounts Receivable])</f>
        <v>1291305</v>
      </c>
      <c r="L71" s="42">
        <f>SUBTOTAL(109,Program246[(L)
Recovered
 Accounts Receivable])</f>
        <v>-1284637</v>
      </c>
      <c r="M71" s="42">
        <f>SUBTOTAL(109,Program246[(M)
Accounts Receivable Balance
(K + L)])</f>
        <v>6668</v>
      </c>
      <c r="N71" s="42">
        <f>SUBTOTAL(109,Program246[(N)
Net Balance
(J minus M)])</f>
        <v>2067570</v>
      </c>
    </row>
    <row r="72" spans="1:14" outlineLevel="2" x14ac:dyDescent="0.35">
      <c r="A72" s="63" t="s">
        <v>33</v>
      </c>
      <c r="B72" s="62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ht="77.5" outlineLevel="1" x14ac:dyDescent="0.35">
      <c r="A73" s="60" t="s">
        <v>185</v>
      </c>
      <c r="B73" s="59" t="s">
        <v>184</v>
      </c>
      <c r="C73" s="58" t="s">
        <v>183</v>
      </c>
      <c r="D73" s="58" t="s">
        <v>182</v>
      </c>
      <c r="E73" s="56" t="s">
        <v>181</v>
      </c>
      <c r="F73" s="56" t="s">
        <v>180</v>
      </c>
      <c r="G73" s="56" t="s">
        <v>179</v>
      </c>
      <c r="H73" s="57" t="s">
        <v>674</v>
      </c>
      <c r="I73" s="55" t="s">
        <v>178</v>
      </c>
      <c r="J73" s="55" t="s">
        <v>177</v>
      </c>
      <c r="K73" s="56" t="s">
        <v>176</v>
      </c>
      <c r="L73" s="55" t="s">
        <v>175</v>
      </c>
      <c r="M73" s="55" t="s">
        <v>174</v>
      </c>
      <c r="N73" s="54" t="s">
        <v>173</v>
      </c>
    </row>
    <row r="74" spans="1:14" outlineLevel="1" x14ac:dyDescent="0.35">
      <c r="A74" s="53" t="s">
        <v>350</v>
      </c>
      <c r="B74" s="66" t="s">
        <v>188</v>
      </c>
      <c r="C74" s="51">
        <v>464018</v>
      </c>
      <c r="D74" s="51">
        <v>-18103</v>
      </c>
      <c r="E74" s="51">
        <v>0</v>
      </c>
      <c r="F74" s="51">
        <v>0</v>
      </c>
      <c r="G74" s="51">
        <v>0</v>
      </c>
      <c r="H74" s="51">
        <v>445915</v>
      </c>
      <c r="I74" s="51">
        <v>-445915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</row>
    <row r="75" spans="1:14" outlineLevel="1" x14ac:dyDescent="0.35">
      <c r="A75" s="82" t="s">
        <v>350</v>
      </c>
      <c r="B75" s="66" t="s">
        <v>186</v>
      </c>
      <c r="C75" s="51">
        <v>2538528</v>
      </c>
      <c r="D75" s="51">
        <v>-138940</v>
      </c>
      <c r="E75" s="51">
        <v>0</v>
      </c>
      <c r="F75" s="51">
        <v>0</v>
      </c>
      <c r="G75" s="51">
        <v>0</v>
      </c>
      <c r="H75" s="51">
        <v>2399588</v>
      </c>
      <c r="I75" s="51">
        <v>-2399588</v>
      </c>
      <c r="J75" s="51">
        <v>0</v>
      </c>
      <c r="K75" s="51">
        <v>75953</v>
      </c>
      <c r="L75" s="51">
        <v>-75953</v>
      </c>
      <c r="M75" s="51">
        <v>0</v>
      </c>
      <c r="N75" s="51">
        <v>0</v>
      </c>
    </row>
    <row r="76" spans="1:14" outlineLevel="2" x14ac:dyDescent="0.35">
      <c r="A76" s="82" t="s">
        <v>350</v>
      </c>
      <c r="B76" s="66" t="s">
        <v>227</v>
      </c>
      <c r="C76" s="51">
        <v>2379</v>
      </c>
      <c r="D76" s="51">
        <v>0</v>
      </c>
      <c r="E76" s="51">
        <v>0</v>
      </c>
      <c r="F76" s="51">
        <v>0</v>
      </c>
      <c r="G76" s="51">
        <v>0</v>
      </c>
      <c r="H76" s="51">
        <v>2379</v>
      </c>
      <c r="I76" s="51">
        <v>-2379</v>
      </c>
      <c r="J76" s="51">
        <v>0</v>
      </c>
      <c r="K76" s="51">
        <v>413470</v>
      </c>
      <c r="L76" s="51">
        <v>-413470</v>
      </c>
      <c r="M76" s="51">
        <v>0</v>
      </c>
      <c r="N76" s="51">
        <v>0</v>
      </c>
    </row>
    <row r="77" spans="1:14" s="71" customFormat="1" ht="16" outlineLevel="2" thickBot="1" x14ac:dyDescent="0.4">
      <c r="A77" s="50" t="s">
        <v>168</v>
      </c>
      <c r="B77" s="79" t="s">
        <v>12</v>
      </c>
      <c r="C77" s="48">
        <f>SUBTOTAL(109,Program3[(C)
Program
Costs])</f>
        <v>3004925</v>
      </c>
      <c r="D77" s="48">
        <f>SUBTOTAL(109,Program3[(D)
Prior Period Adjustments])</f>
        <v>-157043</v>
      </c>
      <c r="E77" s="48">
        <f>SUBTOTAL(109,Program3[(E)
Current Period Desk 
Reviews])</f>
        <v>0</v>
      </c>
      <c r="F77" s="48">
        <f>SUBTOTAL(109,Program3[(F)
Current Period 
Final 
Audits])</f>
        <v>0</v>
      </c>
      <c r="G77" s="48">
        <f>SUBTOTAL(109,Program3[(G)
Current Period 
Other Adjustments])</f>
        <v>0</v>
      </c>
      <c r="H77" s="48">
        <f>SUBTOTAL(109,Program3[(H)
Net Program Costs
Sum (C through G)])</f>
        <v>2847882</v>
      </c>
      <c r="I77" s="48">
        <f>SUBTOTAL(109,Program3[(I)
Payments
 and Offsets])</f>
        <v>-2847882</v>
      </c>
      <c r="J77" s="48">
        <f>SUBTOTAL(109,Program3[(J)
Accounts Payable Balance
(H + I)])</f>
        <v>0</v>
      </c>
      <c r="K77" s="48">
        <f>SUBTOTAL(109,Program3[(K)
Established 
Accounts Receivable])</f>
        <v>489423</v>
      </c>
      <c r="L77" s="48">
        <f>SUBTOTAL(109,Program3[(L)
Recovered
 Accounts Receivable])</f>
        <v>-489423</v>
      </c>
      <c r="M77" s="48">
        <f>SUBTOTAL(109,Program3[(M)
Accounts Receivable Balance
(K + L)])</f>
        <v>0</v>
      </c>
      <c r="N77" s="48">
        <f>SUBTOTAL(109,Program3[(N)
Net Balance
(J minus M)])</f>
        <v>0</v>
      </c>
    </row>
    <row r="78" spans="1:14" outlineLevel="2" x14ac:dyDescent="0.35">
      <c r="A78" s="63" t="s">
        <v>33</v>
      </c>
      <c r="B78" s="62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ht="77.5" outlineLevel="2" x14ac:dyDescent="0.35">
      <c r="A79" s="60" t="s">
        <v>185</v>
      </c>
      <c r="B79" s="59" t="s">
        <v>184</v>
      </c>
      <c r="C79" s="58" t="s">
        <v>183</v>
      </c>
      <c r="D79" s="58" t="s">
        <v>182</v>
      </c>
      <c r="E79" s="56" t="s">
        <v>181</v>
      </c>
      <c r="F79" s="56" t="s">
        <v>180</v>
      </c>
      <c r="G79" s="56" t="s">
        <v>179</v>
      </c>
      <c r="H79" s="57" t="s">
        <v>674</v>
      </c>
      <c r="I79" s="55" t="s">
        <v>178</v>
      </c>
      <c r="J79" s="55" t="s">
        <v>177</v>
      </c>
      <c r="K79" s="56" t="s">
        <v>176</v>
      </c>
      <c r="L79" s="55" t="s">
        <v>175</v>
      </c>
      <c r="M79" s="55" t="s">
        <v>174</v>
      </c>
      <c r="N79" s="54" t="s">
        <v>173</v>
      </c>
    </row>
    <row r="80" spans="1:14" outlineLevel="2" x14ac:dyDescent="0.35">
      <c r="A80" s="53" t="s">
        <v>349</v>
      </c>
      <c r="B80" s="66" t="s">
        <v>198</v>
      </c>
      <c r="C80" s="51">
        <v>905125</v>
      </c>
      <c r="D80" s="51">
        <v>-121042</v>
      </c>
      <c r="E80" s="51">
        <v>0</v>
      </c>
      <c r="F80" s="51">
        <v>0</v>
      </c>
      <c r="G80" s="51">
        <v>0</v>
      </c>
      <c r="H80" s="51">
        <v>784083</v>
      </c>
      <c r="I80" s="51">
        <v>-784083</v>
      </c>
      <c r="J80" s="51">
        <v>0</v>
      </c>
      <c r="K80" s="51">
        <v>17</v>
      </c>
      <c r="L80" s="51">
        <v>-17</v>
      </c>
      <c r="M80" s="51">
        <v>0</v>
      </c>
      <c r="N80" s="51">
        <v>0</v>
      </c>
    </row>
    <row r="81" spans="1:14" outlineLevel="2" x14ac:dyDescent="0.35">
      <c r="A81" s="82" t="s">
        <v>349</v>
      </c>
      <c r="B81" s="66" t="s">
        <v>197</v>
      </c>
      <c r="C81" s="51">
        <v>876259</v>
      </c>
      <c r="D81" s="51">
        <v>-153028</v>
      </c>
      <c r="E81" s="51">
        <v>0</v>
      </c>
      <c r="F81" s="51">
        <v>0</v>
      </c>
      <c r="G81" s="51">
        <v>0</v>
      </c>
      <c r="H81" s="51">
        <v>723231</v>
      </c>
      <c r="I81" s="51">
        <v>-723231</v>
      </c>
      <c r="J81" s="51">
        <v>0</v>
      </c>
      <c r="K81" s="51">
        <v>206680</v>
      </c>
      <c r="L81" s="51">
        <v>-206680</v>
      </c>
      <c r="M81" s="51">
        <v>0</v>
      </c>
      <c r="N81" s="51">
        <v>0</v>
      </c>
    </row>
    <row r="82" spans="1:14" outlineLevel="2" x14ac:dyDescent="0.35">
      <c r="A82" s="82" t="s">
        <v>349</v>
      </c>
      <c r="B82" s="66" t="s">
        <v>196</v>
      </c>
      <c r="C82" s="51">
        <v>857824</v>
      </c>
      <c r="D82" s="51">
        <v>-78786</v>
      </c>
      <c r="E82" s="51">
        <v>0</v>
      </c>
      <c r="F82" s="51">
        <v>0</v>
      </c>
      <c r="G82" s="51">
        <v>0</v>
      </c>
      <c r="H82" s="51">
        <v>779038</v>
      </c>
      <c r="I82" s="51">
        <v>-779038</v>
      </c>
      <c r="J82" s="51">
        <v>0</v>
      </c>
      <c r="K82" s="51">
        <v>120196</v>
      </c>
      <c r="L82" s="51">
        <v>-120196</v>
      </c>
      <c r="M82" s="51">
        <v>0</v>
      </c>
      <c r="N82" s="51">
        <v>0</v>
      </c>
    </row>
    <row r="83" spans="1:14" outlineLevel="2" x14ac:dyDescent="0.35">
      <c r="A83" s="82" t="s">
        <v>349</v>
      </c>
      <c r="B83" s="66" t="s">
        <v>195</v>
      </c>
      <c r="C83" s="51">
        <v>775919</v>
      </c>
      <c r="D83" s="51">
        <v>-5577</v>
      </c>
      <c r="E83" s="51">
        <v>0</v>
      </c>
      <c r="F83" s="51">
        <v>0</v>
      </c>
      <c r="G83" s="51">
        <v>0</v>
      </c>
      <c r="H83" s="51">
        <v>770342</v>
      </c>
      <c r="I83" s="51">
        <v>-770342</v>
      </c>
      <c r="J83" s="51">
        <v>0</v>
      </c>
      <c r="K83" s="51">
        <v>162968</v>
      </c>
      <c r="L83" s="51">
        <v>-162968</v>
      </c>
      <c r="M83" s="51">
        <v>0</v>
      </c>
      <c r="N83" s="51">
        <v>0</v>
      </c>
    </row>
    <row r="84" spans="1:14" outlineLevel="2" x14ac:dyDescent="0.35">
      <c r="A84" s="82" t="s">
        <v>349</v>
      </c>
      <c r="B84" s="66" t="s">
        <v>194</v>
      </c>
      <c r="C84" s="51">
        <v>904225</v>
      </c>
      <c r="D84" s="51">
        <v>-1924</v>
      </c>
      <c r="E84" s="51">
        <v>0</v>
      </c>
      <c r="F84" s="51">
        <v>0</v>
      </c>
      <c r="G84" s="51">
        <v>0</v>
      </c>
      <c r="H84" s="51">
        <v>902301</v>
      </c>
      <c r="I84" s="51">
        <v>-902301</v>
      </c>
      <c r="J84" s="51">
        <v>0</v>
      </c>
      <c r="K84" s="51">
        <v>102602</v>
      </c>
      <c r="L84" s="51">
        <v>-102602</v>
      </c>
      <c r="M84" s="51">
        <v>0</v>
      </c>
      <c r="N84" s="51">
        <v>0</v>
      </c>
    </row>
    <row r="85" spans="1:14" outlineLevel="2" x14ac:dyDescent="0.35">
      <c r="A85" s="82" t="s">
        <v>349</v>
      </c>
      <c r="B85" s="66" t="s">
        <v>193</v>
      </c>
      <c r="C85" s="51">
        <v>935365</v>
      </c>
      <c r="D85" s="51">
        <v>-6464</v>
      </c>
      <c r="E85" s="51">
        <v>0</v>
      </c>
      <c r="F85" s="51">
        <v>0</v>
      </c>
      <c r="G85" s="51">
        <v>0</v>
      </c>
      <c r="H85" s="51">
        <v>928901</v>
      </c>
      <c r="I85" s="51">
        <v>-928901</v>
      </c>
      <c r="J85" s="51">
        <v>0</v>
      </c>
      <c r="K85" s="51">
        <v>15833</v>
      </c>
      <c r="L85" s="51">
        <v>-15833</v>
      </c>
      <c r="M85" s="51">
        <v>0</v>
      </c>
      <c r="N85" s="51">
        <v>0</v>
      </c>
    </row>
    <row r="86" spans="1:14" outlineLevel="2" x14ac:dyDescent="0.35">
      <c r="A86" s="82" t="s">
        <v>349</v>
      </c>
      <c r="B86" s="66" t="s">
        <v>192</v>
      </c>
      <c r="C86" s="51">
        <v>670121</v>
      </c>
      <c r="D86" s="51">
        <v>-1480</v>
      </c>
      <c r="E86" s="51">
        <v>0</v>
      </c>
      <c r="F86" s="51">
        <v>0</v>
      </c>
      <c r="G86" s="51">
        <v>0</v>
      </c>
      <c r="H86" s="51">
        <v>668641</v>
      </c>
      <c r="I86" s="51">
        <v>-668641</v>
      </c>
      <c r="J86" s="51">
        <v>0</v>
      </c>
      <c r="K86" s="51">
        <v>238081</v>
      </c>
      <c r="L86" s="51">
        <v>-238081</v>
      </c>
      <c r="M86" s="51">
        <v>0</v>
      </c>
      <c r="N86" s="51">
        <v>0</v>
      </c>
    </row>
    <row r="87" spans="1:14" outlineLevel="2" x14ac:dyDescent="0.35">
      <c r="A87" s="82" t="s">
        <v>349</v>
      </c>
      <c r="B87" s="66" t="s">
        <v>191</v>
      </c>
      <c r="C87" s="51">
        <v>911973</v>
      </c>
      <c r="D87" s="51">
        <v>-153828</v>
      </c>
      <c r="E87" s="51">
        <v>0</v>
      </c>
      <c r="F87" s="51">
        <v>0</v>
      </c>
      <c r="G87" s="51">
        <v>0</v>
      </c>
      <c r="H87" s="51">
        <v>758145</v>
      </c>
      <c r="I87" s="51">
        <v>-758145</v>
      </c>
      <c r="J87" s="51">
        <v>0</v>
      </c>
      <c r="K87" s="51">
        <v>231816</v>
      </c>
      <c r="L87" s="51">
        <v>-231816</v>
      </c>
      <c r="M87" s="51">
        <v>0</v>
      </c>
      <c r="N87" s="51">
        <v>0</v>
      </c>
    </row>
    <row r="88" spans="1:14" outlineLevel="1" x14ac:dyDescent="0.35">
      <c r="A88" s="82" t="s">
        <v>349</v>
      </c>
      <c r="B88" s="66" t="s">
        <v>190</v>
      </c>
      <c r="C88" s="51">
        <v>925182</v>
      </c>
      <c r="D88" s="51">
        <v>-60513</v>
      </c>
      <c r="E88" s="51">
        <v>0</v>
      </c>
      <c r="F88" s="51">
        <v>0</v>
      </c>
      <c r="G88" s="51">
        <v>0</v>
      </c>
      <c r="H88" s="51">
        <v>864669</v>
      </c>
      <c r="I88" s="51">
        <v>-864669</v>
      </c>
      <c r="J88" s="51">
        <v>0</v>
      </c>
      <c r="K88" s="51">
        <v>90181</v>
      </c>
      <c r="L88" s="51">
        <v>-90181</v>
      </c>
      <c r="M88" s="51">
        <v>0</v>
      </c>
      <c r="N88" s="51">
        <v>0</v>
      </c>
    </row>
    <row r="89" spans="1:14" outlineLevel="1" x14ac:dyDescent="0.35">
      <c r="A89" s="82" t="s">
        <v>349</v>
      </c>
      <c r="B89" s="66" t="s">
        <v>189</v>
      </c>
      <c r="C89" s="51">
        <v>814153</v>
      </c>
      <c r="D89" s="51">
        <v>-76465</v>
      </c>
      <c r="E89" s="51">
        <v>0</v>
      </c>
      <c r="F89" s="51">
        <v>0</v>
      </c>
      <c r="G89" s="51">
        <v>0</v>
      </c>
      <c r="H89" s="51">
        <v>737688</v>
      </c>
      <c r="I89" s="51">
        <v>-737688</v>
      </c>
      <c r="J89" s="51">
        <v>0</v>
      </c>
      <c r="K89" s="51">
        <v>129376</v>
      </c>
      <c r="L89" s="51">
        <v>-129376</v>
      </c>
      <c r="M89" s="51">
        <v>0</v>
      </c>
      <c r="N89" s="51">
        <v>0</v>
      </c>
    </row>
    <row r="90" spans="1:14" outlineLevel="1" x14ac:dyDescent="0.35">
      <c r="A90" s="82" t="s">
        <v>349</v>
      </c>
      <c r="B90" s="66" t="s">
        <v>188</v>
      </c>
      <c r="C90" s="51">
        <v>765531</v>
      </c>
      <c r="D90" s="51">
        <v>-31649</v>
      </c>
      <c r="E90" s="51">
        <v>0</v>
      </c>
      <c r="F90" s="51">
        <v>0</v>
      </c>
      <c r="G90" s="51">
        <v>0</v>
      </c>
      <c r="H90" s="51">
        <v>733882</v>
      </c>
      <c r="I90" s="51">
        <v>-733882</v>
      </c>
      <c r="J90" s="51">
        <v>0</v>
      </c>
      <c r="K90" s="51">
        <v>35882</v>
      </c>
      <c r="L90" s="51">
        <v>-35882</v>
      </c>
      <c r="M90" s="51">
        <v>0</v>
      </c>
      <c r="N90" s="51">
        <v>0</v>
      </c>
    </row>
    <row r="91" spans="1:14" outlineLevel="2" x14ac:dyDescent="0.35">
      <c r="A91" s="82" t="s">
        <v>349</v>
      </c>
      <c r="B91" s="66" t="s">
        <v>186</v>
      </c>
      <c r="C91" s="51">
        <v>432910</v>
      </c>
      <c r="D91" s="51">
        <v>-9682</v>
      </c>
      <c r="E91" s="51">
        <v>0</v>
      </c>
      <c r="F91" s="51">
        <v>0</v>
      </c>
      <c r="G91" s="51">
        <v>0</v>
      </c>
      <c r="H91" s="51">
        <v>423228</v>
      </c>
      <c r="I91" s="51">
        <v>-423228</v>
      </c>
      <c r="J91" s="51">
        <v>0</v>
      </c>
      <c r="K91" s="51">
        <v>25515</v>
      </c>
      <c r="L91" s="51">
        <v>-25515</v>
      </c>
      <c r="M91" s="51">
        <v>0</v>
      </c>
      <c r="N91" s="51">
        <v>0</v>
      </c>
    </row>
    <row r="92" spans="1:14" outlineLevel="2" x14ac:dyDescent="0.35">
      <c r="A92" s="82" t="s">
        <v>349</v>
      </c>
      <c r="B92" s="66" t="s">
        <v>227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177723</v>
      </c>
      <c r="L92" s="51">
        <v>-177723</v>
      </c>
      <c r="M92" s="51">
        <v>0</v>
      </c>
      <c r="N92" s="51">
        <v>0</v>
      </c>
    </row>
    <row r="93" spans="1:14" outlineLevel="2" x14ac:dyDescent="0.35">
      <c r="A93" s="65" t="s">
        <v>167</v>
      </c>
      <c r="B93" s="81" t="s">
        <v>12</v>
      </c>
      <c r="C93" s="42">
        <f>SUBTOTAL(109,Program1[(C)
Program
Costs])</f>
        <v>9774587</v>
      </c>
      <c r="D93" s="42">
        <f>SUBTOTAL(109,Program1[(D)
Prior Period Adjustments])</f>
        <v>-700438</v>
      </c>
      <c r="E93" s="42">
        <f>SUBTOTAL(109,Program1[(E)
Current Period Desk 
Reviews])</f>
        <v>0</v>
      </c>
      <c r="F93" s="42">
        <f>SUBTOTAL(109,Program1[(F)
Current Period 
Final 
Audits])</f>
        <v>0</v>
      </c>
      <c r="G93" s="42">
        <f>SUBTOTAL(109,Program1[(G)
Current Period 
Other Adjustments])</f>
        <v>0</v>
      </c>
      <c r="H93" s="42">
        <f>SUBTOTAL(109,Program1[(H)
Net Program Costs
Sum (C through G)])</f>
        <v>9074149</v>
      </c>
      <c r="I93" s="42">
        <f>SUBTOTAL(109,Program1[(I)
Payments
 and Offsets])</f>
        <v>-9074149</v>
      </c>
      <c r="J93" s="42">
        <f>SUBTOTAL(109,Program1[(J)
Accounts Payable Balance
(H + I)])</f>
        <v>0</v>
      </c>
      <c r="K93" s="42">
        <f>SUBTOTAL(109,Program1[(K)
Established 
Accounts Receivable])</f>
        <v>1536870</v>
      </c>
      <c r="L93" s="42">
        <f>SUBTOTAL(109,Program1[(L)
Recovered
 Accounts Receivable])</f>
        <v>-1536870</v>
      </c>
      <c r="M93" s="42">
        <f>SUBTOTAL(109,Program1[(M)
Accounts Receivable Balance
(K + L)])</f>
        <v>0</v>
      </c>
      <c r="N93" s="42">
        <f>SUBTOTAL(109,Program1[(N)
Net Balance
(J minus M)])</f>
        <v>0</v>
      </c>
    </row>
    <row r="94" spans="1:14" outlineLevel="2" x14ac:dyDescent="0.35">
      <c r="A94" s="63" t="s">
        <v>33</v>
      </c>
      <c r="B94" s="62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ht="77.5" outlineLevel="2" x14ac:dyDescent="0.35">
      <c r="A95" s="60" t="s">
        <v>185</v>
      </c>
      <c r="B95" s="59" t="s">
        <v>184</v>
      </c>
      <c r="C95" s="58" t="s">
        <v>183</v>
      </c>
      <c r="D95" s="58" t="s">
        <v>182</v>
      </c>
      <c r="E95" s="56" t="s">
        <v>181</v>
      </c>
      <c r="F95" s="56" t="s">
        <v>180</v>
      </c>
      <c r="G95" s="56" t="s">
        <v>179</v>
      </c>
      <c r="H95" s="57" t="s">
        <v>674</v>
      </c>
      <c r="I95" s="55" t="s">
        <v>178</v>
      </c>
      <c r="J95" s="55" t="s">
        <v>177</v>
      </c>
      <c r="K95" s="56" t="s">
        <v>176</v>
      </c>
      <c r="L95" s="55" t="s">
        <v>175</v>
      </c>
      <c r="M95" s="55" t="s">
        <v>174</v>
      </c>
      <c r="N95" s="54" t="s">
        <v>173</v>
      </c>
    </row>
    <row r="96" spans="1:14" outlineLevel="2" x14ac:dyDescent="0.35">
      <c r="A96" s="53" t="s">
        <v>348</v>
      </c>
      <c r="B96" s="66" t="s">
        <v>205</v>
      </c>
      <c r="C96" s="51">
        <v>1273401</v>
      </c>
      <c r="D96" s="51">
        <v>-1273401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</row>
    <row r="97" spans="1:14" outlineLevel="2" x14ac:dyDescent="0.35">
      <c r="A97" s="82" t="s">
        <v>348</v>
      </c>
      <c r="B97" s="66" t="s">
        <v>199</v>
      </c>
      <c r="C97" s="51">
        <v>7044</v>
      </c>
      <c r="D97" s="51">
        <v>0</v>
      </c>
      <c r="E97" s="51">
        <v>0</v>
      </c>
      <c r="F97" s="51">
        <v>0</v>
      </c>
      <c r="G97" s="51">
        <v>0</v>
      </c>
      <c r="H97" s="51">
        <v>7044</v>
      </c>
      <c r="I97" s="51">
        <v>-7044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</row>
    <row r="98" spans="1:14" outlineLevel="2" x14ac:dyDescent="0.35">
      <c r="A98" s="82" t="s">
        <v>348</v>
      </c>
      <c r="B98" s="66" t="s">
        <v>198</v>
      </c>
      <c r="C98" s="51">
        <v>3550</v>
      </c>
      <c r="D98" s="51">
        <v>0</v>
      </c>
      <c r="E98" s="51">
        <v>0</v>
      </c>
      <c r="F98" s="51">
        <v>0</v>
      </c>
      <c r="G98" s="51">
        <v>0</v>
      </c>
      <c r="H98" s="51">
        <v>3550</v>
      </c>
      <c r="I98" s="51">
        <v>-3550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</row>
    <row r="99" spans="1:14" outlineLevel="2" x14ac:dyDescent="0.35">
      <c r="A99" s="82" t="s">
        <v>348</v>
      </c>
      <c r="B99" s="66" t="s">
        <v>196</v>
      </c>
      <c r="C99" s="51">
        <v>427</v>
      </c>
      <c r="D99" s="51">
        <v>0</v>
      </c>
      <c r="E99" s="51">
        <v>0</v>
      </c>
      <c r="F99" s="51">
        <v>0</v>
      </c>
      <c r="G99" s="51">
        <v>0</v>
      </c>
      <c r="H99" s="51">
        <v>427</v>
      </c>
      <c r="I99" s="51">
        <v>-427</v>
      </c>
      <c r="J99" s="51">
        <v>0</v>
      </c>
      <c r="K99" s="51">
        <v>23</v>
      </c>
      <c r="L99" s="51">
        <v>-23</v>
      </c>
      <c r="M99" s="51">
        <v>0</v>
      </c>
      <c r="N99" s="51">
        <v>0</v>
      </c>
    </row>
    <row r="100" spans="1:14" outlineLevel="1" x14ac:dyDescent="0.35">
      <c r="A100" s="82" t="s">
        <v>348</v>
      </c>
      <c r="B100" s="66" t="s">
        <v>195</v>
      </c>
      <c r="C100" s="51">
        <v>411</v>
      </c>
      <c r="D100" s="51">
        <v>0</v>
      </c>
      <c r="E100" s="51">
        <v>0</v>
      </c>
      <c r="F100" s="51">
        <v>0</v>
      </c>
      <c r="G100" s="51">
        <v>0</v>
      </c>
      <c r="H100" s="51">
        <v>411</v>
      </c>
      <c r="I100" s="51">
        <v>-411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</row>
    <row r="101" spans="1:14" outlineLevel="1" x14ac:dyDescent="0.35">
      <c r="A101" s="82" t="s">
        <v>348</v>
      </c>
      <c r="B101" s="66" t="s">
        <v>194</v>
      </c>
      <c r="C101" s="51">
        <v>5266</v>
      </c>
      <c r="D101" s="51">
        <v>0</v>
      </c>
      <c r="E101" s="51">
        <v>0</v>
      </c>
      <c r="F101" s="51">
        <v>0</v>
      </c>
      <c r="G101" s="51">
        <v>0</v>
      </c>
      <c r="H101" s="51">
        <v>5266</v>
      </c>
      <c r="I101" s="51">
        <v>-5266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</row>
    <row r="102" spans="1:14" outlineLevel="1" x14ac:dyDescent="0.35">
      <c r="A102" s="82" t="s">
        <v>348</v>
      </c>
      <c r="B102" s="66" t="s">
        <v>193</v>
      </c>
      <c r="C102" s="51">
        <v>7095</v>
      </c>
      <c r="D102" s="51">
        <v>0</v>
      </c>
      <c r="E102" s="51">
        <v>0</v>
      </c>
      <c r="F102" s="51">
        <v>0</v>
      </c>
      <c r="G102" s="51">
        <v>0</v>
      </c>
      <c r="H102" s="51">
        <v>7095</v>
      </c>
      <c r="I102" s="51">
        <v>-7095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</row>
    <row r="103" spans="1:14" outlineLevel="2" x14ac:dyDescent="0.35">
      <c r="A103" s="82" t="s">
        <v>348</v>
      </c>
      <c r="B103" s="66" t="s">
        <v>192</v>
      </c>
      <c r="C103" s="51">
        <v>14189</v>
      </c>
      <c r="D103" s="51">
        <v>0</v>
      </c>
      <c r="E103" s="51">
        <v>0</v>
      </c>
      <c r="F103" s="51">
        <v>0</v>
      </c>
      <c r="G103" s="51">
        <v>0</v>
      </c>
      <c r="H103" s="51">
        <v>14189</v>
      </c>
      <c r="I103" s="51">
        <v>-14189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</row>
    <row r="104" spans="1:14" outlineLevel="2" x14ac:dyDescent="0.35">
      <c r="A104" s="82" t="s">
        <v>348</v>
      </c>
      <c r="B104" s="66" t="s">
        <v>191</v>
      </c>
      <c r="C104" s="51">
        <v>13501</v>
      </c>
      <c r="D104" s="51">
        <v>0</v>
      </c>
      <c r="E104" s="51">
        <v>0</v>
      </c>
      <c r="F104" s="51">
        <v>0</v>
      </c>
      <c r="G104" s="51">
        <v>0</v>
      </c>
      <c r="H104" s="51">
        <v>13501</v>
      </c>
      <c r="I104" s="51">
        <v>-13501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</row>
    <row r="105" spans="1:14" outlineLevel="2" x14ac:dyDescent="0.35">
      <c r="A105" s="82" t="s">
        <v>348</v>
      </c>
      <c r="B105" s="66" t="s">
        <v>190</v>
      </c>
      <c r="C105" s="51">
        <v>12177</v>
      </c>
      <c r="D105" s="51">
        <v>0</v>
      </c>
      <c r="E105" s="51">
        <v>0</v>
      </c>
      <c r="F105" s="51">
        <v>0</v>
      </c>
      <c r="G105" s="51">
        <v>0</v>
      </c>
      <c r="H105" s="51">
        <v>12177</v>
      </c>
      <c r="I105" s="51">
        <v>-12177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</row>
    <row r="106" spans="1:14" outlineLevel="2" x14ac:dyDescent="0.35">
      <c r="A106" s="65" t="s">
        <v>166</v>
      </c>
      <c r="B106" s="81" t="s">
        <v>12</v>
      </c>
      <c r="C106" s="42">
        <f>SUBTOTAL(109,Program178[(C)
Program
Costs])</f>
        <v>1337061</v>
      </c>
      <c r="D106" s="42">
        <f>SUBTOTAL(109,Program178[(D)
Prior Period Adjustments])</f>
        <v>-1273401</v>
      </c>
      <c r="E106" s="42">
        <f>SUBTOTAL(109,Program178[(E)
Current Period Desk 
Reviews])</f>
        <v>0</v>
      </c>
      <c r="F106" s="42">
        <f>SUBTOTAL(109,Program178[(F)
Current Period 
Final 
Audits])</f>
        <v>0</v>
      </c>
      <c r="G106" s="42">
        <f>SUBTOTAL(109,Program178[(G)
Current Period 
Other Adjustments])</f>
        <v>0</v>
      </c>
      <c r="H106" s="42">
        <f>SUBTOTAL(109,Program178[(H)
Net Program Costs
Sum (C through G)])</f>
        <v>63660</v>
      </c>
      <c r="I106" s="42">
        <f>SUBTOTAL(109,Program178[(I)
Payments
 and Offsets])</f>
        <v>-63660</v>
      </c>
      <c r="J106" s="42">
        <f>SUBTOTAL(109,Program178[(J)
Accounts Payable Balance
(H + I)])</f>
        <v>0</v>
      </c>
      <c r="K106" s="42">
        <f>SUBTOTAL(109,Program178[(K)
Established 
Accounts Receivable])</f>
        <v>23</v>
      </c>
      <c r="L106" s="42">
        <f>SUBTOTAL(109,Program178[(L)
Recovered
 Accounts Receivable])</f>
        <v>-23</v>
      </c>
      <c r="M106" s="42">
        <f>SUBTOTAL(109,Program178[(M)
Accounts Receivable Balance
(K + L)])</f>
        <v>0</v>
      </c>
      <c r="N106" s="42">
        <f>SUBTOTAL(109,Program178[(N)
Net Balance
(J minus M)])</f>
        <v>0</v>
      </c>
    </row>
    <row r="107" spans="1:14" outlineLevel="2" x14ac:dyDescent="0.35">
      <c r="A107" s="63" t="s">
        <v>33</v>
      </c>
      <c r="B107" s="62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ht="77.5" outlineLevel="2" x14ac:dyDescent="0.35">
      <c r="A108" s="60" t="s">
        <v>185</v>
      </c>
      <c r="B108" s="59" t="s">
        <v>184</v>
      </c>
      <c r="C108" s="58" t="s">
        <v>183</v>
      </c>
      <c r="D108" s="58" t="s">
        <v>182</v>
      </c>
      <c r="E108" s="56" t="s">
        <v>181</v>
      </c>
      <c r="F108" s="56" t="s">
        <v>180</v>
      </c>
      <c r="G108" s="56" t="s">
        <v>179</v>
      </c>
      <c r="H108" s="57" t="s">
        <v>674</v>
      </c>
      <c r="I108" s="55" t="s">
        <v>178</v>
      </c>
      <c r="J108" s="55" t="s">
        <v>177</v>
      </c>
      <c r="K108" s="56" t="s">
        <v>176</v>
      </c>
      <c r="L108" s="55" t="s">
        <v>175</v>
      </c>
      <c r="M108" s="55" t="s">
        <v>174</v>
      </c>
      <c r="N108" s="54" t="s">
        <v>173</v>
      </c>
    </row>
    <row r="109" spans="1:14" outlineLevel="2" x14ac:dyDescent="0.35">
      <c r="A109" s="53" t="s">
        <v>347</v>
      </c>
      <c r="B109" s="66" t="s">
        <v>215</v>
      </c>
      <c r="C109" s="51">
        <v>709149</v>
      </c>
      <c r="D109" s="51">
        <v>0</v>
      </c>
      <c r="E109" s="51">
        <v>0</v>
      </c>
      <c r="F109" s="51">
        <v>0</v>
      </c>
      <c r="G109" s="51">
        <v>0</v>
      </c>
      <c r="H109" s="51">
        <v>709149</v>
      </c>
      <c r="I109" s="51">
        <v>0</v>
      </c>
      <c r="J109" s="51">
        <v>709149</v>
      </c>
      <c r="K109" s="51">
        <v>0</v>
      </c>
      <c r="L109" s="51">
        <v>0</v>
      </c>
      <c r="M109" s="51">
        <v>0</v>
      </c>
      <c r="N109" s="51">
        <v>709149</v>
      </c>
    </row>
    <row r="110" spans="1:14" outlineLevel="2" x14ac:dyDescent="0.35">
      <c r="A110" s="82" t="s">
        <v>347</v>
      </c>
      <c r="B110" s="66" t="s">
        <v>214</v>
      </c>
      <c r="C110" s="51">
        <v>587824</v>
      </c>
      <c r="D110" s="51">
        <v>0</v>
      </c>
      <c r="E110" s="51">
        <v>0</v>
      </c>
      <c r="F110" s="51">
        <v>0</v>
      </c>
      <c r="G110" s="51">
        <v>-1776</v>
      </c>
      <c r="H110" s="51">
        <v>586048</v>
      </c>
      <c r="I110" s="51">
        <v>-570063</v>
      </c>
      <c r="J110" s="51">
        <v>15985</v>
      </c>
      <c r="K110" s="51">
        <v>0</v>
      </c>
      <c r="L110" s="51">
        <v>0</v>
      </c>
      <c r="M110" s="51">
        <v>0</v>
      </c>
      <c r="N110" s="51">
        <v>15985</v>
      </c>
    </row>
    <row r="111" spans="1:14" outlineLevel="2" x14ac:dyDescent="0.35">
      <c r="A111" s="82" t="s">
        <v>347</v>
      </c>
      <c r="B111" s="66" t="s">
        <v>212</v>
      </c>
      <c r="C111" s="51">
        <v>602302</v>
      </c>
      <c r="D111" s="51">
        <v>0</v>
      </c>
      <c r="E111" s="51">
        <v>0</v>
      </c>
      <c r="F111" s="51">
        <v>0</v>
      </c>
      <c r="G111" s="51">
        <v>0</v>
      </c>
      <c r="H111" s="51">
        <v>602302</v>
      </c>
      <c r="I111" s="51">
        <v>-602302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</row>
    <row r="112" spans="1:14" outlineLevel="2" x14ac:dyDescent="0.35">
      <c r="A112" s="82" t="s">
        <v>347</v>
      </c>
      <c r="B112" s="66" t="s">
        <v>220</v>
      </c>
      <c r="C112" s="51">
        <v>613567</v>
      </c>
      <c r="D112" s="51">
        <v>0</v>
      </c>
      <c r="E112" s="51">
        <v>0</v>
      </c>
      <c r="F112" s="51">
        <v>0</v>
      </c>
      <c r="G112" s="51">
        <v>0</v>
      </c>
      <c r="H112" s="51">
        <v>613567</v>
      </c>
      <c r="I112" s="51">
        <v>-613567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</row>
    <row r="113" spans="1:14" outlineLevel="2" x14ac:dyDescent="0.35">
      <c r="A113" s="82" t="s">
        <v>347</v>
      </c>
      <c r="B113" s="66" t="s">
        <v>219</v>
      </c>
      <c r="C113" s="51">
        <v>557290</v>
      </c>
      <c r="D113" s="51">
        <v>0</v>
      </c>
      <c r="E113" s="51">
        <v>0</v>
      </c>
      <c r="F113" s="51">
        <v>0</v>
      </c>
      <c r="G113" s="51">
        <v>0</v>
      </c>
      <c r="H113" s="51">
        <v>557290</v>
      </c>
      <c r="I113" s="51">
        <v>-557290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</row>
    <row r="114" spans="1:14" outlineLevel="2" x14ac:dyDescent="0.35">
      <c r="A114" s="82" t="s">
        <v>347</v>
      </c>
      <c r="B114" s="66" t="s">
        <v>218</v>
      </c>
      <c r="C114" s="51">
        <v>561214</v>
      </c>
      <c r="D114" s="51">
        <v>0</v>
      </c>
      <c r="E114" s="51">
        <v>0</v>
      </c>
      <c r="F114" s="51">
        <v>0</v>
      </c>
      <c r="G114" s="51">
        <v>0</v>
      </c>
      <c r="H114" s="51">
        <v>561214</v>
      </c>
      <c r="I114" s="51">
        <v>-561214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</row>
    <row r="115" spans="1:14" outlineLevel="2" x14ac:dyDescent="0.35">
      <c r="A115" s="82" t="s">
        <v>347</v>
      </c>
      <c r="B115" s="66" t="s">
        <v>209</v>
      </c>
      <c r="C115" s="51">
        <v>522192</v>
      </c>
      <c r="D115" s="51">
        <v>-509</v>
      </c>
      <c r="E115" s="51">
        <v>0</v>
      </c>
      <c r="F115" s="51">
        <v>0</v>
      </c>
      <c r="G115" s="51">
        <v>0</v>
      </c>
      <c r="H115" s="51">
        <v>521683</v>
      </c>
      <c r="I115" s="51">
        <v>-521683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</row>
    <row r="116" spans="1:14" outlineLevel="2" x14ac:dyDescent="0.35">
      <c r="A116" s="82" t="s">
        <v>347</v>
      </c>
      <c r="B116" s="66" t="s">
        <v>208</v>
      </c>
      <c r="C116" s="51">
        <v>577185</v>
      </c>
      <c r="D116" s="51">
        <v>-133</v>
      </c>
      <c r="E116" s="51">
        <v>0</v>
      </c>
      <c r="F116" s="51">
        <v>0</v>
      </c>
      <c r="G116" s="51">
        <v>0</v>
      </c>
      <c r="H116" s="51">
        <v>577052</v>
      </c>
      <c r="I116" s="51">
        <v>-577052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</row>
    <row r="117" spans="1:14" outlineLevel="2" x14ac:dyDescent="0.35">
      <c r="A117" s="82" t="s">
        <v>347</v>
      </c>
      <c r="B117" s="66" t="s">
        <v>206</v>
      </c>
      <c r="C117" s="51">
        <v>451814</v>
      </c>
      <c r="D117" s="51">
        <v>-359</v>
      </c>
      <c r="E117" s="51">
        <v>0</v>
      </c>
      <c r="F117" s="51">
        <v>0</v>
      </c>
      <c r="G117" s="51">
        <v>0</v>
      </c>
      <c r="H117" s="51">
        <v>451455</v>
      </c>
      <c r="I117" s="51">
        <v>-451455</v>
      </c>
      <c r="J117" s="51">
        <v>0</v>
      </c>
      <c r="K117" s="51">
        <v>46822</v>
      </c>
      <c r="L117" s="51">
        <v>-46822</v>
      </c>
      <c r="M117" s="51">
        <v>0</v>
      </c>
      <c r="N117" s="51">
        <v>0</v>
      </c>
    </row>
    <row r="118" spans="1:14" outlineLevel="2" x14ac:dyDescent="0.35">
      <c r="A118" s="82" t="s">
        <v>347</v>
      </c>
      <c r="B118" s="66" t="s">
        <v>205</v>
      </c>
      <c r="C118" s="51">
        <v>685223</v>
      </c>
      <c r="D118" s="51">
        <v>0</v>
      </c>
      <c r="E118" s="51">
        <v>0</v>
      </c>
      <c r="F118" s="51">
        <v>0</v>
      </c>
      <c r="G118" s="51">
        <v>0</v>
      </c>
      <c r="H118" s="51">
        <v>685223</v>
      </c>
      <c r="I118" s="51">
        <v>-685223</v>
      </c>
      <c r="J118" s="51">
        <v>0</v>
      </c>
      <c r="K118" s="51">
        <v>7027</v>
      </c>
      <c r="L118" s="51">
        <v>-7027</v>
      </c>
      <c r="M118" s="51">
        <v>0</v>
      </c>
      <c r="N118" s="51">
        <v>0</v>
      </c>
    </row>
    <row r="119" spans="1:14" outlineLevel="2" x14ac:dyDescent="0.35">
      <c r="A119" s="82" t="s">
        <v>347</v>
      </c>
      <c r="B119" s="66" t="s">
        <v>204</v>
      </c>
      <c r="C119" s="51">
        <v>562473</v>
      </c>
      <c r="D119" s="51">
        <v>0</v>
      </c>
      <c r="E119" s="51">
        <v>0</v>
      </c>
      <c r="F119" s="51">
        <v>0</v>
      </c>
      <c r="G119" s="51">
        <v>0</v>
      </c>
      <c r="H119" s="51">
        <v>562473</v>
      </c>
      <c r="I119" s="51">
        <v>-562473</v>
      </c>
      <c r="J119" s="51">
        <v>0</v>
      </c>
      <c r="K119" s="51">
        <v>5271</v>
      </c>
      <c r="L119" s="51">
        <v>-5271</v>
      </c>
      <c r="M119" s="51">
        <v>0</v>
      </c>
      <c r="N119" s="51">
        <v>0</v>
      </c>
    </row>
    <row r="120" spans="1:14" outlineLevel="2" x14ac:dyDescent="0.35">
      <c r="A120" s="82" t="s">
        <v>347</v>
      </c>
      <c r="B120" s="66" t="s">
        <v>203</v>
      </c>
      <c r="C120" s="51">
        <v>582422</v>
      </c>
      <c r="D120" s="51">
        <v>0</v>
      </c>
      <c r="E120" s="51">
        <v>0</v>
      </c>
      <c r="F120" s="51">
        <v>0</v>
      </c>
      <c r="G120" s="51">
        <v>0</v>
      </c>
      <c r="H120" s="51">
        <v>582422</v>
      </c>
      <c r="I120" s="51">
        <v>-582422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</row>
    <row r="121" spans="1:14" outlineLevel="2" x14ac:dyDescent="0.35">
      <c r="A121" s="82" t="s">
        <v>347</v>
      </c>
      <c r="B121" s="66" t="s">
        <v>202</v>
      </c>
      <c r="C121" s="51">
        <v>547691</v>
      </c>
      <c r="D121" s="51">
        <v>-25833</v>
      </c>
      <c r="E121" s="51">
        <v>0</v>
      </c>
      <c r="F121" s="51">
        <v>0</v>
      </c>
      <c r="G121" s="51">
        <v>0</v>
      </c>
      <c r="H121" s="51">
        <v>521858</v>
      </c>
      <c r="I121" s="51">
        <v>-521858</v>
      </c>
      <c r="J121" s="51">
        <v>0</v>
      </c>
      <c r="K121" s="51">
        <v>64078</v>
      </c>
      <c r="L121" s="51">
        <v>-64078</v>
      </c>
      <c r="M121" s="51">
        <v>0</v>
      </c>
      <c r="N121" s="51">
        <v>0</v>
      </c>
    </row>
    <row r="122" spans="1:14" outlineLevel="2" x14ac:dyDescent="0.35">
      <c r="A122" s="82" t="s">
        <v>347</v>
      </c>
      <c r="B122" s="66" t="s">
        <v>201</v>
      </c>
      <c r="C122" s="51">
        <v>528734</v>
      </c>
      <c r="D122" s="51">
        <v>-208</v>
      </c>
      <c r="E122" s="51">
        <v>0</v>
      </c>
      <c r="F122" s="51">
        <v>0</v>
      </c>
      <c r="G122" s="51">
        <v>0</v>
      </c>
      <c r="H122" s="51">
        <v>528526</v>
      </c>
      <c r="I122" s="51">
        <v>-528526</v>
      </c>
      <c r="J122" s="51">
        <v>0</v>
      </c>
      <c r="K122" s="51">
        <v>878</v>
      </c>
      <c r="L122" s="51">
        <v>-878</v>
      </c>
      <c r="M122" s="51">
        <v>0</v>
      </c>
      <c r="N122" s="51">
        <v>0</v>
      </c>
    </row>
    <row r="123" spans="1:14" outlineLevel="2" x14ac:dyDescent="0.35">
      <c r="A123" s="82" t="s">
        <v>347</v>
      </c>
      <c r="B123" s="66" t="s">
        <v>200</v>
      </c>
      <c r="C123" s="51">
        <v>542294</v>
      </c>
      <c r="D123" s="51">
        <v>-124</v>
      </c>
      <c r="E123" s="51">
        <v>0</v>
      </c>
      <c r="F123" s="51">
        <v>0</v>
      </c>
      <c r="G123" s="51">
        <v>0</v>
      </c>
      <c r="H123" s="51">
        <v>542170</v>
      </c>
      <c r="I123" s="51">
        <v>-542170</v>
      </c>
      <c r="J123" s="51">
        <v>0</v>
      </c>
      <c r="K123" s="51">
        <v>16410</v>
      </c>
      <c r="L123" s="51">
        <v>-16410</v>
      </c>
      <c r="M123" s="51">
        <v>0</v>
      </c>
      <c r="N123" s="51">
        <v>0</v>
      </c>
    </row>
    <row r="124" spans="1:14" outlineLevel="2" x14ac:dyDescent="0.35">
      <c r="A124" s="82" t="s">
        <v>347</v>
      </c>
      <c r="B124" s="66" t="s">
        <v>199</v>
      </c>
      <c r="C124" s="51">
        <v>363726</v>
      </c>
      <c r="D124" s="51">
        <v>-1561</v>
      </c>
      <c r="E124" s="51">
        <v>0</v>
      </c>
      <c r="F124" s="51">
        <v>0</v>
      </c>
      <c r="G124" s="51">
        <v>0</v>
      </c>
      <c r="H124" s="51">
        <v>362165</v>
      </c>
      <c r="I124" s="51">
        <v>-362165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</row>
    <row r="125" spans="1:14" outlineLevel="2" x14ac:dyDescent="0.35">
      <c r="A125" s="82" t="s">
        <v>347</v>
      </c>
      <c r="B125" s="66" t="s">
        <v>198</v>
      </c>
      <c r="C125" s="51">
        <v>299049</v>
      </c>
      <c r="D125" s="51">
        <v>-245</v>
      </c>
      <c r="E125" s="51">
        <v>0</v>
      </c>
      <c r="F125" s="51">
        <v>0</v>
      </c>
      <c r="G125" s="51">
        <v>0</v>
      </c>
      <c r="H125" s="51">
        <v>298804</v>
      </c>
      <c r="I125" s="51">
        <v>-298804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</row>
    <row r="126" spans="1:14" outlineLevel="2" x14ac:dyDescent="0.35">
      <c r="A126" s="82" t="s">
        <v>347</v>
      </c>
      <c r="B126" s="66" t="s">
        <v>197</v>
      </c>
      <c r="C126" s="51">
        <v>271139</v>
      </c>
      <c r="D126" s="51">
        <v>-5532</v>
      </c>
      <c r="E126" s="51">
        <v>0</v>
      </c>
      <c r="F126" s="51">
        <v>0</v>
      </c>
      <c r="G126" s="51">
        <v>0</v>
      </c>
      <c r="H126" s="51">
        <v>265607</v>
      </c>
      <c r="I126" s="51">
        <v>-265607</v>
      </c>
      <c r="J126" s="51">
        <v>0</v>
      </c>
      <c r="K126" s="51">
        <v>87456</v>
      </c>
      <c r="L126" s="51">
        <v>-87456</v>
      </c>
      <c r="M126" s="51">
        <v>0</v>
      </c>
      <c r="N126" s="51">
        <v>0</v>
      </c>
    </row>
    <row r="127" spans="1:14" outlineLevel="2" x14ac:dyDescent="0.35">
      <c r="A127" s="82" t="s">
        <v>347</v>
      </c>
      <c r="B127" s="66" t="s">
        <v>196</v>
      </c>
      <c r="C127" s="51">
        <v>337428</v>
      </c>
      <c r="D127" s="51">
        <v>0</v>
      </c>
      <c r="E127" s="51">
        <v>0</v>
      </c>
      <c r="F127" s="51">
        <v>0</v>
      </c>
      <c r="G127" s="51">
        <v>0</v>
      </c>
      <c r="H127" s="51">
        <v>337428</v>
      </c>
      <c r="I127" s="51">
        <v>-337428</v>
      </c>
      <c r="J127" s="51">
        <v>0</v>
      </c>
      <c r="K127" s="51">
        <v>26911</v>
      </c>
      <c r="L127" s="51">
        <v>-26911</v>
      </c>
      <c r="M127" s="51">
        <v>0</v>
      </c>
      <c r="N127" s="51">
        <v>0</v>
      </c>
    </row>
    <row r="128" spans="1:14" outlineLevel="2" x14ac:dyDescent="0.35">
      <c r="A128" s="82" t="s">
        <v>347</v>
      </c>
      <c r="B128" s="66" t="s">
        <v>195</v>
      </c>
      <c r="C128" s="51">
        <v>244590</v>
      </c>
      <c r="D128" s="51">
        <v>-183</v>
      </c>
      <c r="E128" s="51">
        <v>0</v>
      </c>
      <c r="F128" s="51">
        <v>0</v>
      </c>
      <c r="G128" s="51">
        <v>0</v>
      </c>
      <c r="H128" s="51">
        <v>244407</v>
      </c>
      <c r="I128" s="51">
        <v>-244407</v>
      </c>
      <c r="J128" s="51">
        <v>0</v>
      </c>
      <c r="K128" s="51">
        <v>41999</v>
      </c>
      <c r="L128" s="51">
        <v>-41999</v>
      </c>
      <c r="M128" s="51">
        <v>0</v>
      </c>
      <c r="N128" s="51">
        <v>0</v>
      </c>
    </row>
    <row r="129" spans="1:14" outlineLevel="1" x14ac:dyDescent="0.35">
      <c r="A129" s="82" t="s">
        <v>347</v>
      </c>
      <c r="B129" s="66" t="s">
        <v>194</v>
      </c>
      <c r="C129" s="51">
        <v>501657</v>
      </c>
      <c r="D129" s="51">
        <v>-245678</v>
      </c>
      <c r="E129" s="51">
        <v>0</v>
      </c>
      <c r="F129" s="51">
        <v>0</v>
      </c>
      <c r="G129" s="51">
        <v>0</v>
      </c>
      <c r="H129" s="51">
        <v>255979</v>
      </c>
      <c r="I129" s="51">
        <v>-255979</v>
      </c>
      <c r="J129" s="51">
        <v>0</v>
      </c>
      <c r="K129" s="51">
        <v>41091</v>
      </c>
      <c r="L129" s="51">
        <v>-41091</v>
      </c>
      <c r="M129" s="51">
        <v>0</v>
      </c>
      <c r="N129" s="51">
        <v>0</v>
      </c>
    </row>
    <row r="130" spans="1:14" outlineLevel="1" x14ac:dyDescent="0.35">
      <c r="A130" s="82" t="s">
        <v>347</v>
      </c>
      <c r="B130" s="66" t="s">
        <v>193</v>
      </c>
      <c r="C130" s="51">
        <v>532796</v>
      </c>
      <c r="D130" s="51">
        <v>-244731</v>
      </c>
      <c r="E130" s="51">
        <v>0</v>
      </c>
      <c r="F130" s="51">
        <v>0</v>
      </c>
      <c r="G130" s="51">
        <v>0</v>
      </c>
      <c r="H130" s="51">
        <v>288065</v>
      </c>
      <c r="I130" s="51">
        <v>-288065</v>
      </c>
      <c r="J130" s="51">
        <v>0</v>
      </c>
      <c r="K130" s="51">
        <v>80182</v>
      </c>
      <c r="L130" s="51">
        <v>-80182</v>
      </c>
      <c r="M130" s="51">
        <v>0</v>
      </c>
      <c r="N130" s="51">
        <v>0</v>
      </c>
    </row>
    <row r="131" spans="1:14" outlineLevel="1" x14ac:dyDescent="0.35">
      <c r="A131" s="82" t="s">
        <v>347</v>
      </c>
      <c r="B131" s="66" t="s">
        <v>192</v>
      </c>
      <c r="C131" s="51">
        <v>555830</v>
      </c>
      <c r="D131" s="51">
        <v>-236292</v>
      </c>
      <c r="E131" s="51">
        <v>0</v>
      </c>
      <c r="F131" s="51">
        <v>0</v>
      </c>
      <c r="G131" s="51">
        <v>0</v>
      </c>
      <c r="H131" s="51">
        <v>319538</v>
      </c>
      <c r="I131" s="51">
        <v>-319538</v>
      </c>
      <c r="J131" s="51">
        <v>0</v>
      </c>
      <c r="K131" s="51">
        <v>8422</v>
      </c>
      <c r="L131" s="51">
        <v>-8422</v>
      </c>
      <c r="M131" s="51">
        <v>0</v>
      </c>
      <c r="N131" s="51">
        <v>0</v>
      </c>
    </row>
    <row r="132" spans="1:14" outlineLevel="2" x14ac:dyDescent="0.35">
      <c r="A132" s="82" t="s">
        <v>347</v>
      </c>
      <c r="B132" s="66" t="s">
        <v>191</v>
      </c>
      <c r="C132" s="51">
        <v>566686</v>
      </c>
      <c r="D132" s="51">
        <v>-229967</v>
      </c>
      <c r="E132" s="51">
        <v>0</v>
      </c>
      <c r="F132" s="51">
        <v>0</v>
      </c>
      <c r="G132" s="51">
        <v>0</v>
      </c>
      <c r="H132" s="51">
        <v>336719</v>
      </c>
      <c r="I132" s="51">
        <v>-336719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</row>
    <row r="133" spans="1:14" outlineLevel="2" x14ac:dyDescent="0.35">
      <c r="A133" s="82" t="s">
        <v>347</v>
      </c>
      <c r="B133" s="66" t="s">
        <v>190</v>
      </c>
      <c r="C133" s="51">
        <v>734231</v>
      </c>
      <c r="D133" s="51">
        <v>-194707</v>
      </c>
      <c r="E133" s="51">
        <v>0</v>
      </c>
      <c r="F133" s="51">
        <v>0</v>
      </c>
      <c r="G133" s="51">
        <v>0</v>
      </c>
      <c r="H133" s="51">
        <v>539524</v>
      </c>
      <c r="I133" s="51">
        <v>-539524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</row>
    <row r="134" spans="1:14" outlineLevel="2" x14ac:dyDescent="0.35">
      <c r="A134" s="82" t="s">
        <v>347</v>
      </c>
      <c r="B134" s="66" t="s">
        <v>189</v>
      </c>
      <c r="C134" s="51">
        <v>1222943</v>
      </c>
      <c r="D134" s="51">
        <v>-175157</v>
      </c>
      <c r="E134" s="51">
        <v>0</v>
      </c>
      <c r="F134" s="51">
        <v>0</v>
      </c>
      <c r="G134" s="51">
        <v>0</v>
      </c>
      <c r="H134" s="51">
        <v>1047786</v>
      </c>
      <c r="I134" s="51">
        <v>-1047786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</row>
    <row r="135" spans="1:14" outlineLevel="2" x14ac:dyDescent="0.35">
      <c r="A135" s="82" t="s">
        <v>347</v>
      </c>
      <c r="B135" s="66" t="s">
        <v>188</v>
      </c>
      <c r="C135" s="51">
        <v>1401348</v>
      </c>
      <c r="D135" s="51">
        <v>-207483</v>
      </c>
      <c r="E135" s="51">
        <v>0</v>
      </c>
      <c r="F135" s="51">
        <v>0</v>
      </c>
      <c r="G135" s="51">
        <v>0</v>
      </c>
      <c r="H135" s="51">
        <v>1193865</v>
      </c>
      <c r="I135" s="51">
        <v>-1193865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</row>
    <row r="136" spans="1:14" outlineLevel="2" x14ac:dyDescent="0.35">
      <c r="A136" s="65" t="s">
        <v>165</v>
      </c>
      <c r="B136" s="81" t="s">
        <v>12</v>
      </c>
      <c r="C136" s="42">
        <f>SUBTOTAL(109,Program152[(C)
Program
Costs])</f>
        <v>15662797</v>
      </c>
      <c r="D136" s="42">
        <f>SUBTOTAL(109,Program152[(D)
Prior Period Adjustments])</f>
        <v>-1568702</v>
      </c>
      <c r="E136" s="42">
        <f>SUBTOTAL(109,Program152[(E)
Current Period Desk 
Reviews])</f>
        <v>0</v>
      </c>
      <c r="F136" s="42">
        <f>SUBTOTAL(109,Program152[(F)
Current Period 
Final 
Audits])</f>
        <v>0</v>
      </c>
      <c r="G136" s="42">
        <f>SUBTOTAL(109,Program152[(G)
Current Period 
Other Adjustments])</f>
        <v>-1776</v>
      </c>
      <c r="H136" s="42">
        <f>SUBTOTAL(109,Program152[(H)
Net Program Costs
Sum (C through G)])</f>
        <v>14092319</v>
      </c>
      <c r="I136" s="42">
        <f>SUBTOTAL(109,Program152[(I)
Payments
 and Offsets])</f>
        <v>-13367185</v>
      </c>
      <c r="J136" s="42">
        <f>SUBTOTAL(109,Program152[(J)
Accounts Payable Balance
(H + I)])</f>
        <v>725134</v>
      </c>
      <c r="K136" s="42">
        <f>SUBTOTAL(109,Program152[(K)
Established 
Accounts Receivable])</f>
        <v>426547</v>
      </c>
      <c r="L136" s="42">
        <f>SUBTOTAL(109,Program152[(L)
Recovered
 Accounts Receivable])</f>
        <v>-426547</v>
      </c>
      <c r="M136" s="42">
        <f>SUBTOTAL(109,Program152[(M)
Accounts Receivable Balance
(K + L)])</f>
        <v>0</v>
      </c>
      <c r="N136" s="42">
        <f>SUBTOTAL(109,Program152[(N)
Net Balance
(J minus M)])</f>
        <v>725134</v>
      </c>
    </row>
    <row r="137" spans="1:14" outlineLevel="2" x14ac:dyDescent="0.35">
      <c r="A137" s="63" t="s">
        <v>33</v>
      </c>
      <c r="B137" s="62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ht="77.5" outlineLevel="2" x14ac:dyDescent="0.35">
      <c r="A138" s="60" t="s">
        <v>185</v>
      </c>
      <c r="B138" s="59" t="s">
        <v>184</v>
      </c>
      <c r="C138" s="58" t="s">
        <v>183</v>
      </c>
      <c r="D138" s="58" t="s">
        <v>182</v>
      </c>
      <c r="E138" s="56" t="s">
        <v>181</v>
      </c>
      <c r="F138" s="56" t="s">
        <v>180</v>
      </c>
      <c r="G138" s="56" t="s">
        <v>179</v>
      </c>
      <c r="H138" s="57" t="s">
        <v>674</v>
      </c>
      <c r="I138" s="55" t="s">
        <v>178</v>
      </c>
      <c r="J138" s="55" t="s">
        <v>177</v>
      </c>
      <c r="K138" s="56" t="s">
        <v>176</v>
      </c>
      <c r="L138" s="55" t="s">
        <v>175</v>
      </c>
      <c r="M138" s="55" t="s">
        <v>174</v>
      </c>
      <c r="N138" s="54" t="s">
        <v>173</v>
      </c>
    </row>
    <row r="139" spans="1:14" outlineLevel="2" x14ac:dyDescent="0.35">
      <c r="A139" s="53" t="s">
        <v>346</v>
      </c>
      <c r="B139" s="66" t="s">
        <v>205</v>
      </c>
      <c r="C139" s="51">
        <v>1642795</v>
      </c>
      <c r="D139" s="51">
        <v>-100651</v>
      </c>
      <c r="E139" s="51">
        <v>0</v>
      </c>
      <c r="F139" s="51">
        <v>0</v>
      </c>
      <c r="G139" s="51">
        <v>0</v>
      </c>
      <c r="H139" s="51">
        <v>1542144</v>
      </c>
      <c r="I139" s="51">
        <v>0</v>
      </c>
      <c r="J139" s="51">
        <v>1542144</v>
      </c>
      <c r="K139" s="51">
        <v>0</v>
      </c>
      <c r="L139" s="51">
        <v>0</v>
      </c>
      <c r="M139" s="51">
        <v>0</v>
      </c>
      <c r="N139" s="51">
        <v>1542144</v>
      </c>
    </row>
    <row r="140" spans="1:14" outlineLevel="2" x14ac:dyDescent="0.35">
      <c r="A140" s="82" t="s">
        <v>346</v>
      </c>
      <c r="B140" s="66" t="s">
        <v>204</v>
      </c>
      <c r="C140" s="51">
        <v>23987594</v>
      </c>
      <c r="D140" s="51">
        <v>-4141052</v>
      </c>
      <c r="E140" s="51">
        <v>0</v>
      </c>
      <c r="F140" s="51">
        <v>0</v>
      </c>
      <c r="G140" s="51">
        <v>0</v>
      </c>
      <c r="H140" s="51">
        <v>19846542</v>
      </c>
      <c r="I140" s="51">
        <v>0</v>
      </c>
      <c r="J140" s="51">
        <v>19846542</v>
      </c>
      <c r="K140" s="51">
        <v>0</v>
      </c>
      <c r="L140" s="51">
        <v>0</v>
      </c>
      <c r="M140" s="51">
        <v>0</v>
      </c>
      <c r="N140" s="51">
        <v>19846542</v>
      </c>
    </row>
    <row r="141" spans="1:14" outlineLevel="2" x14ac:dyDescent="0.35">
      <c r="A141" s="82" t="s">
        <v>346</v>
      </c>
      <c r="B141" s="66" t="s">
        <v>203</v>
      </c>
      <c r="C141" s="51">
        <v>25571229</v>
      </c>
      <c r="D141" s="51">
        <v>-7366518</v>
      </c>
      <c r="E141" s="51">
        <v>0</v>
      </c>
      <c r="F141" s="51">
        <v>0</v>
      </c>
      <c r="G141" s="51">
        <v>0</v>
      </c>
      <c r="H141" s="51">
        <v>18204711</v>
      </c>
      <c r="I141" s="51">
        <v>0</v>
      </c>
      <c r="J141" s="51">
        <v>18204711</v>
      </c>
      <c r="K141" s="51">
        <v>0</v>
      </c>
      <c r="L141" s="51">
        <v>0</v>
      </c>
      <c r="M141" s="51">
        <v>0</v>
      </c>
      <c r="N141" s="51">
        <v>18204711</v>
      </c>
    </row>
    <row r="142" spans="1:14" outlineLevel="1" x14ac:dyDescent="0.35">
      <c r="A142" s="82" t="s">
        <v>346</v>
      </c>
      <c r="B142" s="66" t="s">
        <v>202</v>
      </c>
      <c r="C142" s="51">
        <v>23381540</v>
      </c>
      <c r="D142" s="51">
        <v>-6140176</v>
      </c>
      <c r="E142" s="51">
        <v>0</v>
      </c>
      <c r="F142" s="51">
        <v>0</v>
      </c>
      <c r="G142" s="51">
        <v>0</v>
      </c>
      <c r="H142" s="51">
        <v>17241364</v>
      </c>
      <c r="I142" s="51">
        <v>-17241364</v>
      </c>
      <c r="J142" s="51">
        <v>0</v>
      </c>
      <c r="K142" s="51">
        <v>7522234</v>
      </c>
      <c r="L142" s="51">
        <v>-6773030</v>
      </c>
      <c r="M142" s="51">
        <v>749204</v>
      </c>
      <c r="N142" s="51">
        <v>-749204</v>
      </c>
    </row>
    <row r="143" spans="1:14" outlineLevel="1" x14ac:dyDescent="0.35">
      <c r="A143" s="82" t="s">
        <v>346</v>
      </c>
      <c r="B143" s="66" t="s">
        <v>201</v>
      </c>
      <c r="C143" s="51">
        <v>21984307</v>
      </c>
      <c r="D143" s="51">
        <v>-4759228</v>
      </c>
      <c r="E143" s="51">
        <v>0</v>
      </c>
      <c r="F143" s="51">
        <v>0</v>
      </c>
      <c r="G143" s="51">
        <v>0</v>
      </c>
      <c r="H143" s="51">
        <v>17225079</v>
      </c>
      <c r="I143" s="51">
        <v>-17202021</v>
      </c>
      <c r="J143" s="51">
        <v>23058</v>
      </c>
      <c r="K143" s="51">
        <v>4824796</v>
      </c>
      <c r="L143" s="51">
        <v>-4107415</v>
      </c>
      <c r="M143" s="51">
        <v>717381</v>
      </c>
      <c r="N143" s="51">
        <v>-694323</v>
      </c>
    </row>
    <row r="144" spans="1:14" outlineLevel="1" x14ac:dyDescent="0.35">
      <c r="A144" s="82" t="s">
        <v>346</v>
      </c>
      <c r="B144" s="66" t="s">
        <v>200</v>
      </c>
      <c r="C144" s="51">
        <v>22768749</v>
      </c>
      <c r="D144" s="51">
        <v>-2921316</v>
      </c>
      <c r="E144" s="51">
        <v>0</v>
      </c>
      <c r="F144" s="51">
        <v>0</v>
      </c>
      <c r="G144" s="51">
        <v>0</v>
      </c>
      <c r="H144" s="51">
        <v>19847433</v>
      </c>
      <c r="I144" s="51">
        <v>-19847433</v>
      </c>
      <c r="J144" s="51">
        <v>0</v>
      </c>
      <c r="K144" s="51">
        <v>3917590</v>
      </c>
      <c r="L144" s="51">
        <v>-3826680</v>
      </c>
      <c r="M144" s="51">
        <v>90910</v>
      </c>
      <c r="N144" s="51">
        <v>-90910</v>
      </c>
    </row>
    <row r="145" spans="1:14" outlineLevel="2" x14ac:dyDescent="0.35">
      <c r="A145" s="82" t="s">
        <v>346</v>
      </c>
      <c r="B145" s="66" t="s">
        <v>198</v>
      </c>
      <c r="C145" s="51">
        <v>19616313</v>
      </c>
      <c r="D145" s="51">
        <v>-5684089</v>
      </c>
      <c r="E145" s="51">
        <v>0</v>
      </c>
      <c r="F145" s="51">
        <v>0</v>
      </c>
      <c r="G145" s="51">
        <v>0</v>
      </c>
      <c r="H145" s="51">
        <v>13932224</v>
      </c>
      <c r="I145" s="51">
        <v>-13932224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</row>
    <row r="146" spans="1:14" outlineLevel="2" x14ac:dyDescent="0.35">
      <c r="A146" s="82" t="s">
        <v>346</v>
      </c>
      <c r="B146" s="66" t="s">
        <v>197</v>
      </c>
      <c r="C146" s="51">
        <v>20771268</v>
      </c>
      <c r="D146" s="51">
        <v>-6193321</v>
      </c>
      <c r="E146" s="51">
        <v>0</v>
      </c>
      <c r="F146" s="51">
        <v>0</v>
      </c>
      <c r="G146" s="51">
        <v>0</v>
      </c>
      <c r="H146" s="51">
        <v>14577947</v>
      </c>
      <c r="I146" s="51">
        <v>-14577947</v>
      </c>
      <c r="J146" s="51">
        <v>0</v>
      </c>
      <c r="K146" s="51">
        <v>25647</v>
      </c>
      <c r="L146" s="51">
        <v>-18475</v>
      </c>
      <c r="M146" s="51">
        <v>7172</v>
      </c>
      <c r="N146" s="51">
        <v>-7172</v>
      </c>
    </row>
    <row r="147" spans="1:14" outlineLevel="2" x14ac:dyDescent="0.35">
      <c r="A147" s="82" t="s">
        <v>346</v>
      </c>
      <c r="B147" s="66" t="s">
        <v>196</v>
      </c>
      <c r="C147" s="51">
        <v>17906277</v>
      </c>
      <c r="D147" s="51">
        <v>-3530289</v>
      </c>
      <c r="E147" s="51">
        <v>0</v>
      </c>
      <c r="F147" s="51">
        <v>0</v>
      </c>
      <c r="G147" s="51">
        <v>0</v>
      </c>
      <c r="H147" s="51">
        <v>14375988</v>
      </c>
      <c r="I147" s="51">
        <v>-14375988</v>
      </c>
      <c r="J147" s="51">
        <v>0</v>
      </c>
      <c r="K147" s="51">
        <v>3469501</v>
      </c>
      <c r="L147" s="51">
        <v>-3469501</v>
      </c>
      <c r="M147" s="51">
        <v>0</v>
      </c>
      <c r="N147" s="51">
        <v>0</v>
      </c>
    </row>
    <row r="148" spans="1:14" outlineLevel="1" x14ac:dyDescent="0.35">
      <c r="A148" s="82" t="s">
        <v>346</v>
      </c>
      <c r="B148" s="66" t="s">
        <v>195</v>
      </c>
      <c r="C148" s="51">
        <v>17178502</v>
      </c>
      <c r="D148" s="51">
        <v>-3485671</v>
      </c>
      <c r="E148" s="51">
        <v>0</v>
      </c>
      <c r="F148" s="51">
        <v>0</v>
      </c>
      <c r="G148" s="51">
        <v>0</v>
      </c>
      <c r="H148" s="51">
        <v>13692831</v>
      </c>
      <c r="I148" s="51">
        <v>-13692379</v>
      </c>
      <c r="J148" s="51">
        <v>452</v>
      </c>
      <c r="K148" s="51">
        <v>3459493</v>
      </c>
      <c r="L148" s="51">
        <v>-3459493</v>
      </c>
      <c r="M148" s="51">
        <v>0</v>
      </c>
      <c r="N148" s="51">
        <v>452</v>
      </c>
    </row>
    <row r="149" spans="1:14" outlineLevel="1" x14ac:dyDescent="0.35">
      <c r="A149" s="82" t="s">
        <v>346</v>
      </c>
      <c r="B149" s="66" t="s">
        <v>194</v>
      </c>
      <c r="C149" s="51">
        <v>3878869</v>
      </c>
      <c r="D149" s="51">
        <v>-1224568</v>
      </c>
      <c r="E149" s="51">
        <v>0</v>
      </c>
      <c r="F149" s="51">
        <v>0</v>
      </c>
      <c r="G149" s="51">
        <v>0</v>
      </c>
      <c r="H149" s="51">
        <v>2654301</v>
      </c>
      <c r="I149" s="51">
        <v>-2613916</v>
      </c>
      <c r="J149" s="51">
        <v>40385</v>
      </c>
      <c r="K149" s="51">
        <v>1280135</v>
      </c>
      <c r="L149" s="51">
        <v>-1280135</v>
      </c>
      <c r="M149" s="51">
        <v>0</v>
      </c>
      <c r="N149" s="51">
        <v>40385</v>
      </c>
    </row>
    <row r="150" spans="1:14" outlineLevel="2" x14ac:dyDescent="0.35">
      <c r="A150" s="65" t="s">
        <v>164</v>
      </c>
      <c r="B150" s="81" t="s">
        <v>12</v>
      </c>
      <c r="C150" s="42">
        <f>SUBTOTAL(109,Program213[(C)
Program
Costs])</f>
        <v>198687443</v>
      </c>
      <c r="D150" s="42">
        <f>SUBTOTAL(109,Program213[(D)
Prior Period Adjustments])</f>
        <v>-45546879</v>
      </c>
      <c r="E150" s="42">
        <f>SUBTOTAL(109,Program213[(E)
Current Period Desk 
Reviews])</f>
        <v>0</v>
      </c>
      <c r="F150" s="42">
        <f>SUBTOTAL(109,Program213[(F)
Current Period 
Final 
Audits])</f>
        <v>0</v>
      </c>
      <c r="G150" s="42">
        <f>SUBTOTAL(109,Program213[(G)
Current Period 
Other Adjustments])</f>
        <v>0</v>
      </c>
      <c r="H150" s="42">
        <f>SUBTOTAL(109,Program213[(H)
Net Program Costs
Sum (C through G)])</f>
        <v>153140564</v>
      </c>
      <c r="I150" s="42">
        <f>SUBTOTAL(109,Program213[(I)
Payments
 and Offsets])</f>
        <v>-113483272</v>
      </c>
      <c r="J150" s="42">
        <f>SUBTOTAL(109,Program213[(J)
Accounts Payable Balance
(H + I)])</f>
        <v>39657292</v>
      </c>
      <c r="K150" s="42">
        <f>SUBTOTAL(109,Program213[(K)
Established 
Accounts Receivable])</f>
        <v>24499396</v>
      </c>
      <c r="L150" s="42">
        <f>SUBTOTAL(109,Program213[(L)
Recovered
 Accounts Receivable])</f>
        <v>-22934729</v>
      </c>
      <c r="M150" s="42">
        <f>SUBTOTAL(109,Program213[(M)
Accounts Receivable Balance
(K + L)])</f>
        <v>1564667</v>
      </c>
      <c r="N150" s="42">
        <f>SUBTOTAL(109,Program213[(N)
Net Balance
(J minus M)])</f>
        <v>38092625</v>
      </c>
    </row>
    <row r="151" spans="1:14" outlineLevel="2" x14ac:dyDescent="0.35">
      <c r="A151" s="63" t="s">
        <v>33</v>
      </c>
      <c r="B151" s="62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ht="77.5" outlineLevel="2" x14ac:dyDescent="0.35">
      <c r="A152" s="60" t="s">
        <v>185</v>
      </c>
      <c r="B152" s="59" t="s">
        <v>184</v>
      </c>
      <c r="C152" s="58" t="s">
        <v>183</v>
      </c>
      <c r="D152" s="58" t="s">
        <v>182</v>
      </c>
      <c r="E152" s="56" t="s">
        <v>181</v>
      </c>
      <c r="F152" s="56" t="s">
        <v>180</v>
      </c>
      <c r="G152" s="56" t="s">
        <v>179</v>
      </c>
      <c r="H152" s="57" t="s">
        <v>674</v>
      </c>
      <c r="I152" s="55" t="s">
        <v>178</v>
      </c>
      <c r="J152" s="55" t="s">
        <v>177</v>
      </c>
      <c r="K152" s="56" t="s">
        <v>176</v>
      </c>
      <c r="L152" s="55" t="s">
        <v>175</v>
      </c>
      <c r="M152" s="55" t="s">
        <v>174</v>
      </c>
      <c r="N152" s="54" t="s">
        <v>173</v>
      </c>
    </row>
    <row r="153" spans="1:14" outlineLevel="1" x14ac:dyDescent="0.35">
      <c r="A153" s="53" t="s">
        <v>345</v>
      </c>
      <c r="B153" s="66" t="s">
        <v>198</v>
      </c>
      <c r="C153" s="51">
        <v>135852</v>
      </c>
      <c r="D153" s="51">
        <v>-13585</v>
      </c>
      <c r="E153" s="51">
        <v>0</v>
      </c>
      <c r="F153" s="51">
        <v>0</v>
      </c>
      <c r="G153" s="51">
        <v>0</v>
      </c>
      <c r="H153" s="51">
        <v>122267</v>
      </c>
      <c r="I153" s="51">
        <v>-122267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</row>
    <row r="154" spans="1:14" outlineLevel="1" x14ac:dyDescent="0.35">
      <c r="A154" s="82" t="s">
        <v>345</v>
      </c>
      <c r="B154" s="66" t="s">
        <v>197</v>
      </c>
      <c r="C154" s="51">
        <v>169704</v>
      </c>
      <c r="D154" s="51">
        <v>0</v>
      </c>
      <c r="E154" s="51">
        <v>0</v>
      </c>
      <c r="F154" s="51">
        <v>0</v>
      </c>
      <c r="G154" s="51">
        <v>0</v>
      </c>
      <c r="H154" s="51">
        <v>169704</v>
      </c>
      <c r="I154" s="51">
        <v>-169704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</row>
    <row r="155" spans="1:14" outlineLevel="1" x14ac:dyDescent="0.35">
      <c r="A155" s="82" t="s">
        <v>345</v>
      </c>
      <c r="B155" s="66" t="s">
        <v>196</v>
      </c>
      <c r="C155" s="51">
        <v>36299</v>
      </c>
      <c r="D155" s="51">
        <v>0</v>
      </c>
      <c r="E155" s="51">
        <v>0</v>
      </c>
      <c r="F155" s="51">
        <v>0</v>
      </c>
      <c r="G155" s="51">
        <v>0</v>
      </c>
      <c r="H155" s="51">
        <v>36299</v>
      </c>
      <c r="I155" s="51">
        <v>-36299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</row>
    <row r="156" spans="1:14" outlineLevel="2" x14ac:dyDescent="0.35">
      <c r="A156" s="65" t="s">
        <v>163</v>
      </c>
      <c r="B156" s="81" t="s">
        <v>12</v>
      </c>
      <c r="C156" s="42">
        <f>SUBTOTAL(109,Program284[(C)
Program
Costs])</f>
        <v>341855</v>
      </c>
      <c r="D156" s="42">
        <f>SUBTOTAL(109,Program284[(D)
Prior Period Adjustments])</f>
        <v>-13585</v>
      </c>
      <c r="E156" s="42">
        <f>SUBTOTAL(109,Program284[(E)
Current Period Desk 
Reviews])</f>
        <v>0</v>
      </c>
      <c r="F156" s="42">
        <f>SUBTOTAL(109,Program284[(F)
Current Period 
Final 
Audits])</f>
        <v>0</v>
      </c>
      <c r="G156" s="42">
        <f>SUBTOTAL(109,Program284[(G)
Current Period 
Other Adjustments])</f>
        <v>0</v>
      </c>
      <c r="H156" s="42">
        <f>SUBTOTAL(109,Program284[(H)
Net Program Costs
Sum (C through G)])</f>
        <v>328270</v>
      </c>
      <c r="I156" s="42">
        <f>SUBTOTAL(109,Program284[(I)
Payments
 and Offsets])</f>
        <v>-328270</v>
      </c>
      <c r="J156" s="42">
        <f>SUBTOTAL(109,Program284[(J)
Accounts Payable Balance
(H + I)])</f>
        <v>0</v>
      </c>
      <c r="K156" s="42">
        <f>SUBTOTAL(109,Program284[(K)
Established 
Accounts Receivable])</f>
        <v>0</v>
      </c>
      <c r="L156" s="42">
        <f>SUBTOTAL(109,Program284[(L)
Recovered
 Accounts Receivable])</f>
        <v>0</v>
      </c>
      <c r="M156" s="42">
        <f>SUBTOTAL(109,Program284[(M)
Accounts Receivable Balance
(K + L)])</f>
        <v>0</v>
      </c>
      <c r="N156" s="42">
        <f>SUBTOTAL(109,Program284[(N)
Net Balance
(J minus M)])</f>
        <v>0</v>
      </c>
    </row>
    <row r="157" spans="1:14" outlineLevel="2" x14ac:dyDescent="0.35">
      <c r="A157" s="63" t="s">
        <v>33</v>
      </c>
      <c r="B157" s="62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ht="77.5" outlineLevel="2" x14ac:dyDescent="0.35">
      <c r="A158" s="60" t="s">
        <v>185</v>
      </c>
      <c r="B158" s="59" t="s">
        <v>184</v>
      </c>
      <c r="C158" s="58" t="s">
        <v>183</v>
      </c>
      <c r="D158" s="58" t="s">
        <v>182</v>
      </c>
      <c r="E158" s="56" t="s">
        <v>181</v>
      </c>
      <c r="F158" s="56" t="s">
        <v>180</v>
      </c>
      <c r="G158" s="56" t="s">
        <v>179</v>
      </c>
      <c r="H158" s="57" t="s">
        <v>674</v>
      </c>
      <c r="I158" s="55" t="s">
        <v>178</v>
      </c>
      <c r="J158" s="55" t="s">
        <v>177</v>
      </c>
      <c r="K158" s="56" t="s">
        <v>176</v>
      </c>
      <c r="L158" s="55" t="s">
        <v>175</v>
      </c>
      <c r="M158" s="55" t="s">
        <v>174</v>
      </c>
      <c r="N158" s="54" t="s">
        <v>173</v>
      </c>
    </row>
    <row r="159" spans="1:14" outlineLevel="2" x14ac:dyDescent="0.35">
      <c r="A159" s="53" t="s">
        <v>344</v>
      </c>
      <c r="B159" s="66" t="s">
        <v>204</v>
      </c>
      <c r="C159" s="51">
        <v>2615</v>
      </c>
      <c r="D159" s="51">
        <v>0</v>
      </c>
      <c r="E159" s="51">
        <v>0</v>
      </c>
      <c r="F159" s="51">
        <v>0</v>
      </c>
      <c r="G159" s="51">
        <v>0</v>
      </c>
      <c r="H159" s="51">
        <v>2615</v>
      </c>
      <c r="I159" s="51">
        <v>-2615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</row>
    <row r="160" spans="1:14" outlineLevel="2" x14ac:dyDescent="0.35">
      <c r="A160" s="82" t="s">
        <v>344</v>
      </c>
      <c r="B160" s="66" t="s">
        <v>191</v>
      </c>
      <c r="C160" s="51">
        <v>6396</v>
      </c>
      <c r="D160" s="51">
        <v>-6396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</row>
    <row r="161" spans="1:14" outlineLevel="2" x14ac:dyDescent="0.35">
      <c r="A161" s="82" t="s">
        <v>344</v>
      </c>
      <c r="B161" s="66" t="s">
        <v>190</v>
      </c>
      <c r="C161" s="51">
        <v>6396</v>
      </c>
      <c r="D161" s="51">
        <v>-6396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</row>
    <row r="162" spans="1:14" outlineLevel="2" x14ac:dyDescent="0.35">
      <c r="A162" s="65" t="s">
        <v>162</v>
      </c>
      <c r="B162" s="81" t="s">
        <v>12</v>
      </c>
      <c r="C162" s="42">
        <f>SUBTOTAL(109,Program6[(C)
Program
Costs])</f>
        <v>15407</v>
      </c>
      <c r="D162" s="42">
        <f>SUBTOTAL(109,Program6[(D)
Prior Period Adjustments])</f>
        <v>-12792</v>
      </c>
      <c r="E162" s="42">
        <f>SUBTOTAL(109,Program6[(E)
Current Period Desk 
Reviews])</f>
        <v>0</v>
      </c>
      <c r="F162" s="42">
        <f>SUBTOTAL(109,Program6[(F)
Current Period 
Final 
Audits])</f>
        <v>0</v>
      </c>
      <c r="G162" s="42">
        <f>SUBTOTAL(109,Program6[(G)
Current Period 
Other Adjustments])</f>
        <v>0</v>
      </c>
      <c r="H162" s="42">
        <f>SUBTOTAL(109,Program6[(H)
Net Program Costs
Sum (C through G)])</f>
        <v>2615</v>
      </c>
      <c r="I162" s="42">
        <f>SUBTOTAL(109,Program6[(I)
Payments
 and Offsets])</f>
        <v>-2615</v>
      </c>
      <c r="J162" s="42">
        <f>SUBTOTAL(109,Program6[(J)
Accounts Payable Balance
(H + I)])</f>
        <v>0</v>
      </c>
      <c r="K162" s="42">
        <f>SUBTOTAL(109,Program6[(K)
Established 
Accounts Receivable])</f>
        <v>0</v>
      </c>
      <c r="L162" s="42">
        <f>SUBTOTAL(109,Program6[(L)
Recovered
 Accounts Receivable])</f>
        <v>0</v>
      </c>
      <c r="M162" s="42">
        <f>SUBTOTAL(109,Program6[(M)
Accounts Receivable Balance
(K + L)])</f>
        <v>0</v>
      </c>
      <c r="N162" s="42">
        <f>SUBTOTAL(109,Program6[(N)
Net Balance
(J minus M)])</f>
        <v>0</v>
      </c>
    </row>
    <row r="163" spans="1:14" outlineLevel="2" x14ac:dyDescent="0.35">
      <c r="A163" s="63" t="s">
        <v>33</v>
      </c>
      <c r="B163" s="62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ht="77.5" outlineLevel="2" x14ac:dyDescent="0.35">
      <c r="A164" s="60" t="s">
        <v>185</v>
      </c>
      <c r="B164" s="59" t="s">
        <v>184</v>
      </c>
      <c r="C164" s="58" t="s">
        <v>183</v>
      </c>
      <c r="D164" s="58" t="s">
        <v>182</v>
      </c>
      <c r="E164" s="56" t="s">
        <v>181</v>
      </c>
      <c r="F164" s="56" t="s">
        <v>180</v>
      </c>
      <c r="G164" s="56" t="s">
        <v>179</v>
      </c>
      <c r="H164" s="57" t="s">
        <v>674</v>
      </c>
      <c r="I164" s="55" t="s">
        <v>178</v>
      </c>
      <c r="J164" s="55" t="s">
        <v>177</v>
      </c>
      <c r="K164" s="56" t="s">
        <v>176</v>
      </c>
      <c r="L164" s="55" t="s">
        <v>175</v>
      </c>
      <c r="M164" s="55" t="s">
        <v>174</v>
      </c>
      <c r="N164" s="54" t="s">
        <v>173</v>
      </c>
    </row>
    <row r="165" spans="1:14" outlineLevel="2" x14ac:dyDescent="0.35">
      <c r="A165" s="53" t="s">
        <v>343</v>
      </c>
      <c r="B165" s="66" t="s">
        <v>194</v>
      </c>
      <c r="C165" s="51">
        <v>11988972</v>
      </c>
      <c r="D165" s="51">
        <v>-12444</v>
      </c>
      <c r="E165" s="51">
        <v>0</v>
      </c>
      <c r="F165" s="51">
        <v>0</v>
      </c>
      <c r="G165" s="51">
        <v>0</v>
      </c>
      <c r="H165" s="51">
        <v>11976528</v>
      </c>
      <c r="I165" s="51">
        <v>-11976528</v>
      </c>
      <c r="J165" s="51">
        <v>0</v>
      </c>
      <c r="K165" s="51">
        <v>58260</v>
      </c>
      <c r="L165" s="51">
        <v>-58260</v>
      </c>
      <c r="M165" s="51">
        <v>0</v>
      </c>
      <c r="N165" s="51">
        <v>0</v>
      </c>
    </row>
    <row r="166" spans="1:14" outlineLevel="1" x14ac:dyDescent="0.35">
      <c r="A166" s="82" t="s">
        <v>343</v>
      </c>
      <c r="B166" s="66" t="s">
        <v>193</v>
      </c>
      <c r="C166" s="51">
        <v>10846878</v>
      </c>
      <c r="D166" s="51">
        <v>-288892</v>
      </c>
      <c r="E166" s="51">
        <v>0</v>
      </c>
      <c r="F166" s="51">
        <v>0</v>
      </c>
      <c r="G166" s="51">
        <v>0</v>
      </c>
      <c r="H166" s="51">
        <v>10557986</v>
      </c>
      <c r="I166" s="51">
        <v>-10557986</v>
      </c>
      <c r="J166" s="51">
        <v>0</v>
      </c>
      <c r="K166" s="51">
        <v>140748</v>
      </c>
      <c r="L166" s="51">
        <v>-140748</v>
      </c>
      <c r="M166" s="51">
        <v>0</v>
      </c>
      <c r="N166" s="51">
        <v>0</v>
      </c>
    </row>
    <row r="167" spans="1:14" outlineLevel="1" x14ac:dyDescent="0.35">
      <c r="A167" s="82" t="s">
        <v>343</v>
      </c>
      <c r="B167" s="66" t="s">
        <v>192</v>
      </c>
      <c r="C167" s="51">
        <v>9719514</v>
      </c>
      <c r="D167" s="51">
        <v>-48418</v>
      </c>
      <c r="E167" s="51">
        <v>0</v>
      </c>
      <c r="F167" s="51">
        <v>0</v>
      </c>
      <c r="G167" s="51">
        <v>0</v>
      </c>
      <c r="H167" s="51">
        <v>9671096</v>
      </c>
      <c r="I167" s="51">
        <v>-9671096</v>
      </c>
      <c r="J167" s="51">
        <v>0</v>
      </c>
      <c r="K167" s="51">
        <v>230963</v>
      </c>
      <c r="L167" s="51">
        <v>-230963</v>
      </c>
      <c r="M167" s="51">
        <v>0</v>
      </c>
      <c r="N167" s="51">
        <v>0</v>
      </c>
    </row>
    <row r="168" spans="1:14" outlineLevel="1" x14ac:dyDescent="0.35">
      <c r="A168" s="82" t="s">
        <v>343</v>
      </c>
      <c r="B168" s="66" t="s">
        <v>191</v>
      </c>
      <c r="C168" s="51">
        <v>9359691</v>
      </c>
      <c r="D168" s="51">
        <v>-403236</v>
      </c>
      <c r="E168" s="51">
        <v>0</v>
      </c>
      <c r="F168" s="51">
        <v>0</v>
      </c>
      <c r="G168" s="51">
        <v>0</v>
      </c>
      <c r="H168" s="51">
        <v>8956455</v>
      </c>
      <c r="I168" s="51">
        <v>-8956455</v>
      </c>
      <c r="J168" s="51">
        <v>0</v>
      </c>
      <c r="K168" s="51">
        <v>207024</v>
      </c>
      <c r="L168" s="51">
        <v>-207024</v>
      </c>
      <c r="M168" s="51">
        <v>0</v>
      </c>
      <c r="N168" s="51">
        <v>0</v>
      </c>
    </row>
    <row r="169" spans="1:14" outlineLevel="2" x14ac:dyDescent="0.35">
      <c r="A169" s="82" t="s">
        <v>343</v>
      </c>
      <c r="B169" s="66" t="s">
        <v>190</v>
      </c>
      <c r="C169" s="51">
        <v>4828502</v>
      </c>
      <c r="D169" s="51">
        <v>-108567</v>
      </c>
      <c r="E169" s="51">
        <v>0</v>
      </c>
      <c r="F169" s="51">
        <v>0</v>
      </c>
      <c r="G169" s="51">
        <v>0</v>
      </c>
      <c r="H169" s="51">
        <v>4719935</v>
      </c>
      <c r="I169" s="51">
        <v>-4719935</v>
      </c>
      <c r="J169" s="51">
        <v>0</v>
      </c>
      <c r="K169" s="51">
        <v>130777</v>
      </c>
      <c r="L169" s="51">
        <v>-130777</v>
      </c>
      <c r="M169" s="51">
        <v>0</v>
      </c>
      <c r="N169" s="51">
        <v>0</v>
      </c>
    </row>
    <row r="170" spans="1:14" outlineLevel="2" x14ac:dyDescent="0.35">
      <c r="A170" s="82" t="s">
        <v>343</v>
      </c>
      <c r="B170" s="66" t="s">
        <v>189</v>
      </c>
      <c r="C170" s="51">
        <v>4367725</v>
      </c>
      <c r="D170" s="51">
        <v>-98873</v>
      </c>
      <c r="E170" s="51">
        <v>0</v>
      </c>
      <c r="F170" s="51">
        <v>0</v>
      </c>
      <c r="G170" s="51">
        <v>0</v>
      </c>
      <c r="H170" s="51">
        <v>4268852</v>
      </c>
      <c r="I170" s="51">
        <v>-4268852</v>
      </c>
      <c r="J170" s="51">
        <v>0</v>
      </c>
      <c r="K170" s="51">
        <v>47421</v>
      </c>
      <c r="L170" s="51">
        <v>-47421</v>
      </c>
      <c r="M170" s="51">
        <v>0</v>
      </c>
      <c r="N170" s="51">
        <v>0</v>
      </c>
    </row>
    <row r="171" spans="1:14" outlineLevel="1" x14ac:dyDescent="0.35">
      <c r="A171" s="82" t="s">
        <v>343</v>
      </c>
      <c r="B171" s="66" t="s">
        <v>188</v>
      </c>
      <c r="C171" s="51">
        <v>3698691</v>
      </c>
      <c r="D171" s="51">
        <v>-81088</v>
      </c>
      <c r="E171" s="51">
        <v>0</v>
      </c>
      <c r="F171" s="51">
        <v>0</v>
      </c>
      <c r="G171" s="51">
        <v>0</v>
      </c>
      <c r="H171" s="51">
        <v>3617603</v>
      </c>
      <c r="I171" s="51">
        <v>-3617603</v>
      </c>
      <c r="J171" s="51">
        <v>0</v>
      </c>
      <c r="K171" s="51">
        <v>56283</v>
      </c>
      <c r="L171" s="51">
        <v>-56283</v>
      </c>
      <c r="M171" s="51">
        <v>0</v>
      </c>
      <c r="N171" s="51">
        <v>0</v>
      </c>
    </row>
    <row r="172" spans="1:14" outlineLevel="1" x14ac:dyDescent="0.35">
      <c r="A172" s="82" t="s">
        <v>343</v>
      </c>
      <c r="B172" s="66" t="s">
        <v>186</v>
      </c>
      <c r="C172" s="51">
        <v>3231112</v>
      </c>
      <c r="D172" s="51">
        <v>-101336</v>
      </c>
      <c r="E172" s="51">
        <v>0</v>
      </c>
      <c r="F172" s="51">
        <v>0</v>
      </c>
      <c r="G172" s="51">
        <v>0</v>
      </c>
      <c r="H172" s="51">
        <v>3129776</v>
      </c>
      <c r="I172" s="51">
        <v>-3129776</v>
      </c>
      <c r="J172" s="51">
        <v>0</v>
      </c>
      <c r="K172" s="51">
        <v>104250</v>
      </c>
      <c r="L172" s="51">
        <v>-104250</v>
      </c>
      <c r="M172" s="51">
        <v>0</v>
      </c>
      <c r="N172" s="51">
        <v>0</v>
      </c>
    </row>
    <row r="173" spans="1:14" outlineLevel="1" x14ac:dyDescent="0.35">
      <c r="A173" s="82" t="s">
        <v>343</v>
      </c>
      <c r="B173" s="66" t="s">
        <v>227</v>
      </c>
      <c r="C173" s="51">
        <v>474759</v>
      </c>
      <c r="D173" s="51">
        <v>0</v>
      </c>
      <c r="E173" s="51">
        <v>0</v>
      </c>
      <c r="F173" s="51">
        <v>0</v>
      </c>
      <c r="G173" s="51">
        <v>0</v>
      </c>
      <c r="H173" s="51">
        <v>474759</v>
      </c>
      <c r="I173" s="51">
        <v>-474759</v>
      </c>
      <c r="J173" s="51">
        <v>0</v>
      </c>
      <c r="K173" s="51">
        <v>21917</v>
      </c>
      <c r="L173" s="51">
        <v>-21917</v>
      </c>
      <c r="M173" s="51">
        <v>0</v>
      </c>
      <c r="N173" s="51">
        <v>0</v>
      </c>
    </row>
    <row r="174" spans="1:14" outlineLevel="2" x14ac:dyDescent="0.35">
      <c r="A174" s="82" t="s">
        <v>343</v>
      </c>
      <c r="B174" s="66" t="s">
        <v>226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110977</v>
      </c>
      <c r="L174" s="51">
        <v>-110977</v>
      </c>
      <c r="M174" s="51">
        <v>0</v>
      </c>
      <c r="N174" s="51">
        <v>0</v>
      </c>
    </row>
    <row r="175" spans="1:14" outlineLevel="2" x14ac:dyDescent="0.35">
      <c r="A175" s="82" t="s">
        <v>343</v>
      </c>
      <c r="B175" s="66" t="s">
        <v>223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272</v>
      </c>
      <c r="L175" s="51">
        <v>-272</v>
      </c>
      <c r="M175" s="51">
        <v>0</v>
      </c>
      <c r="N175" s="51">
        <v>0</v>
      </c>
    </row>
    <row r="176" spans="1:14" outlineLevel="2" x14ac:dyDescent="0.35">
      <c r="A176" s="82" t="s">
        <v>343</v>
      </c>
      <c r="B176" s="66" t="s">
        <v>257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405</v>
      </c>
      <c r="L176" s="51">
        <v>-405</v>
      </c>
      <c r="M176" s="51">
        <v>0</v>
      </c>
      <c r="N176" s="51">
        <v>0</v>
      </c>
    </row>
    <row r="177" spans="1:14" outlineLevel="2" x14ac:dyDescent="0.35">
      <c r="A177" s="65" t="s">
        <v>161</v>
      </c>
      <c r="B177" s="81" t="s">
        <v>12</v>
      </c>
      <c r="C177" s="42">
        <f>SUBTOTAL(109,Program7[(C)
Program
Costs])</f>
        <v>58515844</v>
      </c>
      <c r="D177" s="42">
        <f>SUBTOTAL(109,Program7[(D)
Prior Period Adjustments])</f>
        <v>-1142854</v>
      </c>
      <c r="E177" s="42">
        <f>SUBTOTAL(109,Program7[(E)
Current Period Desk 
Reviews])</f>
        <v>0</v>
      </c>
      <c r="F177" s="42">
        <f>SUBTOTAL(109,Program7[(F)
Current Period 
Final 
Audits])</f>
        <v>0</v>
      </c>
      <c r="G177" s="42">
        <f>SUBTOTAL(109,Program7[(G)
Current Period 
Other Adjustments])</f>
        <v>0</v>
      </c>
      <c r="H177" s="42">
        <f>SUBTOTAL(109,Program7[(H)
Net Program Costs
Sum (C through G)])</f>
        <v>57372990</v>
      </c>
      <c r="I177" s="42">
        <f>SUBTOTAL(109,Program7[(I)
Payments
 and Offsets])</f>
        <v>-57372990</v>
      </c>
      <c r="J177" s="42">
        <f>SUBTOTAL(109,Program7[(J)
Accounts Payable Balance
(H + I)])</f>
        <v>0</v>
      </c>
      <c r="K177" s="42">
        <f>SUBTOTAL(109,Program7[(K)
Established 
Accounts Receivable])</f>
        <v>1109297</v>
      </c>
      <c r="L177" s="42">
        <f>SUBTOTAL(109,Program7[(L)
Recovered
 Accounts Receivable])</f>
        <v>-1109297</v>
      </c>
      <c r="M177" s="42">
        <f>SUBTOTAL(109,Program7[(M)
Accounts Receivable Balance
(K + L)])</f>
        <v>0</v>
      </c>
      <c r="N177" s="42">
        <f>SUBTOTAL(109,Program7[(N)
Net Balance
(J minus M)])</f>
        <v>0</v>
      </c>
    </row>
    <row r="178" spans="1:14" outlineLevel="2" x14ac:dyDescent="0.35">
      <c r="A178" s="63" t="s">
        <v>33</v>
      </c>
      <c r="B178" s="62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ht="77.5" outlineLevel="2" x14ac:dyDescent="0.35">
      <c r="A179" s="60" t="s">
        <v>185</v>
      </c>
      <c r="B179" s="59" t="s">
        <v>184</v>
      </c>
      <c r="C179" s="58" t="s">
        <v>183</v>
      </c>
      <c r="D179" s="58" t="s">
        <v>182</v>
      </c>
      <c r="E179" s="56" t="s">
        <v>181</v>
      </c>
      <c r="F179" s="56" t="s">
        <v>180</v>
      </c>
      <c r="G179" s="56" t="s">
        <v>179</v>
      </c>
      <c r="H179" s="57" t="s">
        <v>674</v>
      </c>
      <c r="I179" s="55" t="s">
        <v>178</v>
      </c>
      <c r="J179" s="55" t="s">
        <v>177</v>
      </c>
      <c r="K179" s="56" t="s">
        <v>176</v>
      </c>
      <c r="L179" s="55" t="s">
        <v>175</v>
      </c>
      <c r="M179" s="55" t="s">
        <v>174</v>
      </c>
      <c r="N179" s="54" t="s">
        <v>173</v>
      </c>
    </row>
    <row r="180" spans="1:14" ht="31" outlineLevel="2" x14ac:dyDescent="0.35">
      <c r="A180" s="70" t="s">
        <v>342</v>
      </c>
      <c r="B180" s="69" t="s">
        <v>186</v>
      </c>
      <c r="C180" s="68">
        <v>133740</v>
      </c>
      <c r="D180" s="68">
        <v>-3452</v>
      </c>
      <c r="E180" s="68">
        <v>0</v>
      </c>
      <c r="F180" s="68">
        <v>0</v>
      </c>
      <c r="G180" s="68">
        <v>0</v>
      </c>
      <c r="H180" s="68">
        <v>130288</v>
      </c>
      <c r="I180" s="68">
        <v>0</v>
      </c>
      <c r="J180" s="68">
        <v>130288</v>
      </c>
      <c r="K180" s="68">
        <v>0</v>
      </c>
      <c r="L180" s="68">
        <v>0</v>
      </c>
      <c r="M180" s="68">
        <v>0</v>
      </c>
      <c r="N180" s="68">
        <v>130288</v>
      </c>
    </row>
    <row r="181" spans="1:14" ht="31" outlineLevel="2" x14ac:dyDescent="0.35">
      <c r="A181" s="83" t="s">
        <v>342</v>
      </c>
      <c r="B181" s="69" t="s">
        <v>227</v>
      </c>
      <c r="C181" s="68">
        <v>85888</v>
      </c>
      <c r="D181" s="68">
        <v>0</v>
      </c>
      <c r="E181" s="68">
        <v>0</v>
      </c>
      <c r="F181" s="68">
        <v>0</v>
      </c>
      <c r="G181" s="68">
        <v>0</v>
      </c>
      <c r="H181" s="68">
        <v>85888</v>
      </c>
      <c r="I181" s="68">
        <v>0</v>
      </c>
      <c r="J181" s="68">
        <v>85888</v>
      </c>
      <c r="K181" s="68">
        <v>0</v>
      </c>
      <c r="L181" s="68">
        <v>0</v>
      </c>
      <c r="M181" s="68">
        <v>0</v>
      </c>
      <c r="N181" s="68">
        <v>85888</v>
      </c>
    </row>
    <row r="182" spans="1:14" outlineLevel="2" x14ac:dyDescent="0.35">
      <c r="A182" s="65" t="s">
        <v>160</v>
      </c>
      <c r="B182" s="81" t="s">
        <v>12</v>
      </c>
      <c r="C182" s="42">
        <f>SUBTOTAL(109,Program288[(C)
Program
Costs])</f>
        <v>219628</v>
      </c>
      <c r="D182" s="42">
        <f>SUBTOTAL(109,Program288[(D)
Prior Period Adjustments])</f>
        <v>-3452</v>
      </c>
      <c r="E182" s="42">
        <f>SUBTOTAL(109,Program288[(E)
Current Period Desk 
Reviews])</f>
        <v>0</v>
      </c>
      <c r="F182" s="42">
        <f>SUBTOTAL(109,Program288[(F)
Current Period 
Final 
Audits])</f>
        <v>0</v>
      </c>
      <c r="G182" s="42">
        <f>SUBTOTAL(109,Program288[(G)
Current Period 
Other Adjustments])</f>
        <v>0</v>
      </c>
      <c r="H182" s="42">
        <f>SUBTOTAL(109,Program288[(H)
Net Program Costs
Sum (C through G)])</f>
        <v>216176</v>
      </c>
      <c r="I182" s="42">
        <f>SUBTOTAL(109,Program288[(I)
Payments
 and Offsets])</f>
        <v>0</v>
      </c>
      <c r="J182" s="42">
        <f>SUBTOTAL(109,Program288[(J)
Accounts Payable Balance
(H + I)])</f>
        <v>216176</v>
      </c>
      <c r="K182" s="42">
        <f>SUBTOTAL(109,Program288[(K)
Established 
Accounts Receivable])</f>
        <v>0</v>
      </c>
      <c r="L182" s="42">
        <f>SUBTOTAL(109,Program288[(L)
Recovered
 Accounts Receivable])</f>
        <v>0</v>
      </c>
      <c r="M182" s="42">
        <f>SUBTOTAL(109,Program288[(M)
Accounts Receivable Balance
(K + L)])</f>
        <v>0</v>
      </c>
      <c r="N182" s="42">
        <f>SUBTOTAL(109,Program288[(N)
Net Balance
(J minus M)])</f>
        <v>216176</v>
      </c>
    </row>
    <row r="183" spans="1:14" outlineLevel="2" x14ac:dyDescent="0.35">
      <c r="A183" s="63" t="s">
        <v>33</v>
      </c>
      <c r="B183" s="62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ht="77.5" outlineLevel="2" x14ac:dyDescent="0.35">
      <c r="A184" s="60" t="s">
        <v>185</v>
      </c>
      <c r="B184" s="59" t="s">
        <v>184</v>
      </c>
      <c r="C184" s="58" t="s">
        <v>183</v>
      </c>
      <c r="D184" s="58" t="s">
        <v>182</v>
      </c>
      <c r="E184" s="56" t="s">
        <v>181</v>
      </c>
      <c r="F184" s="56" t="s">
        <v>180</v>
      </c>
      <c r="G184" s="56" t="s">
        <v>179</v>
      </c>
      <c r="H184" s="57" t="s">
        <v>674</v>
      </c>
      <c r="I184" s="55" t="s">
        <v>178</v>
      </c>
      <c r="J184" s="55" t="s">
        <v>177</v>
      </c>
      <c r="K184" s="56" t="s">
        <v>176</v>
      </c>
      <c r="L184" s="55" t="s">
        <v>175</v>
      </c>
      <c r="M184" s="55" t="s">
        <v>174</v>
      </c>
      <c r="N184" s="54" t="s">
        <v>173</v>
      </c>
    </row>
    <row r="185" spans="1:14" outlineLevel="1" x14ac:dyDescent="0.35">
      <c r="A185" s="53" t="s">
        <v>341</v>
      </c>
      <c r="B185" s="66" t="s">
        <v>218</v>
      </c>
      <c r="C185" s="51">
        <v>2725288</v>
      </c>
      <c r="D185" s="51">
        <v>-41112</v>
      </c>
      <c r="E185" s="51">
        <v>0</v>
      </c>
      <c r="F185" s="51">
        <v>0</v>
      </c>
      <c r="G185" s="51">
        <v>0</v>
      </c>
      <c r="H185" s="51">
        <v>2684176</v>
      </c>
      <c r="I185" s="51">
        <v>-2684176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</row>
    <row r="186" spans="1:14" outlineLevel="1" x14ac:dyDescent="0.35">
      <c r="A186" s="82" t="s">
        <v>341</v>
      </c>
      <c r="B186" s="66" t="s">
        <v>209</v>
      </c>
      <c r="C186" s="51">
        <v>3063584</v>
      </c>
      <c r="D186" s="51">
        <v>-117178</v>
      </c>
      <c r="E186" s="51">
        <v>0</v>
      </c>
      <c r="F186" s="51">
        <v>0</v>
      </c>
      <c r="G186" s="51">
        <v>0</v>
      </c>
      <c r="H186" s="51">
        <v>2946406</v>
      </c>
      <c r="I186" s="51">
        <v>-2946406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</row>
    <row r="187" spans="1:14" outlineLevel="1" x14ac:dyDescent="0.35">
      <c r="A187" s="82" t="s">
        <v>341</v>
      </c>
      <c r="B187" s="66" t="s">
        <v>208</v>
      </c>
      <c r="C187" s="51">
        <v>2463813</v>
      </c>
      <c r="D187" s="51">
        <v>-108567</v>
      </c>
      <c r="E187" s="51">
        <v>0</v>
      </c>
      <c r="F187" s="51">
        <v>0</v>
      </c>
      <c r="G187" s="51">
        <v>0</v>
      </c>
      <c r="H187" s="51">
        <v>2355246</v>
      </c>
      <c r="I187" s="51">
        <v>-2355246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</row>
    <row r="188" spans="1:14" outlineLevel="2" x14ac:dyDescent="0.35">
      <c r="A188" s="82" t="s">
        <v>341</v>
      </c>
      <c r="B188" s="66" t="s">
        <v>206</v>
      </c>
      <c r="C188" s="51">
        <v>2170881</v>
      </c>
      <c r="D188" s="51">
        <v>-110069</v>
      </c>
      <c r="E188" s="51">
        <v>0</v>
      </c>
      <c r="F188" s="51">
        <v>0</v>
      </c>
      <c r="G188" s="51">
        <v>0</v>
      </c>
      <c r="H188" s="51">
        <v>2060812</v>
      </c>
      <c r="I188" s="51">
        <v>-2060812</v>
      </c>
      <c r="J188" s="51">
        <v>0</v>
      </c>
      <c r="K188" s="51">
        <v>11046</v>
      </c>
      <c r="L188" s="51">
        <v>0</v>
      </c>
      <c r="M188" s="51">
        <v>11046</v>
      </c>
      <c r="N188" s="51">
        <v>-11046</v>
      </c>
    </row>
    <row r="189" spans="1:14" outlineLevel="2" x14ac:dyDescent="0.35">
      <c r="A189" s="82" t="s">
        <v>341</v>
      </c>
      <c r="B189" s="66" t="s">
        <v>205</v>
      </c>
      <c r="C189" s="51">
        <v>1732214</v>
      </c>
      <c r="D189" s="51">
        <v>-92020</v>
      </c>
      <c r="E189" s="51">
        <v>0</v>
      </c>
      <c r="F189" s="51">
        <v>0</v>
      </c>
      <c r="G189" s="51">
        <v>0</v>
      </c>
      <c r="H189" s="51">
        <v>1640194</v>
      </c>
      <c r="I189" s="51">
        <v>-1640194</v>
      </c>
      <c r="J189" s="51">
        <v>0</v>
      </c>
      <c r="K189" s="51">
        <v>9444</v>
      </c>
      <c r="L189" s="51">
        <v>0</v>
      </c>
      <c r="M189" s="51">
        <v>9444</v>
      </c>
      <c r="N189" s="51">
        <v>-9444</v>
      </c>
    </row>
    <row r="190" spans="1:14" outlineLevel="2" x14ac:dyDescent="0.35">
      <c r="A190" s="82" t="s">
        <v>341</v>
      </c>
      <c r="B190" s="66" t="s">
        <v>204</v>
      </c>
      <c r="C190" s="51">
        <v>1650201</v>
      </c>
      <c r="D190" s="51">
        <v>-91470</v>
      </c>
      <c r="E190" s="51">
        <v>0</v>
      </c>
      <c r="F190" s="51">
        <v>0</v>
      </c>
      <c r="G190" s="51">
        <v>0</v>
      </c>
      <c r="H190" s="51">
        <v>1558731</v>
      </c>
      <c r="I190" s="51">
        <v>-1558731</v>
      </c>
      <c r="J190" s="51">
        <v>0</v>
      </c>
      <c r="K190" s="51">
        <v>7837</v>
      </c>
      <c r="L190" s="51">
        <v>0</v>
      </c>
      <c r="M190" s="51">
        <v>7837</v>
      </c>
      <c r="N190" s="51">
        <v>-7837</v>
      </c>
    </row>
    <row r="191" spans="1:14" outlineLevel="2" x14ac:dyDescent="0.35">
      <c r="A191" s="82" t="s">
        <v>341</v>
      </c>
      <c r="B191" s="66" t="s">
        <v>203</v>
      </c>
      <c r="C191" s="51">
        <v>1311290</v>
      </c>
      <c r="D191" s="51">
        <v>-82329</v>
      </c>
      <c r="E191" s="51">
        <v>0</v>
      </c>
      <c r="F191" s="51">
        <v>0</v>
      </c>
      <c r="G191" s="51">
        <v>0</v>
      </c>
      <c r="H191" s="51">
        <v>1228961</v>
      </c>
      <c r="I191" s="51">
        <v>-1228961</v>
      </c>
      <c r="J191" s="51">
        <v>0</v>
      </c>
      <c r="K191" s="51">
        <v>6821</v>
      </c>
      <c r="L191" s="51">
        <v>0</v>
      </c>
      <c r="M191" s="51">
        <v>6821</v>
      </c>
      <c r="N191" s="51">
        <v>-6821</v>
      </c>
    </row>
    <row r="192" spans="1:14" outlineLevel="2" x14ac:dyDescent="0.35">
      <c r="A192" s="82" t="s">
        <v>341</v>
      </c>
      <c r="B192" s="66" t="s">
        <v>202</v>
      </c>
      <c r="C192" s="51">
        <v>918202</v>
      </c>
      <c r="D192" s="51">
        <v>-51473</v>
      </c>
      <c r="E192" s="51">
        <v>0</v>
      </c>
      <c r="F192" s="51">
        <v>0</v>
      </c>
      <c r="G192" s="51">
        <v>0</v>
      </c>
      <c r="H192" s="51">
        <v>866729</v>
      </c>
      <c r="I192" s="51">
        <v>-866729</v>
      </c>
      <c r="J192" s="51">
        <v>0</v>
      </c>
      <c r="K192" s="51">
        <v>6573</v>
      </c>
      <c r="L192" s="51">
        <v>0</v>
      </c>
      <c r="M192" s="51">
        <v>6573</v>
      </c>
      <c r="N192" s="51">
        <v>-6573</v>
      </c>
    </row>
    <row r="193" spans="1:14" outlineLevel="2" x14ac:dyDescent="0.35">
      <c r="A193" s="82" t="s">
        <v>341</v>
      </c>
      <c r="B193" s="66" t="s">
        <v>201</v>
      </c>
      <c r="C193" s="51">
        <v>701260</v>
      </c>
      <c r="D193" s="51">
        <v>-40312</v>
      </c>
      <c r="E193" s="51">
        <v>0</v>
      </c>
      <c r="F193" s="51">
        <v>0</v>
      </c>
      <c r="G193" s="51">
        <v>0</v>
      </c>
      <c r="H193" s="51">
        <v>660948</v>
      </c>
      <c r="I193" s="51">
        <v>-660948</v>
      </c>
      <c r="J193" s="51">
        <v>0</v>
      </c>
      <c r="K193" s="51">
        <v>6766</v>
      </c>
      <c r="L193" s="51">
        <v>0</v>
      </c>
      <c r="M193" s="51">
        <v>6766</v>
      </c>
      <c r="N193" s="51">
        <v>-6766</v>
      </c>
    </row>
    <row r="194" spans="1:14" outlineLevel="1" x14ac:dyDescent="0.35">
      <c r="A194" s="82" t="s">
        <v>341</v>
      </c>
      <c r="B194" s="66" t="s">
        <v>200</v>
      </c>
      <c r="C194" s="51">
        <v>543212</v>
      </c>
      <c r="D194" s="51">
        <v>-28027</v>
      </c>
      <c r="E194" s="51">
        <v>0</v>
      </c>
      <c r="F194" s="51">
        <v>0</v>
      </c>
      <c r="G194" s="51">
        <v>0</v>
      </c>
      <c r="H194" s="51">
        <v>515185</v>
      </c>
      <c r="I194" s="51">
        <v>-515185</v>
      </c>
      <c r="J194" s="51">
        <v>0</v>
      </c>
      <c r="K194" s="51">
        <v>5351</v>
      </c>
      <c r="L194" s="51">
        <v>0</v>
      </c>
      <c r="M194" s="51">
        <v>5351</v>
      </c>
      <c r="N194" s="51">
        <v>-5351</v>
      </c>
    </row>
    <row r="195" spans="1:14" outlineLevel="1" x14ac:dyDescent="0.35">
      <c r="A195" s="82" t="s">
        <v>341</v>
      </c>
      <c r="B195" s="66" t="s">
        <v>199</v>
      </c>
      <c r="C195" s="51">
        <v>439142</v>
      </c>
      <c r="D195" s="51">
        <v>-20692</v>
      </c>
      <c r="E195" s="51">
        <v>0</v>
      </c>
      <c r="F195" s="51">
        <v>0</v>
      </c>
      <c r="G195" s="51">
        <v>0</v>
      </c>
      <c r="H195" s="51">
        <v>418450</v>
      </c>
      <c r="I195" s="51">
        <v>-418450</v>
      </c>
      <c r="J195" s="51">
        <v>0</v>
      </c>
      <c r="K195" s="51">
        <v>0</v>
      </c>
      <c r="L195" s="51">
        <v>0</v>
      </c>
      <c r="M195" s="51">
        <v>0</v>
      </c>
      <c r="N195" s="51">
        <v>0</v>
      </c>
    </row>
    <row r="196" spans="1:14" outlineLevel="1" x14ac:dyDescent="0.35">
      <c r="A196" s="82" t="s">
        <v>341</v>
      </c>
      <c r="B196" s="66" t="s">
        <v>198</v>
      </c>
      <c r="C196" s="51">
        <v>351927</v>
      </c>
      <c r="D196" s="51">
        <v>-15184</v>
      </c>
      <c r="E196" s="51">
        <v>0</v>
      </c>
      <c r="F196" s="51">
        <v>0</v>
      </c>
      <c r="G196" s="51">
        <v>0</v>
      </c>
      <c r="H196" s="51">
        <v>336743</v>
      </c>
      <c r="I196" s="51">
        <v>-336743</v>
      </c>
      <c r="J196" s="51">
        <v>0</v>
      </c>
      <c r="K196" s="51">
        <v>0</v>
      </c>
      <c r="L196" s="51">
        <v>0</v>
      </c>
      <c r="M196" s="51">
        <v>0</v>
      </c>
      <c r="N196" s="51">
        <v>0</v>
      </c>
    </row>
    <row r="197" spans="1:14" outlineLevel="2" x14ac:dyDescent="0.35">
      <c r="A197" s="82" t="s">
        <v>341</v>
      </c>
      <c r="B197" s="66" t="s">
        <v>197</v>
      </c>
      <c r="C197" s="51">
        <v>308454</v>
      </c>
      <c r="D197" s="51">
        <v>-14737</v>
      </c>
      <c r="E197" s="51">
        <v>0</v>
      </c>
      <c r="F197" s="51">
        <v>0</v>
      </c>
      <c r="G197" s="51">
        <v>0</v>
      </c>
      <c r="H197" s="51">
        <v>293717</v>
      </c>
      <c r="I197" s="51">
        <v>-293717</v>
      </c>
      <c r="J197" s="51">
        <v>0</v>
      </c>
      <c r="K197" s="51">
        <v>0</v>
      </c>
      <c r="L197" s="51">
        <v>0</v>
      </c>
      <c r="M197" s="51">
        <v>0</v>
      </c>
      <c r="N197" s="51">
        <v>0</v>
      </c>
    </row>
    <row r="198" spans="1:14" outlineLevel="2" x14ac:dyDescent="0.35">
      <c r="A198" s="65" t="s">
        <v>159</v>
      </c>
      <c r="B198" s="81" t="s">
        <v>12</v>
      </c>
      <c r="C198" s="42">
        <f>SUBTOTAL(109,Program353[(C)
Program
Costs])</f>
        <v>18379468</v>
      </c>
      <c r="D198" s="42">
        <f>SUBTOTAL(109,Program353[(D)
Prior Period Adjustments])</f>
        <v>-813170</v>
      </c>
      <c r="E198" s="42">
        <f>SUBTOTAL(109,Program353[(E)
Current Period Desk 
Reviews])</f>
        <v>0</v>
      </c>
      <c r="F198" s="42">
        <f>SUBTOTAL(109,Program353[(F)
Current Period 
Final 
Audits])</f>
        <v>0</v>
      </c>
      <c r="G198" s="42">
        <f>SUBTOTAL(109,Program353[(G)
Current Period 
Other Adjustments])</f>
        <v>0</v>
      </c>
      <c r="H198" s="42">
        <f>SUBTOTAL(109,Program353[(H)
Net Program Costs
Sum (C through G)])</f>
        <v>17566298</v>
      </c>
      <c r="I198" s="42">
        <f>SUBTOTAL(109,Program353[(I)
Payments
 and Offsets])</f>
        <v>-17566298</v>
      </c>
      <c r="J198" s="42">
        <f>SUBTOTAL(109,Program353[(J)
Accounts Payable Balance
(H + I)])</f>
        <v>0</v>
      </c>
      <c r="K198" s="42">
        <f>SUBTOTAL(109,Program353[(K)
Established 
Accounts Receivable])</f>
        <v>53838</v>
      </c>
      <c r="L198" s="42">
        <f>SUBTOTAL(109,Program353[(L)
Recovered
 Accounts Receivable])</f>
        <v>0</v>
      </c>
      <c r="M198" s="42">
        <f>SUBTOTAL(109,Program353[(M)
Accounts Receivable Balance
(K + L)])</f>
        <v>53838</v>
      </c>
      <c r="N198" s="42">
        <f>SUBTOTAL(109,Program353[(N)
Net Balance
(J minus M)])</f>
        <v>-53838</v>
      </c>
    </row>
    <row r="199" spans="1:14" outlineLevel="2" x14ac:dyDescent="0.35">
      <c r="A199" s="63" t="s">
        <v>33</v>
      </c>
      <c r="B199" s="62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ht="77.5" outlineLevel="2" x14ac:dyDescent="0.35">
      <c r="A200" s="60" t="s">
        <v>185</v>
      </c>
      <c r="B200" s="59" t="s">
        <v>184</v>
      </c>
      <c r="C200" s="58" t="s">
        <v>183</v>
      </c>
      <c r="D200" s="58" t="s">
        <v>182</v>
      </c>
      <c r="E200" s="56" t="s">
        <v>181</v>
      </c>
      <c r="F200" s="56" t="s">
        <v>180</v>
      </c>
      <c r="G200" s="56" t="s">
        <v>179</v>
      </c>
      <c r="H200" s="57" t="s">
        <v>674</v>
      </c>
      <c r="I200" s="55" t="s">
        <v>178</v>
      </c>
      <c r="J200" s="55" t="s">
        <v>177</v>
      </c>
      <c r="K200" s="56" t="s">
        <v>176</v>
      </c>
      <c r="L200" s="55" t="s">
        <v>175</v>
      </c>
      <c r="M200" s="55" t="s">
        <v>174</v>
      </c>
      <c r="N200" s="54" t="s">
        <v>173</v>
      </c>
    </row>
    <row r="201" spans="1:14" ht="31" outlineLevel="2" x14ac:dyDescent="0.35">
      <c r="A201" s="70" t="s">
        <v>340</v>
      </c>
      <c r="B201" s="69" t="s">
        <v>198</v>
      </c>
      <c r="C201" s="68">
        <v>254775</v>
      </c>
      <c r="D201" s="68">
        <v>0</v>
      </c>
      <c r="E201" s="68">
        <v>0</v>
      </c>
      <c r="F201" s="68">
        <v>0</v>
      </c>
      <c r="G201" s="68">
        <v>0</v>
      </c>
      <c r="H201" s="68">
        <v>254775</v>
      </c>
      <c r="I201" s="68">
        <v>-254775</v>
      </c>
      <c r="J201" s="68">
        <v>0</v>
      </c>
      <c r="K201" s="68">
        <v>0</v>
      </c>
      <c r="L201" s="68">
        <v>0</v>
      </c>
      <c r="M201" s="68">
        <v>0</v>
      </c>
      <c r="N201" s="68">
        <v>0</v>
      </c>
    </row>
    <row r="202" spans="1:14" ht="31" outlineLevel="2" x14ac:dyDescent="0.35">
      <c r="A202" s="83" t="s">
        <v>340</v>
      </c>
      <c r="B202" s="69" t="s">
        <v>197</v>
      </c>
      <c r="C202" s="68">
        <v>224806</v>
      </c>
      <c r="D202" s="68">
        <v>-1539</v>
      </c>
      <c r="E202" s="68">
        <v>0</v>
      </c>
      <c r="F202" s="68">
        <v>0</v>
      </c>
      <c r="G202" s="68">
        <v>0</v>
      </c>
      <c r="H202" s="68">
        <v>223267</v>
      </c>
      <c r="I202" s="68">
        <v>-223267</v>
      </c>
      <c r="J202" s="68">
        <v>0</v>
      </c>
      <c r="K202" s="68">
        <v>0</v>
      </c>
      <c r="L202" s="68">
        <v>0</v>
      </c>
      <c r="M202" s="68">
        <v>0</v>
      </c>
      <c r="N202" s="68">
        <v>0</v>
      </c>
    </row>
    <row r="203" spans="1:14" ht="31" outlineLevel="2" x14ac:dyDescent="0.35">
      <c r="A203" s="83" t="s">
        <v>340</v>
      </c>
      <c r="B203" s="69" t="s">
        <v>196</v>
      </c>
      <c r="C203" s="68">
        <v>137993</v>
      </c>
      <c r="D203" s="68">
        <v>-1000</v>
      </c>
      <c r="E203" s="68">
        <v>0</v>
      </c>
      <c r="F203" s="68">
        <v>0</v>
      </c>
      <c r="G203" s="68">
        <v>0</v>
      </c>
      <c r="H203" s="68">
        <v>136993</v>
      </c>
      <c r="I203" s="68">
        <v>-136993</v>
      </c>
      <c r="J203" s="68">
        <v>0</v>
      </c>
      <c r="K203" s="68">
        <v>0</v>
      </c>
      <c r="L203" s="68">
        <v>0</v>
      </c>
      <c r="M203" s="68">
        <v>0</v>
      </c>
      <c r="N203" s="68">
        <v>0</v>
      </c>
    </row>
    <row r="204" spans="1:14" ht="31" outlineLevel="2" x14ac:dyDescent="0.35">
      <c r="A204" s="83" t="s">
        <v>340</v>
      </c>
      <c r="B204" s="69" t="s">
        <v>195</v>
      </c>
      <c r="C204" s="68">
        <v>80336</v>
      </c>
      <c r="D204" s="68">
        <v>-37</v>
      </c>
      <c r="E204" s="68">
        <v>0</v>
      </c>
      <c r="F204" s="68">
        <v>0</v>
      </c>
      <c r="G204" s="68">
        <v>0</v>
      </c>
      <c r="H204" s="68">
        <v>80299</v>
      </c>
      <c r="I204" s="68">
        <v>-80299</v>
      </c>
      <c r="J204" s="68">
        <v>0</v>
      </c>
      <c r="K204" s="68">
        <v>0</v>
      </c>
      <c r="L204" s="68">
        <v>0</v>
      </c>
      <c r="M204" s="68">
        <v>0</v>
      </c>
      <c r="N204" s="68">
        <v>0</v>
      </c>
    </row>
    <row r="205" spans="1:14" ht="31" outlineLevel="2" x14ac:dyDescent="0.35">
      <c r="A205" s="83" t="s">
        <v>340</v>
      </c>
      <c r="B205" s="69" t="s">
        <v>194</v>
      </c>
      <c r="C205" s="68">
        <v>74364</v>
      </c>
      <c r="D205" s="68">
        <v>0</v>
      </c>
      <c r="E205" s="68">
        <v>0</v>
      </c>
      <c r="F205" s="68">
        <v>0</v>
      </c>
      <c r="G205" s="68">
        <v>0</v>
      </c>
      <c r="H205" s="68">
        <v>74364</v>
      </c>
      <c r="I205" s="68">
        <v>-74364</v>
      </c>
      <c r="J205" s="68">
        <v>0</v>
      </c>
      <c r="K205" s="68">
        <v>0</v>
      </c>
      <c r="L205" s="68">
        <v>0</v>
      </c>
      <c r="M205" s="68">
        <v>0</v>
      </c>
      <c r="N205" s="68">
        <v>0</v>
      </c>
    </row>
    <row r="206" spans="1:14" ht="31" outlineLevel="2" x14ac:dyDescent="0.35">
      <c r="A206" s="83" t="s">
        <v>340</v>
      </c>
      <c r="B206" s="69" t="s">
        <v>193</v>
      </c>
      <c r="C206" s="68">
        <v>95074</v>
      </c>
      <c r="D206" s="68">
        <v>0</v>
      </c>
      <c r="E206" s="68">
        <v>0</v>
      </c>
      <c r="F206" s="68">
        <v>0</v>
      </c>
      <c r="G206" s="68">
        <v>0</v>
      </c>
      <c r="H206" s="68">
        <v>95074</v>
      </c>
      <c r="I206" s="68">
        <v>-95074</v>
      </c>
      <c r="J206" s="68">
        <v>0</v>
      </c>
      <c r="K206" s="68">
        <v>0</v>
      </c>
      <c r="L206" s="68">
        <v>0</v>
      </c>
      <c r="M206" s="68">
        <v>0</v>
      </c>
      <c r="N206" s="68">
        <v>0</v>
      </c>
    </row>
    <row r="207" spans="1:14" outlineLevel="2" x14ac:dyDescent="0.35">
      <c r="A207" s="65" t="s">
        <v>158</v>
      </c>
      <c r="B207" s="81" t="s">
        <v>12</v>
      </c>
      <c r="C207" s="42">
        <f>SUBTOTAL(109,Program196[(C)
Program
Costs])</f>
        <v>867348</v>
      </c>
      <c r="D207" s="42">
        <f>SUBTOTAL(109,Program196[(D)
Prior Period Adjustments])</f>
        <v>-2576</v>
      </c>
      <c r="E207" s="42">
        <f>SUBTOTAL(109,Program196[(E)
Current Period Desk 
Reviews])</f>
        <v>0</v>
      </c>
      <c r="F207" s="42">
        <f>SUBTOTAL(109,Program196[(F)
Current Period 
Final 
Audits])</f>
        <v>0</v>
      </c>
      <c r="G207" s="42">
        <f>SUBTOTAL(109,Program196[(G)
Current Period 
Other Adjustments])</f>
        <v>0</v>
      </c>
      <c r="H207" s="42">
        <f>SUBTOTAL(109,Program196[(H)
Net Program Costs
Sum (C through G)])</f>
        <v>864772</v>
      </c>
      <c r="I207" s="42">
        <f>SUBTOTAL(109,Program196[(I)
Payments
 and Offsets])</f>
        <v>-864772</v>
      </c>
      <c r="J207" s="42">
        <f>SUBTOTAL(109,Program196[(J)
Accounts Payable Balance
(H + I)])</f>
        <v>0</v>
      </c>
      <c r="K207" s="42">
        <f>SUBTOTAL(109,Program196[(K)
Established 
Accounts Receivable])</f>
        <v>0</v>
      </c>
      <c r="L207" s="42">
        <f>SUBTOTAL(109,Program196[(L)
Recovered
 Accounts Receivable])</f>
        <v>0</v>
      </c>
      <c r="M207" s="42">
        <f>SUBTOTAL(109,Program196[(M)
Accounts Receivable Balance
(K + L)])</f>
        <v>0</v>
      </c>
      <c r="N207" s="42">
        <f>SUBTOTAL(109,Program196[(N)
Net Balance
(J minus M)])</f>
        <v>0</v>
      </c>
    </row>
    <row r="208" spans="1:14" outlineLevel="2" x14ac:dyDescent="0.35">
      <c r="A208" s="63" t="s">
        <v>33</v>
      </c>
      <c r="B208" s="62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ht="77.5" outlineLevel="2" x14ac:dyDescent="0.35">
      <c r="A209" s="60" t="s">
        <v>185</v>
      </c>
      <c r="B209" s="59" t="s">
        <v>184</v>
      </c>
      <c r="C209" s="58" t="s">
        <v>183</v>
      </c>
      <c r="D209" s="58" t="s">
        <v>182</v>
      </c>
      <c r="E209" s="56" t="s">
        <v>181</v>
      </c>
      <c r="F209" s="56" t="s">
        <v>180</v>
      </c>
      <c r="G209" s="56" t="s">
        <v>179</v>
      </c>
      <c r="H209" s="57" t="s">
        <v>674</v>
      </c>
      <c r="I209" s="55" t="s">
        <v>178</v>
      </c>
      <c r="J209" s="55" t="s">
        <v>177</v>
      </c>
      <c r="K209" s="56" t="s">
        <v>176</v>
      </c>
      <c r="L209" s="55" t="s">
        <v>175</v>
      </c>
      <c r="M209" s="55" t="s">
        <v>174</v>
      </c>
      <c r="N209" s="54" t="s">
        <v>173</v>
      </c>
    </row>
    <row r="210" spans="1:14" ht="31" outlineLevel="2" x14ac:dyDescent="0.35">
      <c r="A210" s="70" t="s">
        <v>339</v>
      </c>
      <c r="B210" s="69" t="s">
        <v>205</v>
      </c>
      <c r="C210" s="68">
        <v>12793</v>
      </c>
      <c r="D210" s="68">
        <v>134</v>
      </c>
      <c r="E210" s="68">
        <v>0</v>
      </c>
      <c r="F210" s="68">
        <v>0</v>
      </c>
      <c r="G210" s="68">
        <v>0</v>
      </c>
      <c r="H210" s="68">
        <v>12927</v>
      </c>
      <c r="I210" s="68">
        <v>0</v>
      </c>
      <c r="J210" s="68">
        <v>12927</v>
      </c>
      <c r="K210" s="68">
        <v>0</v>
      </c>
      <c r="L210" s="68">
        <v>0</v>
      </c>
      <c r="M210" s="68">
        <v>0</v>
      </c>
      <c r="N210" s="68">
        <v>12927</v>
      </c>
    </row>
    <row r="211" spans="1:14" ht="31" outlineLevel="2" x14ac:dyDescent="0.35">
      <c r="A211" s="83" t="s">
        <v>339</v>
      </c>
      <c r="B211" s="69" t="s">
        <v>204</v>
      </c>
      <c r="C211" s="68">
        <v>168779</v>
      </c>
      <c r="D211" s="68">
        <v>2923</v>
      </c>
      <c r="E211" s="68">
        <v>0</v>
      </c>
      <c r="F211" s="68">
        <v>0</v>
      </c>
      <c r="G211" s="68">
        <v>0</v>
      </c>
      <c r="H211" s="68">
        <v>171702</v>
      </c>
      <c r="I211" s="68">
        <v>0</v>
      </c>
      <c r="J211" s="68">
        <v>171702</v>
      </c>
      <c r="K211" s="68">
        <v>0</v>
      </c>
      <c r="L211" s="68">
        <v>0</v>
      </c>
      <c r="M211" s="68">
        <v>0</v>
      </c>
      <c r="N211" s="68">
        <v>171702</v>
      </c>
    </row>
    <row r="212" spans="1:14" ht="31" outlineLevel="2" x14ac:dyDescent="0.35">
      <c r="A212" s="83" t="s">
        <v>339</v>
      </c>
      <c r="B212" s="69" t="s">
        <v>203</v>
      </c>
      <c r="C212" s="68">
        <v>162460</v>
      </c>
      <c r="D212" s="68">
        <v>1758</v>
      </c>
      <c r="E212" s="68">
        <v>0</v>
      </c>
      <c r="F212" s="68">
        <v>0</v>
      </c>
      <c r="G212" s="68">
        <v>0</v>
      </c>
      <c r="H212" s="68">
        <v>164218</v>
      </c>
      <c r="I212" s="68">
        <v>0</v>
      </c>
      <c r="J212" s="68">
        <v>164218</v>
      </c>
      <c r="K212" s="68">
        <v>0</v>
      </c>
      <c r="L212" s="68">
        <v>0</v>
      </c>
      <c r="M212" s="68">
        <v>0</v>
      </c>
      <c r="N212" s="68">
        <v>164218</v>
      </c>
    </row>
    <row r="213" spans="1:14" ht="31" outlineLevel="2" x14ac:dyDescent="0.35">
      <c r="A213" s="83" t="s">
        <v>339</v>
      </c>
      <c r="B213" s="69" t="s">
        <v>202</v>
      </c>
      <c r="C213" s="68">
        <v>156213</v>
      </c>
      <c r="D213" s="68">
        <v>1935</v>
      </c>
      <c r="E213" s="68">
        <v>0</v>
      </c>
      <c r="F213" s="68">
        <v>0</v>
      </c>
      <c r="G213" s="68">
        <v>0</v>
      </c>
      <c r="H213" s="68">
        <v>158148</v>
      </c>
      <c r="I213" s="68">
        <v>-158148</v>
      </c>
      <c r="J213" s="68">
        <v>0</v>
      </c>
      <c r="K213" s="68">
        <v>2515</v>
      </c>
      <c r="L213" s="68">
        <v>-2515</v>
      </c>
      <c r="M213" s="68">
        <v>0</v>
      </c>
      <c r="N213" s="68">
        <v>0</v>
      </c>
    </row>
    <row r="214" spans="1:14" ht="31" outlineLevel="2" x14ac:dyDescent="0.35">
      <c r="A214" s="83" t="s">
        <v>339</v>
      </c>
      <c r="B214" s="69" t="s">
        <v>201</v>
      </c>
      <c r="C214" s="68">
        <v>154576</v>
      </c>
      <c r="D214" s="68">
        <v>-726</v>
      </c>
      <c r="E214" s="68">
        <v>0</v>
      </c>
      <c r="F214" s="68">
        <v>0</v>
      </c>
      <c r="G214" s="68">
        <v>0</v>
      </c>
      <c r="H214" s="68">
        <v>153850</v>
      </c>
      <c r="I214" s="68">
        <v>-153850</v>
      </c>
      <c r="J214" s="68">
        <v>0</v>
      </c>
      <c r="K214" s="68">
        <v>228</v>
      </c>
      <c r="L214" s="68">
        <v>-228</v>
      </c>
      <c r="M214" s="68">
        <v>0</v>
      </c>
      <c r="N214" s="68">
        <v>0</v>
      </c>
    </row>
    <row r="215" spans="1:14" ht="31" outlineLevel="1" x14ac:dyDescent="0.35">
      <c r="A215" s="83" t="s">
        <v>339</v>
      </c>
      <c r="B215" s="69" t="s">
        <v>200</v>
      </c>
      <c r="C215" s="68">
        <v>138833</v>
      </c>
      <c r="D215" s="68">
        <v>-523</v>
      </c>
      <c r="E215" s="68">
        <v>0</v>
      </c>
      <c r="F215" s="68">
        <v>0</v>
      </c>
      <c r="G215" s="68">
        <v>0</v>
      </c>
      <c r="H215" s="68">
        <v>138310</v>
      </c>
      <c r="I215" s="68">
        <v>-138310</v>
      </c>
      <c r="J215" s="68">
        <v>0</v>
      </c>
      <c r="K215" s="68">
        <v>1768</v>
      </c>
      <c r="L215" s="68">
        <v>-1768</v>
      </c>
      <c r="M215" s="68">
        <v>0</v>
      </c>
      <c r="N215" s="68">
        <v>0</v>
      </c>
    </row>
    <row r="216" spans="1:14" ht="31" outlineLevel="1" x14ac:dyDescent="0.35">
      <c r="A216" s="83" t="s">
        <v>339</v>
      </c>
      <c r="B216" s="69" t="s">
        <v>199</v>
      </c>
      <c r="C216" s="68">
        <v>136078</v>
      </c>
      <c r="D216" s="68">
        <v>384</v>
      </c>
      <c r="E216" s="68">
        <v>0</v>
      </c>
      <c r="F216" s="68">
        <v>0</v>
      </c>
      <c r="G216" s="68">
        <v>0</v>
      </c>
      <c r="H216" s="68">
        <v>136462</v>
      </c>
      <c r="I216" s="68">
        <v>-136462</v>
      </c>
      <c r="J216" s="68">
        <v>0</v>
      </c>
      <c r="K216" s="68">
        <v>0</v>
      </c>
      <c r="L216" s="68">
        <v>0</v>
      </c>
      <c r="M216" s="68">
        <v>0</v>
      </c>
      <c r="N216" s="68">
        <v>0</v>
      </c>
    </row>
    <row r="217" spans="1:14" ht="31" outlineLevel="1" x14ac:dyDescent="0.35">
      <c r="A217" s="83" t="s">
        <v>339</v>
      </c>
      <c r="B217" s="69" t="s">
        <v>198</v>
      </c>
      <c r="C217" s="68">
        <v>130526</v>
      </c>
      <c r="D217" s="68">
        <v>-2209</v>
      </c>
      <c r="E217" s="68">
        <v>0</v>
      </c>
      <c r="F217" s="68">
        <v>0</v>
      </c>
      <c r="G217" s="68">
        <v>0</v>
      </c>
      <c r="H217" s="68">
        <v>128317</v>
      </c>
      <c r="I217" s="68">
        <v>-128317</v>
      </c>
      <c r="J217" s="68">
        <v>0</v>
      </c>
      <c r="K217" s="68">
        <v>0</v>
      </c>
      <c r="L217" s="68">
        <v>0</v>
      </c>
      <c r="M217" s="68">
        <v>0</v>
      </c>
      <c r="N217" s="68">
        <v>0</v>
      </c>
    </row>
    <row r="218" spans="1:14" ht="31" outlineLevel="2" x14ac:dyDescent="0.35">
      <c r="A218" s="83" t="s">
        <v>339</v>
      </c>
      <c r="B218" s="69" t="s">
        <v>197</v>
      </c>
      <c r="C218" s="68">
        <v>129990</v>
      </c>
      <c r="D218" s="68">
        <v>1934</v>
      </c>
      <c r="E218" s="68">
        <v>0</v>
      </c>
      <c r="F218" s="68">
        <v>0</v>
      </c>
      <c r="G218" s="68">
        <v>0</v>
      </c>
      <c r="H218" s="68">
        <v>131924</v>
      </c>
      <c r="I218" s="68">
        <v>-131924</v>
      </c>
      <c r="J218" s="68">
        <v>0</v>
      </c>
      <c r="K218" s="68">
        <v>20511</v>
      </c>
      <c r="L218" s="68">
        <v>-20511</v>
      </c>
      <c r="M218" s="68">
        <v>0</v>
      </c>
      <c r="N218" s="68">
        <v>0</v>
      </c>
    </row>
    <row r="219" spans="1:14" ht="31" outlineLevel="2" x14ac:dyDescent="0.35">
      <c r="A219" s="83" t="s">
        <v>339</v>
      </c>
      <c r="B219" s="69" t="s">
        <v>196</v>
      </c>
      <c r="C219" s="68">
        <v>124392</v>
      </c>
      <c r="D219" s="68">
        <v>938</v>
      </c>
      <c r="E219" s="68">
        <v>0</v>
      </c>
      <c r="F219" s="68">
        <v>0</v>
      </c>
      <c r="G219" s="68">
        <v>0</v>
      </c>
      <c r="H219" s="68">
        <v>125330</v>
      </c>
      <c r="I219" s="68">
        <v>-125330</v>
      </c>
      <c r="J219" s="68">
        <v>0</v>
      </c>
      <c r="K219" s="68">
        <v>20578</v>
      </c>
      <c r="L219" s="68">
        <v>-20578</v>
      </c>
      <c r="M219" s="68">
        <v>0</v>
      </c>
      <c r="N219" s="68">
        <v>0</v>
      </c>
    </row>
    <row r="220" spans="1:14" ht="31" outlineLevel="2" x14ac:dyDescent="0.35">
      <c r="A220" s="83" t="s">
        <v>339</v>
      </c>
      <c r="B220" s="69" t="s">
        <v>195</v>
      </c>
      <c r="C220" s="68">
        <v>119727</v>
      </c>
      <c r="D220" s="68">
        <v>-354</v>
      </c>
      <c r="E220" s="68">
        <v>0</v>
      </c>
      <c r="F220" s="68">
        <v>0</v>
      </c>
      <c r="G220" s="68">
        <v>0</v>
      </c>
      <c r="H220" s="68">
        <v>119373</v>
      </c>
      <c r="I220" s="68">
        <v>-119373</v>
      </c>
      <c r="J220" s="68">
        <v>0</v>
      </c>
      <c r="K220" s="68">
        <v>66576</v>
      </c>
      <c r="L220" s="68">
        <v>-66576</v>
      </c>
      <c r="M220" s="68">
        <v>0</v>
      </c>
      <c r="N220" s="68">
        <v>0</v>
      </c>
    </row>
    <row r="221" spans="1:14" ht="31" outlineLevel="2" x14ac:dyDescent="0.35">
      <c r="A221" s="83" t="s">
        <v>339</v>
      </c>
      <c r="B221" s="69" t="s">
        <v>194</v>
      </c>
      <c r="C221" s="68">
        <v>119531</v>
      </c>
      <c r="D221" s="68">
        <v>-1646</v>
      </c>
      <c r="E221" s="68">
        <v>0</v>
      </c>
      <c r="F221" s="68">
        <v>0</v>
      </c>
      <c r="G221" s="68">
        <v>0</v>
      </c>
      <c r="H221" s="68">
        <v>117885</v>
      </c>
      <c r="I221" s="68">
        <v>-117885</v>
      </c>
      <c r="J221" s="68">
        <v>0</v>
      </c>
      <c r="K221" s="68">
        <v>1180</v>
      </c>
      <c r="L221" s="68">
        <v>-1180</v>
      </c>
      <c r="M221" s="68">
        <v>0</v>
      </c>
      <c r="N221" s="68">
        <v>0</v>
      </c>
    </row>
    <row r="222" spans="1:14" ht="31" outlineLevel="2" x14ac:dyDescent="0.35">
      <c r="A222" s="83" t="s">
        <v>339</v>
      </c>
      <c r="B222" s="69" t="s">
        <v>193</v>
      </c>
      <c r="C222" s="68">
        <v>114599</v>
      </c>
      <c r="D222" s="68">
        <v>0</v>
      </c>
      <c r="E222" s="68">
        <v>0</v>
      </c>
      <c r="F222" s="68">
        <v>0</v>
      </c>
      <c r="G222" s="68">
        <v>0</v>
      </c>
      <c r="H222" s="68">
        <v>114599</v>
      </c>
      <c r="I222" s="68">
        <v>-114599</v>
      </c>
      <c r="J222" s="68">
        <v>0</v>
      </c>
      <c r="K222" s="68">
        <v>0</v>
      </c>
      <c r="L222" s="68">
        <v>0</v>
      </c>
      <c r="M222" s="68">
        <v>0</v>
      </c>
      <c r="N222" s="68">
        <v>0</v>
      </c>
    </row>
    <row r="223" spans="1:14" ht="31" outlineLevel="2" x14ac:dyDescent="0.35">
      <c r="A223" s="83" t="s">
        <v>339</v>
      </c>
      <c r="B223" s="69" t="s">
        <v>192</v>
      </c>
      <c r="C223" s="68">
        <v>116242</v>
      </c>
      <c r="D223" s="68">
        <v>0</v>
      </c>
      <c r="E223" s="68">
        <v>0</v>
      </c>
      <c r="F223" s="68">
        <v>0</v>
      </c>
      <c r="G223" s="68">
        <v>0</v>
      </c>
      <c r="H223" s="68">
        <v>116242</v>
      </c>
      <c r="I223" s="68">
        <v>-116242</v>
      </c>
      <c r="J223" s="68">
        <v>0</v>
      </c>
      <c r="K223" s="68">
        <v>270</v>
      </c>
      <c r="L223" s="68">
        <v>-270</v>
      </c>
      <c r="M223" s="68">
        <v>0</v>
      </c>
      <c r="N223" s="68">
        <v>0</v>
      </c>
    </row>
    <row r="224" spans="1:14" ht="31" outlineLevel="2" x14ac:dyDescent="0.35">
      <c r="A224" s="83" t="s">
        <v>339</v>
      </c>
      <c r="B224" s="69" t="s">
        <v>191</v>
      </c>
      <c r="C224" s="68">
        <v>104426</v>
      </c>
      <c r="D224" s="68">
        <v>0</v>
      </c>
      <c r="E224" s="68">
        <v>0</v>
      </c>
      <c r="F224" s="68">
        <v>0</v>
      </c>
      <c r="G224" s="68">
        <v>0</v>
      </c>
      <c r="H224" s="68">
        <v>104426</v>
      </c>
      <c r="I224" s="68">
        <v>-104426</v>
      </c>
      <c r="J224" s="68">
        <v>0</v>
      </c>
      <c r="K224" s="68">
        <v>0</v>
      </c>
      <c r="L224" s="68">
        <v>0</v>
      </c>
      <c r="M224" s="68">
        <v>0</v>
      </c>
      <c r="N224" s="68">
        <v>0</v>
      </c>
    </row>
    <row r="225" spans="1:14" ht="31" outlineLevel="2" x14ac:dyDescent="0.35">
      <c r="A225" s="83" t="s">
        <v>339</v>
      </c>
      <c r="B225" s="69" t="s">
        <v>190</v>
      </c>
      <c r="C225" s="68">
        <v>101219</v>
      </c>
      <c r="D225" s="68">
        <v>0</v>
      </c>
      <c r="E225" s="68">
        <v>0</v>
      </c>
      <c r="F225" s="68">
        <v>0</v>
      </c>
      <c r="G225" s="68">
        <v>0</v>
      </c>
      <c r="H225" s="68">
        <v>101219</v>
      </c>
      <c r="I225" s="68">
        <v>-101219</v>
      </c>
      <c r="J225" s="68">
        <v>0</v>
      </c>
      <c r="K225" s="68">
        <v>0</v>
      </c>
      <c r="L225" s="68">
        <v>0</v>
      </c>
      <c r="M225" s="68">
        <v>0</v>
      </c>
      <c r="N225" s="68">
        <v>0</v>
      </c>
    </row>
    <row r="226" spans="1:14" ht="31" outlineLevel="2" x14ac:dyDescent="0.35">
      <c r="A226" s="83" t="s">
        <v>339</v>
      </c>
      <c r="B226" s="69" t="s">
        <v>189</v>
      </c>
      <c r="C226" s="68">
        <v>23791</v>
      </c>
      <c r="D226" s="68">
        <v>0</v>
      </c>
      <c r="E226" s="68">
        <v>0</v>
      </c>
      <c r="F226" s="68">
        <v>0</v>
      </c>
      <c r="G226" s="68">
        <v>0</v>
      </c>
      <c r="H226" s="68">
        <v>23791</v>
      </c>
      <c r="I226" s="68">
        <v>-23791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ht="31" outlineLevel="2" x14ac:dyDescent="0.35">
      <c r="A227" s="83" t="s">
        <v>339</v>
      </c>
      <c r="B227" s="69" t="s">
        <v>188</v>
      </c>
      <c r="C227" s="68">
        <v>28582</v>
      </c>
      <c r="D227" s="68">
        <v>0</v>
      </c>
      <c r="E227" s="68">
        <v>0</v>
      </c>
      <c r="F227" s="68">
        <v>0</v>
      </c>
      <c r="G227" s="68">
        <v>0</v>
      </c>
      <c r="H227" s="68">
        <v>28582</v>
      </c>
      <c r="I227" s="68">
        <v>-28582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ht="31" outlineLevel="2" x14ac:dyDescent="0.35">
      <c r="A228" s="83" t="s">
        <v>339</v>
      </c>
      <c r="B228" s="69" t="s">
        <v>186</v>
      </c>
      <c r="C228" s="68">
        <v>4423</v>
      </c>
      <c r="D228" s="68">
        <v>0</v>
      </c>
      <c r="E228" s="68">
        <v>0</v>
      </c>
      <c r="F228" s="68">
        <v>0</v>
      </c>
      <c r="G228" s="68">
        <v>0</v>
      </c>
      <c r="H228" s="68">
        <v>4423</v>
      </c>
      <c r="I228" s="68">
        <v>-4423</v>
      </c>
      <c r="J228" s="68">
        <v>0</v>
      </c>
      <c r="K228" s="68">
        <v>7633</v>
      </c>
      <c r="L228" s="68">
        <v>-7633</v>
      </c>
      <c r="M228" s="68">
        <v>0</v>
      </c>
      <c r="N228" s="68">
        <v>0</v>
      </c>
    </row>
    <row r="229" spans="1:14" ht="31" outlineLevel="2" x14ac:dyDescent="0.35">
      <c r="A229" s="83" t="s">
        <v>339</v>
      </c>
      <c r="B229" s="69" t="s">
        <v>227</v>
      </c>
      <c r="C229" s="68">
        <v>0</v>
      </c>
      <c r="D229" s="68">
        <v>0</v>
      </c>
      <c r="E229" s="68">
        <v>0</v>
      </c>
      <c r="F229" s="68">
        <v>0</v>
      </c>
      <c r="G229" s="68">
        <v>0</v>
      </c>
      <c r="H229" s="68">
        <v>0</v>
      </c>
      <c r="I229" s="68">
        <v>0</v>
      </c>
      <c r="J229" s="68">
        <v>0</v>
      </c>
      <c r="K229" s="68">
        <v>3</v>
      </c>
      <c r="L229" s="68">
        <v>-3</v>
      </c>
      <c r="M229" s="68">
        <v>0</v>
      </c>
      <c r="N229" s="68">
        <v>0</v>
      </c>
    </row>
    <row r="230" spans="1:14" outlineLevel="2" x14ac:dyDescent="0.35">
      <c r="A230" s="65" t="s">
        <v>157</v>
      </c>
      <c r="B230" s="81" t="s">
        <v>12</v>
      </c>
      <c r="C230" s="42">
        <f>SUBTOTAL(109,Program67[(C)
Program
Costs])</f>
        <v>2047180</v>
      </c>
      <c r="D230" s="42">
        <f>SUBTOTAL(109,Program67[(D)
Prior Period Adjustments])</f>
        <v>4548</v>
      </c>
      <c r="E230" s="42">
        <f>SUBTOTAL(109,Program67[(E)
Current Period Desk 
Reviews])</f>
        <v>0</v>
      </c>
      <c r="F230" s="42">
        <f>SUBTOTAL(109,Program67[(F)
Current Period 
Final 
Audits])</f>
        <v>0</v>
      </c>
      <c r="G230" s="42">
        <f>SUBTOTAL(109,Program67[(G)
Current Period 
Other Adjustments])</f>
        <v>0</v>
      </c>
      <c r="H230" s="42">
        <f>SUBTOTAL(109,Program67[(H)
Net Program Costs
Sum (C through G)])</f>
        <v>2051728</v>
      </c>
      <c r="I230" s="42">
        <f>SUBTOTAL(109,Program67[(I)
Payments
 and Offsets])</f>
        <v>-1702881</v>
      </c>
      <c r="J230" s="42">
        <f>SUBTOTAL(109,Program67[(J)
Accounts Payable Balance
(H + I)])</f>
        <v>348847</v>
      </c>
      <c r="K230" s="42">
        <f>SUBTOTAL(109,Program67[(K)
Established 
Accounts Receivable])</f>
        <v>121262</v>
      </c>
      <c r="L230" s="42">
        <f>SUBTOTAL(109,Program67[(L)
Recovered
 Accounts Receivable])</f>
        <v>-121262</v>
      </c>
      <c r="M230" s="42">
        <f>SUBTOTAL(109,Program67[(M)
Accounts Receivable Balance
(K + L)])</f>
        <v>0</v>
      </c>
      <c r="N230" s="42">
        <f>SUBTOTAL(109,Program67[(N)
Net Balance
(J minus M)])</f>
        <v>348847</v>
      </c>
    </row>
    <row r="231" spans="1:14" outlineLevel="2" x14ac:dyDescent="0.35">
      <c r="A231" s="63" t="s">
        <v>33</v>
      </c>
      <c r="B231" s="62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ht="77.5" outlineLevel="2" x14ac:dyDescent="0.35">
      <c r="A232" s="60" t="s">
        <v>185</v>
      </c>
      <c r="B232" s="59" t="s">
        <v>184</v>
      </c>
      <c r="C232" s="58" t="s">
        <v>183</v>
      </c>
      <c r="D232" s="58" t="s">
        <v>182</v>
      </c>
      <c r="E232" s="56" t="s">
        <v>181</v>
      </c>
      <c r="F232" s="56" t="s">
        <v>180</v>
      </c>
      <c r="G232" s="56" t="s">
        <v>179</v>
      </c>
      <c r="H232" s="57" t="s">
        <v>674</v>
      </c>
      <c r="I232" s="55" t="s">
        <v>178</v>
      </c>
      <c r="J232" s="55" t="s">
        <v>177</v>
      </c>
      <c r="K232" s="56" t="s">
        <v>176</v>
      </c>
      <c r="L232" s="55" t="s">
        <v>175</v>
      </c>
      <c r="M232" s="55" t="s">
        <v>174</v>
      </c>
      <c r="N232" s="54" t="s">
        <v>173</v>
      </c>
    </row>
    <row r="233" spans="1:14" outlineLevel="1" x14ac:dyDescent="0.35">
      <c r="A233" s="53" t="s">
        <v>338</v>
      </c>
      <c r="B233" s="66" t="s">
        <v>205</v>
      </c>
      <c r="C233" s="51">
        <v>8550</v>
      </c>
      <c r="D233" s="51">
        <v>446</v>
      </c>
      <c r="E233" s="51">
        <v>0</v>
      </c>
      <c r="F233" s="51">
        <v>0</v>
      </c>
      <c r="G233" s="51">
        <v>0</v>
      </c>
      <c r="H233" s="51">
        <v>8996</v>
      </c>
      <c r="I233" s="51">
        <v>0</v>
      </c>
      <c r="J233" s="51">
        <v>8996</v>
      </c>
      <c r="K233" s="51">
        <v>0</v>
      </c>
      <c r="L233" s="51">
        <v>0</v>
      </c>
      <c r="M233" s="51">
        <v>0</v>
      </c>
      <c r="N233" s="51">
        <v>8996</v>
      </c>
    </row>
    <row r="234" spans="1:14" outlineLevel="1" x14ac:dyDescent="0.35">
      <c r="A234" s="82" t="s">
        <v>338</v>
      </c>
      <c r="B234" s="66" t="s">
        <v>204</v>
      </c>
      <c r="C234" s="51">
        <v>108066</v>
      </c>
      <c r="D234" s="51">
        <v>5023</v>
      </c>
      <c r="E234" s="51">
        <v>0</v>
      </c>
      <c r="F234" s="51">
        <v>0</v>
      </c>
      <c r="G234" s="51">
        <v>0</v>
      </c>
      <c r="H234" s="51">
        <v>113089</v>
      </c>
      <c r="I234" s="51">
        <v>0</v>
      </c>
      <c r="J234" s="51">
        <v>113089</v>
      </c>
      <c r="K234" s="51">
        <v>0</v>
      </c>
      <c r="L234" s="51">
        <v>0</v>
      </c>
      <c r="M234" s="51">
        <v>0</v>
      </c>
      <c r="N234" s="51">
        <v>113089</v>
      </c>
    </row>
    <row r="235" spans="1:14" outlineLevel="1" x14ac:dyDescent="0.35">
      <c r="A235" s="82" t="s">
        <v>338</v>
      </c>
      <c r="B235" s="66" t="s">
        <v>203</v>
      </c>
      <c r="C235" s="51">
        <v>98487</v>
      </c>
      <c r="D235" s="51">
        <v>1095</v>
      </c>
      <c r="E235" s="51">
        <v>0</v>
      </c>
      <c r="F235" s="51">
        <v>0</v>
      </c>
      <c r="G235" s="51">
        <v>0</v>
      </c>
      <c r="H235" s="51">
        <v>99582</v>
      </c>
      <c r="I235" s="51">
        <v>0</v>
      </c>
      <c r="J235" s="51">
        <v>99582</v>
      </c>
      <c r="K235" s="51">
        <v>0</v>
      </c>
      <c r="L235" s="51">
        <v>0</v>
      </c>
      <c r="M235" s="51">
        <v>0</v>
      </c>
      <c r="N235" s="51">
        <v>99582</v>
      </c>
    </row>
    <row r="236" spans="1:14" outlineLevel="2" x14ac:dyDescent="0.35">
      <c r="A236" s="82" t="s">
        <v>338</v>
      </c>
      <c r="B236" s="66" t="s">
        <v>202</v>
      </c>
      <c r="C236" s="51">
        <v>94344</v>
      </c>
      <c r="D236" s="51">
        <v>1200</v>
      </c>
      <c r="E236" s="51">
        <v>0</v>
      </c>
      <c r="F236" s="51">
        <v>0</v>
      </c>
      <c r="G236" s="51">
        <v>0</v>
      </c>
      <c r="H236" s="51">
        <v>95544</v>
      </c>
      <c r="I236" s="51">
        <v>-95544</v>
      </c>
      <c r="J236" s="51">
        <v>0</v>
      </c>
      <c r="K236" s="51">
        <v>0</v>
      </c>
      <c r="L236" s="51">
        <v>0</v>
      </c>
      <c r="M236" s="51">
        <v>0</v>
      </c>
      <c r="N236" s="51">
        <v>0</v>
      </c>
    </row>
    <row r="237" spans="1:14" outlineLevel="2" x14ac:dyDescent="0.35">
      <c r="A237" s="82" t="s">
        <v>338</v>
      </c>
      <c r="B237" s="66" t="s">
        <v>201</v>
      </c>
      <c r="C237" s="51">
        <v>89776</v>
      </c>
      <c r="D237" s="51">
        <v>414</v>
      </c>
      <c r="E237" s="51">
        <v>0</v>
      </c>
      <c r="F237" s="51">
        <v>0</v>
      </c>
      <c r="G237" s="51">
        <v>0</v>
      </c>
      <c r="H237" s="51">
        <v>90190</v>
      </c>
      <c r="I237" s="51">
        <v>-90190</v>
      </c>
      <c r="J237" s="51">
        <v>0</v>
      </c>
      <c r="K237" s="51">
        <v>0</v>
      </c>
      <c r="L237" s="51">
        <v>0</v>
      </c>
      <c r="M237" s="51">
        <v>0</v>
      </c>
      <c r="N237" s="51">
        <v>0</v>
      </c>
    </row>
    <row r="238" spans="1:14" outlineLevel="2" x14ac:dyDescent="0.35">
      <c r="A238" s="82" t="s">
        <v>338</v>
      </c>
      <c r="B238" s="66" t="s">
        <v>200</v>
      </c>
      <c r="C238" s="51">
        <v>85411</v>
      </c>
      <c r="D238" s="51">
        <v>-323</v>
      </c>
      <c r="E238" s="51">
        <v>0</v>
      </c>
      <c r="F238" s="51">
        <v>0</v>
      </c>
      <c r="G238" s="51">
        <v>0</v>
      </c>
      <c r="H238" s="51">
        <v>85088</v>
      </c>
      <c r="I238" s="51">
        <v>-85088</v>
      </c>
      <c r="J238" s="51">
        <v>0</v>
      </c>
      <c r="K238" s="51">
        <v>0</v>
      </c>
      <c r="L238" s="51">
        <v>0</v>
      </c>
      <c r="M238" s="51">
        <v>0</v>
      </c>
      <c r="N238" s="51">
        <v>0</v>
      </c>
    </row>
    <row r="239" spans="1:14" outlineLevel="2" x14ac:dyDescent="0.35">
      <c r="A239" s="82" t="s">
        <v>338</v>
      </c>
      <c r="B239" s="66" t="s">
        <v>199</v>
      </c>
      <c r="C239" s="51">
        <v>83328</v>
      </c>
      <c r="D239" s="51">
        <v>238</v>
      </c>
      <c r="E239" s="51">
        <v>0</v>
      </c>
      <c r="F239" s="51">
        <v>0</v>
      </c>
      <c r="G239" s="51">
        <v>0</v>
      </c>
      <c r="H239" s="51">
        <v>83566</v>
      </c>
      <c r="I239" s="51">
        <v>-83566</v>
      </c>
      <c r="J239" s="51">
        <v>0</v>
      </c>
      <c r="K239" s="51">
        <v>0</v>
      </c>
      <c r="L239" s="51">
        <v>0</v>
      </c>
      <c r="M239" s="51">
        <v>0</v>
      </c>
      <c r="N239" s="51">
        <v>0</v>
      </c>
    </row>
    <row r="240" spans="1:14" outlineLevel="2" x14ac:dyDescent="0.35">
      <c r="A240" s="82" t="s">
        <v>338</v>
      </c>
      <c r="B240" s="66" t="s">
        <v>198</v>
      </c>
      <c r="C240" s="51">
        <v>80980</v>
      </c>
      <c r="D240" s="51">
        <v>-1410</v>
      </c>
      <c r="E240" s="51">
        <v>0</v>
      </c>
      <c r="F240" s="51">
        <v>0</v>
      </c>
      <c r="G240" s="51">
        <v>0</v>
      </c>
      <c r="H240" s="51">
        <v>79570</v>
      </c>
      <c r="I240" s="51">
        <v>-79570</v>
      </c>
      <c r="J240" s="51">
        <v>0</v>
      </c>
      <c r="K240" s="51">
        <v>0</v>
      </c>
      <c r="L240" s="51">
        <v>0</v>
      </c>
      <c r="M240" s="51">
        <v>0</v>
      </c>
      <c r="N240" s="51">
        <v>0</v>
      </c>
    </row>
    <row r="241" spans="1:14" outlineLevel="2" x14ac:dyDescent="0.35">
      <c r="A241" s="82" t="s">
        <v>338</v>
      </c>
      <c r="B241" s="66" t="s">
        <v>197</v>
      </c>
      <c r="C241" s="51">
        <v>80644</v>
      </c>
      <c r="D241" s="51">
        <v>1202</v>
      </c>
      <c r="E241" s="51">
        <v>0</v>
      </c>
      <c r="F241" s="51">
        <v>0</v>
      </c>
      <c r="G241" s="51">
        <v>0</v>
      </c>
      <c r="H241" s="51">
        <v>81846</v>
      </c>
      <c r="I241" s="51">
        <v>-81846</v>
      </c>
      <c r="J241" s="51">
        <v>0</v>
      </c>
      <c r="K241" s="51">
        <v>0</v>
      </c>
      <c r="L241" s="51">
        <v>0</v>
      </c>
      <c r="M241" s="51">
        <v>0</v>
      </c>
      <c r="N241" s="51">
        <v>0</v>
      </c>
    </row>
    <row r="242" spans="1:14" outlineLevel="2" x14ac:dyDescent="0.35">
      <c r="A242" s="82" t="s">
        <v>338</v>
      </c>
      <c r="B242" s="66" t="s">
        <v>196</v>
      </c>
      <c r="C242" s="51">
        <v>77094</v>
      </c>
      <c r="D242" s="51">
        <v>724</v>
      </c>
      <c r="E242" s="51">
        <v>0</v>
      </c>
      <c r="F242" s="51">
        <v>0</v>
      </c>
      <c r="G242" s="51">
        <v>0</v>
      </c>
      <c r="H242" s="51">
        <v>77818</v>
      </c>
      <c r="I242" s="51">
        <v>-77818</v>
      </c>
      <c r="J242" s="51">
        <v>0</v>
      </c>
      <c r="K242" s="51">
        <v>0</v>
      </c>
      <c r="L242" s="51">
        <v>0</v>
      </c>
      <c r="M242" s="51">
        <v>0</v>
      </c>
      <c r="N242" s="51">
        <v>0</v>
      </c>
    </row>
    <row r="243" spans="1:14" outlineLevel="2" x14ac:dyDescent="0.35">
      <c r="A243" s="82" t="s">
        <v>338</v>
      </c>
      <c r="B243" s="66" t="s">
        <v>195</v>
      </c>
      <c r="C243" s="51">
        <v>74271</v>
      </c>
      <c r="D243" s="51">
        <v>-499</v>
      </c>
      <c r="E243" s="51">
        <v>0</v>
      </c>
      <c r="F243" s="51">
        <v>0</v>
      </c>
      <c r="G243" s="51">
        <v>0</v>
      </c>
      <c r="H243" s="51">
        <v>73772</v>
      </c>
      <c r="I243" s="51">
        <v>-73772</v>
      </c>
      <c r="J243" s="51">
        <v>0</v>
      </c>
      <c r="K243" s="51">
        <v>0</v>
      </c>
      <c r="L243" s="51">
        <v>0</v>
      </c>
      <c r="M243" s="51">
        <v>0</v>
      </c>
      <c r="N243" s="51">
        <v>0</v>
      </c>
    </row>
    <row r="244" spans="1:14" outlineLevel="1" x14ac:dyDescent="0.35">
      <c r="A244" s="82" t="s">
        <v>338</v>
      </c>
      <c r="B244" s="66" t="s">
        <v>194</v>
      </c>
      <c r="C244" s="51">
        <v>72816</v>
      </c>
      <c r="D244" s="51">
        <v>-493</v>
      </c>
      <c r="E244" s="51">
        <v>0</v>
      </c>
      <c r="F244" s="51">
        <v>0</v>
      </c>
      <c r="G244" s="51">
        <v>0</v>
      </c>
      <c r="H244" s="51">
        <v>72323</v>
      </c>
      <c r="I244" s="51">
        <v>-72323</v>
      </c>
      <c r="J244" s="51">
        <v>0</v>
      </c>
      <c r="K244" s="51">
        <v>1273</v>
      </c>
      <c r="L244" s="51">
        <v>-1273</v>
      </c>
      <c r="M244" s="51">
        <v>0</v>
      </c>
      <c r="N244" s="51">
        <v>0</v>
      </c>
    </row>
    <row r="245" spans="1:14" outlineLevel="1" x14ac:dyDescent="0.35">
      <c r="A245" s="82" t="s">
        <v>338</v>
      </c>
      <c r="B245" s="66" t="s">
        <v>193</v>
      </c>
      <c r="C245" s="51">
        <v>73086</v>
      </c>
      <c r="D245" s="51">
        <v>0</v>
      </c>
      <c r="E245" s="51">
        <v>0</v>
      </c>
      <c r="F245" s="51">
        <v>0</v>
      </c>
      <c r="G245" s="51">
        <v>0</v>
      </c>
      <c r="H245" s="51">
        <v>73086</v>
      </c>
      <c r="I245" s="51">
        <v>-73086</v>
      </c>
      <c r="J245" s="51">
        <v>0</v>
      </c>
      <c r="K245" s="51">
        <v>0</v>
      </c>
      <c r="L245" s="51">
        <v>0</v>
      </c>
      <c r="M245" s="51">
        <v>0</v>
      </c>
      <c r="N245" s="51">
        <v>0</v>
      </c>
    </row>
    <row r="246" spans="1:14" outlineLevel="1" x14ac:dyDescent="0.35">
      <c r="A246" s="82" t="s">
        <v>338</v>
      </c>
      <c r="B246" s="66" t="s">
        <v>192</v>
      </c>
      <c r="C246" s="51">
        <v>70196</v>
      </c>
      <c r="D246" s="51">
        <v>0</v>
      </c>
      <c r="E246" s="51">
        <v>0</v>
      </c>
      <c r="F246" s="51">
        <v>0</v>
      </c>
      <c r="G246" s="51">
        <v>0</v>
      </c>
      <c r="H246" s="51">
        <v>70196</v>
      </c>
      <c r="I246" s="51">
        <v>-70196</v>
      </c>
      <c r="J246" s="51">
        <v>0</v>
      </c>
      <c r="K246" s="51">
        <v>0</v>
      </c>
      <c r="L246" s="51">
        <v>0</v>
      </c>
      <c r="M246" s="51">
        <v>0</v>
      </c>
      <c r="N246" s="51">
        <v>0</v>
      </c>
    </row>
    <row r="247" spans="1:14" outlineLevel="2" x14ac:dyDescent="0.35">
      <c r="A247" s="82" t="s">
        <v>338</v>
      </c>
      <c r="B247" s="66" t="s">
        <v>191</v>
      </c>
      <c r="C247" s="51">
        <v>68419</v>
      </c>
      <c r="D247" s="51">
        <v>0</v>
      </c>
      <c r="E247" s="51">
        <v>0</v>
      </c>
      <c r="F247" s="51">
        <v>0</v>
      </c>
      <c r="G247" s="51">
        <v>0</v>
      </c>
      <c r="H247" s="51">
        <v>68419</v>
      </c>
      <c r="I247" s="51">
        <v>-68419</v>
      </c>
      <c r="J247" s="51">
        <v>0</v>
      </c>
      <c r="K247" s="51">
        <v>0</v>
      </c>
      <c r="L247" s="51">
        <v>0</v>
      </c>
      <c r="M247" s="51">
        <v>0</v>
      </c>
      <c r="N247" s="51">
        <v>0</v>
      </c>
    </row>
    <row r="248" spans="1:14" outlineLevel="2" x14ac:dyDescent="0.35">
      <c r="A248" s="82" t="s">
        <v>338</v>
      </c>
      <c r="B248" s="66" t="s">
        <v>190</v>
      </c>
      <c r="C248" s="51">
        <v>66426</v>
      </c>
      <c r="D248" s="51">
        <v>0</v>
      </c>
      <c r="E248" s="51">
        <v>0</v>
      </c>
      <c r="F248" s="51">
        <v>0</v>
      </c>
      <c r="G248" s="51">
        <v>0</v>
      </c>
      <c r="H248" s="51">
        <v>66426</v>
      </c>
      <c r="I248" s="51">
        <v>-66426</v>
      </c>
      <c r="J248" s="51">
        <v>0</v>
      </c>
      <c r="K248" s="51">
        <v>0</v>
      </c>
      <c r="L248" s="51">
        <v>0</v>
      </c>
      <c r="M248" s="51">
        <v>0</v>
      </c>
      <c r="N248" s="51">
        <v>0</v>
      </c>
    </row>
    <row r="249" spans="1:14" outlineLevel="2" x14ac:dyDescent="0.35">
      <c r="A249" s="65" t="s">
        <v>156</v>
      </c>
      <c r="B249" s="81" t="s">
        <v>12</v>
      </c>
      <c r="C249" s="42">
        <f>SUBTOTAL(109,Program88[(C)
Program
Costs])</f>
        <v>1231894</v>
      </c>
      <c r="D249" s="42">
        <f>SUBTOTAL(109,Program88[(D)
Prior Period Adjustments])</f>
        <v>7617</v>
      </c>
      <c r="E249" s="42">
        <f>SUBTOTAL(109,Program88[(E)
Current Period Desk 
Reviews])</f>
        <v>0</v>
      </c>
      <c r="F249" s="42">
        <f>SUBTOTAL(109,Program88[(F)
Current Period 
Final 
Audits])</f>
        <v>0</v>
      </c>
      <c r="G249" s="42">
        <f>SUBTOTAL(109,Program88[(G)
Current Period 
Other Adjustments])</f>
        <v>0</v>
      </c>
      <c r="H249" s="42">
        <f>SUBTOTAL(109,Program88[(H)
Net Program Costs
Sum (C through G)])</f>
        <v>1239511</v>
      </c>
      <c r="I249" s="42">
        <f>SUBTOTAL(109,Program88[(I)
Payments
 and Offsets])</f>
        <v>-1017844</v>
      </c>
      <c r="J249" s="42">
        <f>SUBTOTAL(109,Program88[(J)
Accounts Payable Balance
(H + I)])</f>
        <v>221667</v>
      </c>
      <c r="K249" s="42">
        <f>SUBTOTAL(109,Program88[(K)
Established 
Accounts Receivable])</f>
        <v>1273</v>
      </c>
      <c r="L249" s="42">
        <f>SUBTOTAL(109,Program88[(L)
Recovered
 Accounts Receivable])</f>
        <v>-1273</v>
      </c>
      <c r="M249" s="42">
        <f>SUBTOTAL(109,Program88[(M)
Accounts Receivable Balance
(K + L)])</f>
        <v>0</v>
      </c>
      <c r="N249" s="42">
        <f>SUBTOTAL(109,Program88[(N)
Net Balance
(J minus M)])</f>
        <v>221667</v>
      </c>
    </row>
    <row r="250" spans="1:14" outlineLevel="2" x14ac:dyDescent="0.35">
      <c r="A250" s="63" t="s">
        <v>33</v>
      </c>
      <c r="B250" s="62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ht="77.5" outlineLevel="2" x14ac:dyDescent="0.35">
      <c r="A251" s="60" t="s">
        <v>185</v>
      </c>
      <c r="B251" s="59" t="s">
        <v>184</v>
      </c>
      <c r="C251" s="58" t="s">
        <v>183</v>
      </c>
      <c r="D251" s="58" t="s">
        <v>182</v>
      </c>
      <c r="E251" s="56" t="s">
        <v>181</v>
      </c>
      <c r="F251" s="56" t="s">
        <v>180</v>
      </c>
      <c r="G251" s="56" t="s">
        <v>179</v>
      </c>
      <c r="H251" s="57" t="s">
        <v>674</v>
      </c>
      <c r="I251" s="55" t="s">
        <v>178</v>
      </c>
      <c r="J251" s="55" t="s">
        <v>177</v>
      </c>
      <c r="K251" s="56" t="s">
        <v>176</v>
      </c>
      <c r="L251" s="55" t="s">
        <v>175</v>
      </c>
      <c r="M251" s="55" t="s">
        <v>174</v>
      </c>
      <c r="N251" s="54" t="s">
        <v>173</v>
      </c>
    </row>
    <row r="252" spans="1:14" outlineLevel="2" x14ac:dyDescent="0.35">
      <c r="A252" s="53" t="s">
        <v>337</v>
      </c>
      <c r="B252" s="66" t="s">
        <v>198</v>
      </c>
      <c r="C252" s="51">
        <v>427179</v>
      </c>
      <c r="D252" s="51">
        <v>0</v>
      </c>
      <c r="E252" s="51">
        <v>0</v>
      </c>
      <c r="F252" s="51">
        <v>0</v>
      </c>
      <c r="G252" s="51">
        <v>0</v>
      </c>
      <c r="H252" s="51">
        <v>427179</v>
      </c>
      <c r="I252" s="51">
        <v>-427179</v>
      </c>
      <c r="J252" s="51">
        <v>0</v>
      </c>
      <c r="K252" s="51">
        <v>0</v>
      </c>
      <c r="L252" s="51">
        <v>0</v>
      </c>
      <c r="M252" s="51">
        <v>0</v>
      </c>
      <c r="N252" s="51">
        <v>0</v>
      </c>
    </row>
    <row r="253" spans="1:14" outlineLevel="2" x14ac:dyDescent="0.35">
      <c r="A253" s="82" t="s">
        <v>337</v>
      </c>
      <c r="B253" s="66" t="s">
        <v>197</v>
      </c>
      <c r="C253" s="51">
        <v>401905</v>
      </c>
      <c r="D253" s="51">
        <v>-2845</v>
      </c>
      <c r="E253" s="51">
        <v>0</v>
      </c>
      <c r="F253" s="51">
        <v>0</v>
      </c>
      <c r="G253" s="51">
        <v>0</v>
      </c>
      <c r="H253" s="51">
        <v>399060</v>
      </c>
      <c r="I253" s="51">
        <v>-399060</v>
      </c>
      <c r="J253" s="51">
        <v>0</v>
      </c>
      <c r="K253" s="51">
        <v>0</v>
      </c>
      <c r="L253" s="51">
        <v>0</v>
      </c>
      <c r="M253" s="51">
        <v>0</v>
      </c>
      <c r="N253" s="51">
        <v>0</v>
      </c>
    </row>
    <row r="254" spans="1:14" outlineLevel="2" x14ac:dyDescent="0.35">
      <c r="A254" s="82" t="s">
        <v>337</v>
      </c>
      <c r="B254" s="66" t="s">
        <v>196</v>
      </c>
      <c r="C254" s="51">
        <v>299506</v>
      </c>
      <c r="D254" s="51">
        <v>-2073</v>
      </c>
      <c r="E254" s="51">
        <v>0</v>
      </c>
      <c r="F254" s="51">
        <v>0</v>
      </c>
      <c r="G254" s="51">
        <v>0</v>
      </c>
      <c r="H254" s="51">
        <v>297433</v>
      </c>
      <c r="I254" s="51">
        <v>-297433</v>
      </c>
      <c r="J254" s="51">
        <v>0</v>
      </c>
      <c r="K254" s="51">
        <v>0</v>
      </c>
      <c r="L254" s="51">
        <v>0</v>
      </c>
      <c r="M254" s="51">
        <v>0</v>
      </c>
      <c r="N254" s="51">
        <v>0</v>
      </c>
    </row>
    <row r="255" spans="1:14" outlineLevel="2" x14ac:dyDescent="0.35">
      <c r="A255" s="82" t="s">
        <v>337</v>
      </c>
      <c r="B255" s="66" t="s">
        <v>195</v>
      </c>
      <c r="C255" s="51">
        <v>186238</v>
      </c>
      <c r="D255" s="51">
        <v>-315</v>
      </c>
      <c r="E255" s="51">
        <v>0</v>
      </c>
      <c r="F255" s="51">
        <v>0</v>
      </c>
      <c r="G255" s="51">
        <v>0</v>
      </c>
      <c r="H255" s="51">
        <v>185923</v>
      </c>
      <c r="I255" s="51">
        <v>-185923</v>
      </c>
      <c r="J255" s="51">
        <v>0</v>
      </c>
      <c r="K255" s="51">
        <v>0</v>
      </c>
      <c r="L255" s="51">
        <v>0</v>
      </c>
      <c r="M255" s="51">
        <v>0</v>
      </c>
      <c r="N255" s="51">
        <v>0</v>
      </c>
    </row>
    <row r="256" spans="1:14" outlineLevel="2" x14ac:dyDescent="0.35">
      <c r="A256" s="82" t="s">
        <v>337</v>
      </c>
      <c r="B256" s="66" t="s">
        <v>194</v>
      </c>
      <c r="C256" s="51">
        <v>181846</v>
      </c>
      <c r="D256" s="51">
        <v>-1000</v>
      </c>
      <c r="E256" s="51">
        <v>0</v>
      </c>
      <c r="F256" s="51">
        <v>0</v>
      </c>
      <c r="G256" s="51">
        <v>0</v>
      </c>
      <c r="H256" s="51">
        <v>180846</v>
      </c>
      <c r="I256" s="51">
        <v>-180846</v>
      </c>
      <c r="J256" s="51">
        <v>0</v>
      </c>
      <c r="K256" s="51">
        <v>0</v>
      </c>
      <c r="L256" s="51">
        <v>0</v>
      </c>
      <c r="M256" s="51">
        <v>0</v>
      </c>
      <c r="N256" s="51">
        <v>0</v>
      </c>
    </row>
    <row r="257" spans="1:14" outlineLevel="2" x14ac:dyDescent="0.35">
      <c r="A257" s="82" t="s">
        <v>337</v>
      </c>
      <c r="B257" s="66" t="s">
        <v>193</v>
      </c>
      <c r="C257" s="51">
        <v>167730</v>
      </c>
      <c r="D257" s="51">
        <v>0</v>
      </c>
      <c r="E257" s="51">
        <v>0</v>
      </c>
      <c r="F257" s="51">
        <v>0</v>
      </c>
      <c r="G257" s="51">
        <v>0</v>
      </c>
      <c r="H257" s="51">
        <v>167730</v>
      </c>
      <c r="I257" s="51">
        <v>-167730</v>
      </c>
      <c r="J257" s="51">
        <v>0</v>
      </c>
      <c r="K257" s="51">
        <v>0</v>
      </c>
      <c r="L257" s="51">
        <v>0</v>
      </c>
      <c r="M257" s="51">
        <v>0</v>
      </c>
      <c r="N257" s="51">
        <v>0</v>
      </c>
    </row>
    <row r="258" spans="1:14" outlineLevel="2" x14ac:dyDescent="0.35">
      <c r="A258" s="82" t="s">
        <v>337</v>
      </c>
      <c r="B258" s="66" t="s">
        <v>192</v>
      </c>
      <c r="C258" s="51">
        <v>133239</v>
      </c>
      <c r="D258" s="51">
        <v>0</v>
      </c>
      <c r="E258" s="51">
        <v>0</v>
      </c>
      <c r="F258" s="51">
        <v>0</v>
      </c>
      <c r="G258" s="51">
        <v>0</v>
      </c>
      <c r="H258" s="51">
        <v>133239</v>
      </c>
      <c r="I258" s="51">
        <v>-133239</v>
      </c>
      <c r="J258" s="51">
        <v>0</v>
      </c>
      <c r="K258" s="51">
        <v>0</v>
      </c>
      <c r="L258" s="51">
        <v>0</v>
      </c>
      <c r="M258" s="51">
        <v>0</v>
      </c>
      <c r="N258" s="51">
        <v>0</v>
      </c>
    </row>
    <row r="259" spans="1:14" outlineLevel="2" x14ac:dyDescent="0.35">
      <c r="A259" s="82" t="s">
        <v>337</v>
      </c>
      <c r="B259" s="66" t="s">
        <v>191</v>
      </c>
      <c r="C259" s="51">
        <v>58887</v>
      </c>
      <c r="D259" s="51">
        <v>0</v>
      </c>
      <c r="E259" s="51">
        <v>0</v>
      </c>
      <c r="F259" s="51">
        <v>0</v>
      </c>
      <c r="G259" s="51">
        <v>0</v>
      </c>
      <c r="H259" s="51">
        <v>58887</v>
      </c>
      <c r="I259" s="51">
        <v>-58887</v>
      </c>
      <c r="J259" s="51">
        <v>0</v>
      </c>
      <c r="K259" s="51">
        <v>0</v>
      </c>
      <c r="L259" s="51">
        <v>0</v>
      </c>
      <c r="M259" s="51">
        <v>0</v>
      </c>
      <c r="N259" s="51">
        <v>0</v>
      </c>
    </row>
    <row r="260" spans="1:14" outlineLevel="2" x14ac:dyDescent="0.35">
      <c r="A260" s="65" t="s">
        <v>155</v>
      </c>
      <c r="B260" s="81" t="s">
        <v>12</v>
      </c>
      <c r="C260" s="42">
        <f>SUBTOTAL(109,Program207[(C)
Program
Costs])</f>
        <v>1856530</v>
      </c>
      <c r="D260" s="42">
        <f>SUBTOTAL(109,Program207[(D)
Prior Period Adjustments])</f>
        <v>-6233</v>
      </c>
      <c r="E260" s="42">
        <f>SUBTOTAL(109,Program207[(E)
Current Period Desk 
Reviews])</f>
        <v>0</v>
      </c>
      <c r="F260" s="42">
        <f>SUBTOTAL(109,Program207[(F)
Current Period 
Final 
Audits])</f>
        <v>0</v>
      </c>
      <c r="G260" s="42">
        <f>SUBTOTAL(109,Program207[(G)
Current Period 
Other Adjustments])</f>
        <v>0</v>
      </c>
      <c r="H260" s="42">
        <f>SUBTOTAL(109,Program207[(H)
Net Program Costs
Sum (C through G)])</f>
        <v>1850297</v>
      </c>
      <c r="I260" s="42">
        <f>SUBTOTAL(109,Program207[(I)
Payments
 and Offsets])</f>
        <v>-1850297</v>
      </c>
      <c r="J260" s="42">
        <f>SUBTOTAL(109,Program207[(J)
Accounts Payable Balance
(H + I)])</f>
        <v>0</v>
      </c>
      <c r="K260" s="42">
        <f>SUBTOTAL(109,Program207[(K)
Established 
Accounts Receivable])</f>
        <v>0</v>
      </c>
      <c r="L260" s="42">
        <f>SUBTOTAL(109,Program207[(L)
Recovered
 Accounts Receivable])</f>
        <v>0</v>
      </c>
      <c r="M260" s="42">
        <f>SUBTOTAL(109,Program207[(M)
Accounts Receivable Balance
(K + L)])</f>
        <v>0</v>
      </c>
      <c r="N260" s="42">
        <f>SUBTOTAL(109,Program207[(N)
Net Balance
(J minus M)])</f>
        <v>0</v>
      </c>
    </row>
    <row r="261" spans="1:14" outlineLevel="2" x14ac:dyDescent="0.35">
      <c r="A261" s="63" t="s">
        <v>33</v>
      </c>
      <c r="B261" s="62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ht="77.5" outlineLevel="2" x14ac:dyDescent="0.35">
      <c r="A262" s="60" t="s">
        <v>185</v>
      </c>
      <c r="B262" s="59" t="s">
        <v>184</v>
      </c>
      <c r="C262" s="58" t="s">
        <v>183</v>
      </c>
      <c r="D262" s="58" t="s">
        <v>182</v>
      </c>
      <c r="E262" s="56" t="s">
        <v>181</v>
      </c>
      <c r="F262" s="56" t="s">
        <v>180</v>
      </c>
      <c r="G262" s="56" t="s">
        <v>179</v>
      </c>
      <c r="H262" s="57" t="s">
        <v>674</v>
      </c>
      <c r="I262" s="55" t="s">
        <v>178</v>
      </c>
      <c r="J262" s="55" t="s">
        <v>177</v>
      </c>
      <c r="K262" s="56" t="s">
        <v>176</v>
      </c>
      <c r="L262" s="55" t="s">
        <v>175</v>
      </c>
      <c r="M262" s="55" t="s">
        <v>174</v>
      </c>
      <c r="N262" s="54" t="s">
        <v>173</v>
      </c>
    </row>
    <row r="263" spans="1:14" outlineLevel="2" x14ac:dyDescent="0.35">
      <c r="A263" s="53" t="s">
        <v>336</v>
      </c>
      <c r="B263" s="66" t="s">
        <v>215</v>
      </c>
      <c r="C263" s="51">
        <v>388169</v>
      </c>
      <c r="D263" s="51">
        <v>0</v>
      </c>
      <c r="E263" s="51">
        <v>0</v>
      </c>
      <c r="F263" s="51">
        <v>0</v>
      </c>
      <c r="G263" s="51">
        <v>0</v>
      </c>
      <c r="H263" s="51">
        <v>388169</v>
      </c>
      <c r="I263" s="51">
        <v>0</v>
      </c>
      <c r="J263" s="51">
        <v>388169</v>
      </c>
      <c r="K263" s="51">
        <v>0</v>
      </c>
      <c r="L263" s="51">
        <v>0</v>
      </c>
      <c r="M263" s="51">
        <v>0</v>
      </c>
      <c r="N263" s="51">
        <v>388169</v>
      </c>
    </row>
    <row r="264" spans="1:14" outlineLevel="2" x14ac:dyDescent="0.35">
      <c r="A264" s="82" t="s">
        <v>336</v>
      </c>
      <c r="B264" s="66" t="s">
        <v>214</v>
      </c>
      <c r="C264" s="51">
        <v>402111</v>
      </c>
      <c r="D264" s="51">
        <v>0</v>
      </c>
      <c r="E264" s="51">
        <v>0</v>
      </c>
      <c r="F264" s="51">
        <v>0</v>
      </c>
      <c r="G264" s="51">
        <v>0</v>
      </c>
      <c r="H264" s="51">
        <v>402111</v>
      </c>
      <c r="I264" s="51">
        <v>-402111</v>
      </c>
      <c r="J264" s="51">
        <v>0</v>
      </c>
      <c r="K264" s="51">
        <v>0</v>
      </c>
      <c r="L264" s="51">
        <v>0</v>
      </c>
      <c r="M264" s="51">
        <v>0</v>
      </c>
      <c r="N264" s="51">
        <v>0</v>
      </c>
    </row>
    <row r="265" spans="1:14" outlineLevel="2" x14ac:dyDescent="0.35">
      <c r="A265" s="82" t="s">
        <v>336</v>
      </c>
      <c r="B265" s="66" t="s">
        <v>212</v>
      </c>
      <c r="C265" s="51">
        <v>340063</v>
      </c>
      <c r="D265" s="51">
        <v>-8468</v>
      </c>
      <c r="E265" s="51">
        <v>0</v>
      </c>
      <c r="F265" s="51">
        <v>0</v>
      </c>
      <c r="G265" s="51">
        <v>0</v>
      </c>
      <c r="H265" s="51">
        <v>331595</v>
      </c>
      <c r="I265" s="51">
        <v>-331595</v>
      </c>
      <c r="J265" s="51">
        <v>0</v>
      </c>
      <c r="K265" s="51">
        <v>8468</v>
      </c>
      <c r="L265" s="51">
        <v>-8468</v>
      </c>
      <c r="M265" s="51">
        <v>0</v>
      </c>
      <c r="N265" s="51">
        <v>0</v>
      </c>
    </row>
    <row r="266" spans="1:14" outlineLevel="2" x14ac:dyDescent="0.35">
      <c r="A266" s="82" t="s">
        <v>336</v>
      </c>
      <c r="B266" s="66" t="s">
        <v>220</v>
      </c>
      <c r="C266" s="51">
        <v>338662</v>
      </c>
      <c r="D266" s="51">
        <v>0</v>
      </c>
      <c r="E266" s="51">
        <v>0</v>
      </c>
      <c r="F266" s="51">
        <v>0</v>
      </c>
      <c r="G266" s="51">
        <v>0</v>
      </c>
      <c r="H266" s="51">
        <v>338662</v>
      </c>
      <c r="I266" s="51">
        <v>-338662</v>
      </c>
      <c r="J266" s="51">
        <v>0</v>
      </c>
      <c r="K266" s="51">
        <v>0</v>
      </c>
      <c r="L266" s="51">
        <v>0</v>
      </c>
      <c r="M266" s="51">
        <v>0</v>
      </c>
      <c r="N266" s="51">
        <v>0</v>
      </c>
    </row>
    <row r="267" spans="1:14" outlineLevel="2" x14ac:dyDescent="0.35">
      <c r="A267" s="82" t="s">
        <v>336</v>
      </c>
      <c r="B267" s="66" t="s">
        <v>219</v>
      </c>
      <c r="C267" s="51">
        <v>306273</v>
      </c>
      <c r="D267" s="51">
        <v>0</v>
      </c>
      <c r="E267" s="51">
        <v>0</v>
      </c>
      <c r="F267" s="51">
        <v>0</v>
      </c>
      <c r="G267" s="51">
        <v>0</v>
      </c>
      <c r="H267" s="51">
        <v>306273</v>
      </c>
      <c r="I267" s="51">
        <v>-306273</v>
      </c>
      <c r="J267" s="51">
        <v>0</v>
      </c>
      <c r="K267" s="51">
        <v>0</v>
      </c>
      <c r="L267" s="51">
        <v>0</v>
      </c>
      <c r="M267" s="51">
        <v>0</v>
      </c>
      <c r="N267" s="51">
        <v>0</v>
      </c>
    </row>
    <row r="268" spans="1:14" outlineLevel="2" x14ac:dyDescent="0.35">
      <c r="A268" s="82" t="s">
        <v>336</v>
      </c>
      <c r="B268" s="66" t="s">
        <v>218</v>
      </c>
      <c r="C268" s="51">
        <v>308135</v>
      </c>
      <c r="D268" s="51">
        <v>0</v>
      </c>
      <c r="E268" s="51">
        <v>0</v>
      </c>
      <c r="F268" s="51">
        <v>0</v>
      </c>
      <c r="G268" s="51">
        <v>0</v>
      </c>
      <c r="H268" s="51">
        <v>308135</v>
      </c>
      <c r="I268" s="51">
        <v>-308135</v>
      </c>
      <c r="J268" s="51">
        <v>0</v>
      </c>
      <c r="K268" s="51">
        <v>42735</v>
      </c>
      <c r="L268" s="51">
        <v>-42735</v>
      </c>
      <c r="M268" s="51">
        <v>0</v>
      </c>
      <c r="N268" s="51">
        <v>0</v>
      </c>
    </row>
    <row r="269" spans="1:14" outlineLevel="2" x14ac:dyDescent="0.35">
      <c r="A269" s="82" t="s">
        <v>336</v>
      </c>
      <c r="B269" s="66" t="s">
        <v>209</v>
      </c>
      <c r="C269" s="51">
        <v>191875</v>
      </c>
      <c r="D269" s="51">
        <v>-527</v>
      </c>
      <c r="E269" s="51">
        <v>0</v>
      </c>
      <c r="F269" s="51">
        <v>0</v>
      </c>
      <c r="G269" s="51">
        <v>0</v>
      </c>
      <c r="H269" s="51">
        <v>191348</v>
      </c>
      <c r="I269" s="51">
        <v>-191348</v>
      </c>
      <c r="J269" s="51">
        <v>0</v>
      </c>
      <c r="K269" s="51">
        <v>39794</v>
      </c>
      <c r="L269" s="51">
        <v>-39794</v>
      </c>
      <c r="M269" s="51">
        <v>0</v>
      </c>
      <c r="N269" s="51">
        <v>0</v>
      </c>
    </row>
    <row r="270" spans="1:14" outlineLevel="2" x14ac:dyDescent="0.35">
      <c r="A270" s="82" t="s">
        <v>336</v>
      </c>
      <c r="B270" s="66" t="s">
        <v>208</v>
      </c>
      <c r="C270" s="51">
        <v>212006</v>
      </c>
      <c r="D270" s="51">
        <v>0</v>
      </c>
      <c r="E270" s="51">
        <v>0</v>
      </c>
      <c r="F270" s="51">
        <v>0</v>
      </c>
      <c r="G270" s="51">
        <v>0</v>
      </c>
      <c r="H270" s="51">
        <v>212006</v>
      </c>
      <c r="I270" s="51">
        <v>-212006</v>
      </c>
      <c r="J270" s="51">
        <v>0</v>
      </c>
      <c r="K270" s="51">
        <v>0</v>
      </c>
      <c r="L270" s="51">
        <v>0</v>
      </c>
      <c r="M270" s="51">
        <v>0</v>
      </c>
      <c r="N270" s="51">
        <v>0</v>
      </c>
    </row>
    <row r="271" spans="1:14" outlineLevel="2" x14ac:dyDescent="0.35">
      <c r="A271" s="82" t="s">
        <v>336</v>
      </c>
      <c r="B271" s="66" t="s">
        <v>206</v>
      </c>
      <c r="C271" s="51">
        <v>244659</v>
      </c>
      <c r="D271" s="51">
        <v>-191</v>
      </c>
      <c r="E271" s="51">
        <v>0</v>
      </c>
      <c r="F271" s="51">
        <v>0</v>
      </c>
      <c r="G271" s="51">
        <v>0</v>
      </c>
      <c r="H271" s="51">
        <v>244468</v>
      </c>
      <c r="I271" s="51">
        <v>-244468</v>
      </c>
      <c r="J271" s="51">
        <v>0</v>
      </c>
      <c r="K271" s="51">
        <v>0</v>
      </c>
      <c r="L271" s="51">
        <v>0</v>
      </c>
      <c r="M271" s="51">
        <v>0</v>
      </c>
      <c r="N271" s="51">
        <v>0</v>
      </c>
    </row>
    <row r="272" spans="1:14" outlineLevel="2" x14ac:dyDescent="0.35">
      <c r="A272" s="82" t="s">
        <v>336</v>
      </c>
      <c r="B272" s="66" t="s">
        <v>205</v>
      </c>
      <c r="C272" s="51">
        <v>253317</v>
      </c>
      <c r="D272" s="51">
        <v>-636</v>
      </c>
      <c r="E272" s="51">
        <v>0</v>
      </c>
      <c r="F272" s="51">
        <v>0</v>
      </c>
      <c r="G272" s="51">
        <v>0</v>
      </c>
      <c r="H272" s="51">
        <v>252681</v>
      </c>
      <c r="I272" s="51">
        <v>-252681</v>
      </c>
      <c r="J272" s="51">
        <v>0</v>
      </c>
      <c r="K272" s="51">
        <v>1238</v>
      </c>
      <c r="L272" s="51">
        <v>-1238</v>
      </c>
      <c r="M272" s="51">
        <v>0</v>
      </c>
      <c r="N272" s="51">
        <v>0</v>
      </c>
    </row>
    <row r="273" spans="1:14" outlineLevel="2" x14ac:dyDescent="0.35">
      <c r="A273" s="82" t="s">
        <v>336</v>
      </c>
      <c r="B273" s="66" t="s">
        <v>204</v>
      </c>
      <c r="C273" s="51">
        <v>245288</v>
      </c>
      <c r="D273" s="51">
        <v>-1393</v>
      </c>
      <c r="E273" s="51">
        <v>0</v>
      </c>
      <c r="F273" s="51">
        <v>0</v>
      </c>
      <c r="G273" s="51">
        <v>0</v>
      </c>
      <c r="H273" s="51">
        <v>243895</v>
      </c>
      <c r="I273" s="51">
        <v>-243895</v>
      </c>
      <c r="J273" s="51">
        <v>0</v>
      </c>
      <c r="K273" s="51">
        <v>0</v>
      </c>
      <c r="L273" s="51">
        <v>0</v>
      </c>
      <c r="M273" s="51">
        <v>0</v>
      </c>
      <c r="N273" s="51">
        <v>0</v>
      </c>
    </row>
    <row r="274" spans="1:14" outlineLevel="2" x14ac:dyDescent="0.35">
      <c r="A274" s="82" t="s">
        <v>336</v>
      </c>
      <c r="B274" s="66" t="s">
        <v>203</v>
      </c>
      <c r="C274" s="51">
        <v>259535</v>
      </c>
      <c r="D274" s="51">
        <v>-373</v>
      </c>
      <c r="E274" s="51">
        <v>0</v>
      </c>
      <c r="F274" s="51">
        <v>0</v>
      </c>
      <c r="G274" s="51">
        <v>0</v>
      </c>
      <c r="H274" s="51">
        <v>259162</v>
      </c>
      <c r="I274" s="51">
        <v>-259162</v>
      </c>
      <c r="J274" s="51">
        <v>0</v>
      </c>
      <c r="K274" s="51">
        <v>0</v>
      </c>
      <c r="L274" s="51">
        <v>0</v>
      </c>
      <c r="M274" s="51">
        <v>0</v>
      </c>
      <c r="N274" s="51">
        <v>0</v>
      </c>
    </row>
    <row r="275" spans="1:14" outlineLevel="2" x14ac:dyDescent="0.35">
      <c r="A275" s="82" t="s">
        <v>336</v>
      </c>
      <c r="B275" s="66" t="s">
        <v>202</v>
      </c>
      <c r="C275" s="51">
        <v>215056</v>
      </c>
      <c r="D275" s="51">
        <v>0</v>
      </c>
      <c r="E275" s="51">
        <v>0</v>
      </c>
      <c r="F275" s="51">
        <v>0</v>
      </c>
      <c r="G275" s="51">
        <v>0</v>
      </c>
      <c r="H275" s="51">
        <v>215056</v>
      </c>
      <c r="I275" s="51">
        <v>-215056</v>
      </c>
      <c r="J275" s="51">
        <v>0</v>
      </c>
      <c r="K275" s="51">
        <v>87109</v>
      </c>
      <c r="L275" s="51">
        <v>-87109</v>
      </c>
      <c r="M275" s="51">
        <v>0</v>
      </c>
      <c r="N275" s="51">
        <v>0</v>
      </c>
    </row>
    <row r="276" spans="1:14" outlineLevel="2" x14ac:dyDescent="0.35">
      <c r="A276" s="82" t="s">
        <v>336</v>
      </c>
      <c r="B276" s="66" t="s">
        <v>201</v>
      </c>
      <c r="C276" s="51">
        <v>264814</v>
      </c>
      <c r="D276" s="51">
        <v>-227</v>
      </c>
      <c r="E276" s="51">
        <v>0</v>
      </c>
      <c r="F276" s="51">
        <v>0</v>
      </c>
      <c r="G276" s="51">
        <v>0</v>
      </c>
      <c r="H276" s="51">
        <v>264587</v>
      </c>
      <c r="I276" s="51">
        <v>-264587</v>
      </c>
      <c r="J276" s="51">
        <v>0</v>
      </c>
      <c r="K276" s="51">
        <v>774</v>
      </c>
      <c r="L276" s="51">
        <v>-774</v>
      </c>
      <c r="M276" s="51">
        <v>0</v>
      </c>
      <c r="N276" s="51">
        <v>0</v>
      </c>
    </row>
    <row r="277" spans="1:14" outlineLevel="1" x14ac:dyDescent="0.35">
      <c r="A277" s="82" t="s">
        <v>336</v>
      </c>
      <c r="B277" s="66" t="s">
        <v>200</v>
      </c>
      <c r="C277" s="51">
        <v>171076</v>
      </c>
      <c r="D277" s="51">
        <v>-193</v>
      </c>
      <c r="E277" s="51">
        <v>0</v>
      </c>
      <c r="F277" s="51">
        <v>0</v>
      </c>
      <c r="G277" s="51">
        <v>0</v>
      </c>
      <c r="H277" s="51">
        <v>170883</v>
      </c>
      <c r="I277" s="51">
        <v>-170883</v>
      </c>
      <c r="J277" s="51">
        <v>0</v>
      </c>
      <c r="K277" s="51">
        <v>2120</v>
      </c>
      <c r="L277" s="51">
        <v>-2120</v>
      </c>
      <c r="M277" s="51">
        <v>0</v>
      </c>
      <c r="N277" s="51">
        <v>0</v>
      </c>
    </row>
    <row r="278" spans="1:14" outlineLevel="1" x14ac:dyDescent="0.35">
      <c r="A278" s="82" t="s">
        <v>336</v>
      </c>
      <c r="B278" s="66" t="s">
        <v>199</v>
      </c>
      <c r="C278" s="51">
        <v>151357</v>
      </c>
      <c r="D278" s="51">
        <v>-283</v>
      </c>
      <c r="E278" s="51">
        <v>0</v>
      </c>
      <c r="F278" s="51">
        <v>0</v>
      </c>
      <c r="G278" s="51">
        <v>0</v>
      </c>
      <c r="H278" s="51">
        <v>151074</v>
      </c>
      <c r="I278" s="51">
        <v>-151074</v>
      </c>
      <c r="J278" s="51">
        <v>0</v>
      </c>
      <c r="K278" s="51">
        <v>0</v>
      </c>
      <c r="L278" s="51">
        <v>0</v>
      </c>
      <c r="M278" s="51">
        <v>0</v>
      </c>
      <c r="N278" s="51">
        <v>0</v>
      </c>
    </row>
    <row r="279" spans="1:14" outlineLevel="1" x14ac:dyDescent="0.35">
      <c r="A279" s="82" t="s">
        <v>336</v>
      </c>
      <c r="B279" s="66" t="s">
        <v>198</v>
      </c>
      <c r="C279" s="51">
        <v>180292</v>
      </c>
      <c r="D279" s="51">
        <v>-219</v>
      </c>
      <c r="E279" s="51">
        <v>0</v>
      </c>
      <c r="F279" s="51">
        <v>0</v>
      </c>
      <c r="G279" s="51">
        <v>0</v>
      </c>
      <c r="H279" s="51">
        <v>180073</v>
      </c>
      <c r="I279" s="51">
        <v>-180073</v>
      </c>
      <c r="J279" s="51">
        <v>0</v>
      </c>
      <c r="K279" s="51">
        <v>129</v>
      </c>
      <c r="L279" s="51">
        <v>-129</v>
      </c>
      <c r="M279" s="51">
        <v>0</v>
      </c>
      <c r="N279" s="51">
        <v>0</v>
      </c>
    </row>
    <row r="280" spans="1:14" outlineLevel="2" x14ac:dyDescent="0.35">
      <c r="A280" s="82" t="s">
        <v>336</v>
      </c>
      <c r="B280" s="66" t="s">
        <v>197</v>
      </c>
      <c r="C280" s="51">
        <v>112617</v>
      </c>
      <c r="D280" s="51">
        <v>-6952</v>
      </c>
      <c r="E280" s="51">
        <v>0</v>
      </c>
      <c r="F280" s="51">
        <v>0</v>
      </c>
      <c r="G280" s="51">
        <v>0</v>
      </c>
      <c r="H280" s="51">
        <v>105665</v>
      </c>
      <c r="I280" s="51">
        <v>-105665</v>
      </c>
      <c r="J280" s="51">
        <v>0</v>
      </c>
      <c r="K280" s="51">
        <v>5710</v>
      </c>
      <c r="L280" s="51">
        <v>-5710</v>
      </c>
      <c r="M280" s="51">
        <v>0</v>
      </c>
      <c r="N280" s="51">
        <v>0</v>
      </c>
    </row>
    <row r="281" spans="1:14" outlineLevel="2" x14ac:dyDescent="0.35">
      <c r="A281" s="82" t="s">
        <v>336</v>
      </c>
      <c r="B281" s="66" t="s">
        <v>196</v>
      </c>
      <c r="C281" s="51">
        <v>105712</v>
      </c>
      <c r="D281" s="51">
        <v>0</v>
      </c>
      <c r="E281" s="51">
        <v>0</v>
      </c>
      <c r="F281" s="51">
        <v>0</v>
      </c>
      <c r="G281" s="51">
        <v>0</v>
      </c>
      <c r="H281" s="51">
        <v>105712</v>
      </c>
      <c r="I281" s="51">
        <v>-105712</v>
      </c>
      <c r="J281" s="51">
        <v>0</v>
      </c>
      <c r="K281" s="51">
        <v>10464</v>
      </c>
      <c r="L281" s="51">
        <v>-10464</v>
      </c>
      <c r="M281" s="51">
        <v>0</v>
      </c>
      <c r="N281" s="51">
        <v>0</v>
      </c>
    </row>
    <row r="282" spans="1:14" outlineLevel="2" x14ac:dyDescent="0.35">
      <c r="A282" s="82" t="s">
        <v>336</v>
      </c>
      <c r="B282" s="66" t="s">
        <v>195</v>
      </c>
      <c r="C282" s="51">
        <v>102740</v>
      </c>
      <c r="D282" s="51">
        <v>-674</v>
      </c>
      <c r="E282" s="51">
        <v>0</v>
      </c>
      <c r="F282" s="51">
        <v>0</v>
      </c>
      <c r="G282" s="51">
        <v>0</v>
      </c>
      <c r="H282" s="51">
        <v>102066</v>
      </c>
      <c r="I282" s="51">
        <v>-102066</v>
      </c>
      <c r="J282" s="51">
        <v>0</v>
      </c>
      <c r="K282" s="51">
        <v>18891</v>
      </c>
      <c r="L282" s="51">
        <v>-18891</v>
      </c>
      <c r="M282" s="51">
        <v>0</v>
      </c>
      <c r="N282" s="51">
        <v>0</v>
      </c>
    </row>
    <row r="283" spans="1:14" outlineLevel="2" x14ac:dyDescent="0.35">
      <c r="A283" s="82" t="s">
        <v>336</v>
      </c>
      <c r="B283" s="66" t="s">
        <v>194</v>
      </c>
      <c r="C283" s="51">
        <v>82800</v>
      </c>
      <c r="D283" s="51">
        <v>-42</v>
      </c>
      <c r="E283" s="51">
        <v>0</v>
      </c>
      <c r="F283" s="51">
        <v>0</v>
      </c>
      <c r="G283" s="51">
        <v>0</v>
      </c>
      <c r="H283" s="51">
        <v>82758</v>
      </c>
      <c r="I283" s="51">
        <v>-82758</v>
      </c>
      <c r="J283" s="51">
        <v>0</v>
      </c>
      <c r="K283" s="51">
        <v>10457</v>
      </c>
      <c r="L283" s="51">
        <v>-10457</v>
      </c>
      <c r="M283" s="51">
        <v>0</v>
      </c>
      <c r="N283" s="51">
        <v>0</v>
      </c>
    </row>
    <row r="284" spans="1:14" outlineLevel="2" x14ac:dyDescent="0.35">
      <c r="A284" s="82" t="s">
        <v>336</v>
      </c>
      <c r="B284" s="66" t="s">
        <v>193</v>
      </c>
      <c r="C284" s="51">
        <v>81936</v>
      </c>
      <c r="D284" s="51">
        <v>-2141</v>
      </c>
      <c r="E284" s="51">
        <v>0</v>
      </c>
      <c r="F284" s="51">
        <v>0</v>
      </c>
      <c r="G284" s="51">
        <v>0</v>
      </c>
      <c r="H284" s="51">
        <v>79795</v>
      </c>
      <c r="I284" s="51">
        <v>-79795</v>
      </c>
      <c r="J284" s="51">
        <v>0</v>
      </c>
      <c r="K284" s="51">
        <v>72542</v>
      </c>
      <c r="L284" s="51">
        <v>-72542</v>
      </c>
      <c r="M284" s="51">
        <v>0</v>
      </c>
      <c r="N284" s="51">
        <v>0</v>
      </c>
    </row>
    <row r="285" spans="1:14" outlineLevel="2" x14ac:dyDescent="0.35">
      <c r="A285" s="82" t="s">
        <v>336</v>
      </c>
      <c r="B285" s="66" t="s">
        <v>192</v>
      </c>
      <c r="C285" s="51">
        <v>170797</v>
      </c>
      <c r="D285" s="51">
        <v>-17225</v>
      </c>
      <c r="E285" s="51">
        <v>0</v>
      </c>
      <c r="F285" s="51">
        <v>0</v>
      </c>
      <c r="G285" s="51">
        <v>0</v>
      </c>
      <c r="H285" s="51">
        <v>153572</v>
      </c>
      <c r="I285" s="51">
        <v>-153572</v>
      </c>
      <c r="J285" s="51">
        <v>0</v>
      </c>
      <c r="K285" s="51">
        <v>11155</v>
      </c>
      <c r="L285" s="51">
        <v>-11155</v>
      </c>
      <c r="M285" s="51">
        <v>0</v>
      </c>
      <c r="N285" s="51">
        <v>0</v>
      </c>
    </row>
    <row r="286" spans="1:14" outlineLevel="2" x14ac:dyDescent="0.35">
      <c r="A286" s="82" t="s">
        <v>336</v>
      </c>
      <c r="B286" s="66" t="s">
        <v>191</v>
      </c>
      <c r="C286" s="51">
        <v>183239</v>
      </c>
      <c r="D286" s="51">
        <v>-37632</v>
      </c>
      <c r="E286" s="51">
        <v>0</v>
      </c>
      <c r="F286" s="51">
        <v>0</v>
      </c>
      <c r="G286" s="51">
        <v>0</v>
      </c>
      <c r="H286" s="51">
        <v>145607</v>
      </c>
      <c r="I286" s="51">
        <v>-145607</v>
      </c>
      <c r="J286" s="51">
        <v>0</v>
      </c>
      <c r="K286" s="51">
        <v>27343</v>
      </c>
      <c r="L286" s="51">
        <v>-27343</v>
      </c>
      <c r="M286" s="51">
        <v>0</v>
      </c>
      <c r="N286" s="51">
        <v>0</v>
      </c>
    </row>
    <row r="287" spans="1:14" outlineLevel="2" x14ac:dyDescent="0.35">
      <c r="A287" s="82" t="s">
        <v>336</v>
      </c>
      <c r="B287" s="66" t="s">
        <v>190</v>
      </c>
      <c r="C287" s="51">
        <v>140556</v>
      </c>
      <c r="D287" s="51">
        <v>-7703</v>
      </c>
      <c r="E287" s="51">
        <v>0</v>
      </c>
      <c r="F287" s="51">
        <v>0</v>
      </c>
      <c r="G287" s="51">
        <v>0</v>
      </c>
      <c r="H287" s="51">
        <v>132853</v>
      </c>
      <c r="I287" s="51">
        <v>-132853</v>
      </c>
      <c r="J287" s="51">
        <v>0</v>
      </c>
      <c r="K287" s="51">
        <v>17428</v>
      </c>
      <c r="L287" s="51">
        <v>-17428</v>
      </c>
      <c r="M287" s="51">
        <v>0</v>
      </c>
      <c r="N287" s="51">
        <v>0</v>
      </c>
    </row>
    <row r="288" spans="1:14" outlineLevel="1" x14ac:dyDescent="0.35">
      <c r="A288" s="82" t="s">
        <v>336</v>
      </c>
      <c r="B288" s="66" t="s">
        <v>189</v>
      </c>
      <c r="C288" s="51">
        <v>163548</v>
      </c>
      <c r="D288" s="51">
        <v>-9651</v>
      </c>
      <c r="E288" s="51">
        <v>0</v>
      </c>
      <c r="F288" s="51">
        <v>0</v>
      </c>
      <c r="G288" s="51">
        <v>0</v>
      </c>
      <c r="H288" s="51">
        <v>153897</v>
      </c>
      <c r="I288" s="51">
        <v>-153897</v>
      </c>
      <c r="J288" s="51">
        <v>0</v>
      </c>
      <c r="K288" s="51">
        <v>14037</v>
      </c>
      <c r="L288" s="51">
        <v>-14037</v>
      </c>
      <c r="M288" s="51">
        <v>0</v>
      </c>
      <c r="N288" s="51">
        <v>0</v>
      </c>
    </row>
    <row r="289" spans="1:14" outlineLevel="1" x14ac:dyDescent="0.35">
      <c r="A289" s="82" t="s">
        <v>336</v>
      </c>
      <c r="B289" s="66" t="s">
        <v>188</v>
      </c>
      <c r="C289" s="51">
        <v>75272</v>
      </c>
      <c r="D289" s="51">
        <v>-26746</v>
      </c>
      <c r="E289" s="51">
        <v>0</v>
      </c>
      <c r="F289" s="51">
        <v>0</v>
      </c>
      <c r="G289" s="51">
        <v>0</v>
      </c>
      <c r="H289" s="51">
        <v>48526</v>
      </c>
      <c r="I289" s="51">
        <v>-48526</v>
      </c>
      <c r="J289" s="51">
        <v>0</v>
      </c>
      <c r="K289" s="51">
        <v>26665</v>
      </c>
      <c r="L289" s="51">
        <v>-26665</v>
      </c>
      <c r="M289" s="51">
        <v>0</v>
      </c>
      <c r="N289" s="51">
        <v>0</v>
      </c>
    </row>
    <row r="290" spans="1:14" outlineLevel="1" x14ac:dyDescent="0.35">
      <c r="A290" s="82" t="s">
        <v>336</v>
      </c>
      <c r="B290" s="66" t="s">
        <v>186</v>
      </c>
      <c r="C290" s="51">
        <v>73519</v>
      </c>
      <c r="D290" s="51">
        <v>-31037</v>
      </c>
      <c r="E290" s="51">
        <v>0</v>
      </c>
      <c r="F290" s="51">
        <v>0</v>
      </c>
      <c r="G290" s="51">
        <v>0</v>
      </c>
      <c r="H290" s="51">
        <v>42482</v>
      </c>
      <c r="I290" s="51">
        <v>-42482</v>
      </c>
      <c r="J290" s="51">
        <v>0</v>
      </c>
      <c r="K290" s="51">
        <v>30888</v>
      </c>
      <c r="L290" s="51">
        <v>-30888</v>
      </c>
      <c r="M290" s="51">
        <v>0</v>
      </c>
      <c r="N290" s="51">
        <v>0</v>
      </c>
    </row>
    <row r="291" spans="1:14" outlineLevel="2" x14ac:dyDescent="0.35">
      <c r="A291" s="82" t="s">
        <v>336</v>
      </c>
      <c r="B291" s="66" t="s">
        <v>227</v>
      </c>
      <c r="C291" s="51">
        <v>100996</v>
      </c>
      <c r="D291" s="51">
        <v>-63248</v>
      </c>
      <c r="E291" s="51">
        <v>0</v>
      </c>
      <c r="F291" s="51">
        <v>0</v>
      </c>
      <c r="G291" s="51">
        <v>0</v>
      </c>
      <c r="H291" s="51">
        <v>37748</v>
      </c>
      <c r="I291" s="51">
        <v>-37748</v>
      </c>
      <c r="J291" s="51">
        <v>0</v>
      </c>
      <c r="K291" s="51">
        <v>63177</v>
      </c>
      <c r="L291" s="51">
        <v>-63177</v>
      </c>
      <c r="M291" s="51">
        <v>0</v>
      </c>
      <c r="N291" s="51">
        <v>0</v>
      </c>
    </row>
    <row r="292" spans="1:14" outlineLevel="2" x14ac:dyDescent="0.35">
      <c r="A292" s="82" t="s">
        <v>336</v>
      </c>
      <c r="B292" s="66" t="s">
        <v>226</v>
      </c>
      <c r="C292" s="51">
        <v>88820</v>
      </c>
      <c r="D292" s="51">
        <v>-34312</v>
      </c>
      <c r="E292" s="51">
        <v>0</v>
      </c>
      <c r="F292" s="51">
        <v>0</v>
      </c>
      <c r="G292" s="51">
        <v>0</v>
      </c>
      <c r="H292" s="51">
        <v>54508</v>
      </c>
      <c r="I292" s="51">
        <v>-54508</v>
      </c>
      <c r="J292" s="51">
        <v>0</v>
      </c>
      <c r="K292" s="51">
        <v>34150</v>
      </c>
      <c r="L292" s="51">
        <v>-34150</v>
      </c>
      <c r="M292" s="51">
        <v>0</v>
      </c>
      <c r="N292" s="51">
        <v>0</v>
      </c>
    </row>
    <row r="293" spans="1:14" outlineLevel="2" x14ac:dyDescent="0.35">
      <c r="A293" s="82" t="s">
        <v>336</v>
      </c>
      <c r="B293" s="66" t="s">
        <v>225</v>
      </c>
      <c r="C293" s="51">
        <v>327532</v>
      </c>
      <c r="D293" s="51">
        <v>-74948</v>
      </c>
      <c r="E293" s="51">
        <v>0</v>
      </c>
      <c r="F293" s="51">
        <v>0</v>
      </c>
      <c r="G293" s="51">
        <v>0</v>
      </c>
      <c r="H293" s="51">
        <v>252584</v>
      </c>
      <c r="I293" s="51">
        <v>-252584</v>
      </c>
      <c r="J293" s="51">
        <v>0</v>
      </c>
      <c r="K293" s="51">
        <v>74948</v>
      </c>
      <c r="L293" s="51">
        <v>-74948</v>
      </c>
      <c r="M293" s="51">
        <v>0</v>
      </c>
      <c r="N293" s="51">
        <v>0</v>
      </c>
    </row>
    <row r="294" spans="1:14" outlineLevel="2" x14ac:dyDescent="0.35">
      <c r="A294" s="82" t="s">
        <v>336</v>
      </c>
      <c r="B294" s="66" t="s">
        <v>223</v>
      </c>
      <c r="C294" s="51">
        <v>350241</v>
      </c>
      <c r="D294" s="51">
        <v>-111117</v>
      </c>
      <c r="E294" s="51">
        <v>0</v>
      </c>
      <c r="F294" s="51">
        <v>0</v>
      </c>
      <c r="G294" s="51">
        <v>0</v>
      </c>
      <c r="H294" s="51">
        <v>239124</v>
      </c>
      <c r="I294" s="51">
        <v>-239124</v>
      </c>
      <c r="J294" s="51">
        <v>0</v>
      </c>
      <c r="K294" s="51">
        <v>91531</v>
      </c>
      <c r="L294" s="51">
        <v>-91531</v>
      </c>
      <c r="M294" s="51">
        <v>0</v>
      </c>
      <c r="N294" s="51">
        <v>0</v>
      </c>
    </row>
    <row r="295" spans="1:14" outlineLevel="1" x14ac:dyDescent="0.35">
      <c r="A295" s="65" t="s">
        <v>154</v>
      </c>
      <c r="B295" s="81" t="s">
        <v>12</v>
      </c>
      <c r="C295" s="42">
        <f>SUBTOTAL(109,Program90[(C)
Program
Costs])</f>
        <v>6633013</v>
      </c>
      <c r="D295" s="42">
        <f>SUBTOTAL(109,Program90[(D)
Prior Period Adjustments])</f>
        <v>-435938</v>
      </c>
      <c r="E295" s="42">
        <f>SUBTOTAL(109,Program90[(E)
Current Period Desk 
Reviews])</f>
        <v>0</v>
      </c>
      <c r="F295" s="42">
        <f>SUBTOTAL(109,Program90[(F)
Current Period 
Final 
Audits])</f>
        <v>0</v>
      </c>
      <c r="G295" s="42">
        <f>SUBTOTAL(109,Program90[(G)
Current Period 
Other Adjustments])</f>
        <v>0</v>
      </c>
      <c r="H295" s="42">
        <f>SUBTOTAL(109,Program90[(H)
Net Program Costs
Sum (C through G)])</f>
        <v>6197075</v>
      </c>
      <c r="I295" s="42">
        <f>SUBTOTAL(109,Program90[(I)
Payments
 and Offsets])</f>
        <v>-5808906</v>
      </c>
      <c r="J295" s="42">
        <f>SUBTOTAL(109,Program90[(J)
Accounts Payable Balance
(H + I)])</f>
        <v>388169</v>
      </c>
      <c r="K295" s="42">
        <f>SUBTOTAL(109,Program90[(K)
Established 
Accounts Receivable])</f>
        <v>691753</v>
      </c>
      <c r="L295" s="42">
        <f>SUBTOTAL(109,Program90[(L)
Recovered
 Accounts Receivable])</f>
        <v>-691753</v>
      </c>
      <c r="M295" s="42">
        <f>SUBTOTAL(109,Program90[(M)
Accounts Receivable Balance
(K + L)])</f>
        <v>0</v>
      </c>
      <c r="N295" s="42">
        <f>SUBTOTAL(109,Program90[(N)
Net Balance
(J minus M)])</f>
        <v>388169</v>
      </c>
    </row>
    <row r="296" spans="1:14" outlineLevel="1" x14ac:dyDescent="0.35">
      <c r="A296" s="63" t="s">
        <v>33</v>
      </c>
      <c r="B296" s="62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ht="77.5" outlineLevel="1" x14ac:dyDescent="0.35">
      <c r="A297" s="60" t="s">
        <v>185</v>
      </c>
      <c r="B297" s="59" t="s">
        <v>184</v>
      </c>
      <c r="C297" s="58" t="s">
        <v>183</v>
      </c>
      <c r="D297" s="58" t="s">
        <v>182</v>
      </c>
      <c r="E297" s="56" t="s">
        <v>181</v>
      </c>
      <c r="F297" s="56" t="s">
        <v>180</v>
      </c>
      <c r="G297" s="56" t="s">
        <v>179</v>
      </c>
      <c r="H297" s="57" t="s">
        <v>674</v>
      </c>
      <c r="I297" s="55" t="s">
        <v>178</v>
      </c>
      <c r="J297" s="55" t="s">
        <v>177</v>
      </c>
      <c r="K297" s="56" t="s">
        <v>176</v>
      </c>
      <c r="L297" s="55" t="s">
        <v>175</v>
      </c>
      <c r="M297" s="55" t="s">
        <v>174</v>
      </c>
      <c r="N297" s="54" t="s">
        <v>173</v>
      </c>
    </row>
    <row r="298" spans="1:14" outlineLevel="2" x14ac:dyDescent="0.35">
      <c r="A298" s="53" t="s">
        <v>335</v>
      </c>
      <c r="B298" s="66" t="s">
        <v>194</v>
      </c>
      <c r="C298" s="51">
        <v>68394</v>
      </c>
      <c r="D298" s="51">
        <v>-191</v>
      </c>
      <c r="E298" s="51">
        <v>0</v>
      </c>
      <c r="F298" s="51">
        <v>0</v>
      </c>
      <c r="G298" s="51">
        <v>0</v>
      </c>
      <c r="H298" s="51">
        <v>68203</v>
      </c>
      <c r="I298" s="51">
        <v>-68203</v>
      </c>
      <c r="J298" s="51">
        <v>0</v>
      </c>
      <c r="K298" s="51">
        <v>0</v>
      </c>
      <c r="L298" s="51">
        <v>0</v>
      </c>
      <c r="M298" s="51">
        <v>0</v>
      </c>
      <c r="N298" s="51">
        <v>0</v>
      </c>
    </row>
    <row r="299" spans="1:14" outlineLevel="2" x14ac:dyDescent="0.35">
      <c r="A299" s="82" t="s">
        <v>335</v>
      </c>
      <c r="B299" s="66" t="s">
        <v>193</v>
      </c>
      <c r="C299" s="51">
        <v>228633</v>
      </c>
      <c r="D299" s="51">
        <v>-18277</v>
      </c>
      <c r="E299" s="51">
        <v>0</v>
      </c>
      <c r="F299" s="51">
        <v>0</v>
      </c>
      <c r="G299" s="51">
        <v>0</v>
      </c>
      <c r="H299" s="51">
        <v>210356</v>
      </c>
      <c r="I299" s="51">
        <v>-210356</v>
      </c>
      <c r="J299" s="51">
        <v>0</v>
      </c>
      <c r="K299" s="51">
        <v>982</v>
      </c>
      <c r="L299" s="51">
        <v>-982</v>
      </c>
      <c r="M299" s="51">
        <v>0</v>
      </c>
      <c r="N299" s="51">
        <v>0</v>
      </c>
    </row>
    <row r="300" spans="1:14" outlineLevel="2" x14ac:dyDescent="0.35">
      <c r="A300" s="82" t="s">
        <v>335</v>
      </c>
      <c r="B300" s="66" t="s">
        <v>188</v>
      </c>
      <c r="C300" s="51">
        <v>203643</v>
      </c>
      <c r="D300" s="51">
        <v>0</v>
      </c>
      <c r="E300" s="51">
        <v>0</v>
      </c>
      <c r="F300" s="51">
        <v>0</v>
      </c>
      <c r="G300" s="51">
        <v>0</v>
      </c>
      <c r="H300" s="51">
        <v>203643</v>
      </c>
      <c r="I300" s="51">
        <v>-203643</v>
      </c>
      <c r="J300" s="51">
        <v>0</v>
      </c>
      <c r="K300" s="51">
        <v>0</v>
      </c>
      <c r="L300" s="51">
        <v>0</v>
      </c>
      <c r="M300" s="51">
        <v>0</v>
      </c>
      <c r="N300" s="51">
        <v>0</v>
      </c>
    </row>
    <row r="301" spans="1:14" outlineLevel="2" x14ac:dyDescent="0.35">
      <c r="A301" s="82" t="s">
        <v>335</v>
      </c>
      <c r="B301" s="66" t="s">
        <v>186</v>
      </c>
      <c r="C301" s="51">
        <v>2493878</v>
      </c>
      <c r="D301" s="51">
        <v>-121327</v>
      </c>
      <c r="E301" s="51">
        <v>0</v>
      </c>
      <c r="F301" s="51">
        <v>0</v>
      </c>
      <c r="G301" s="51">
        <v>0</v>
      </c>
      <c r="H301" s="51">
        <v>2372551</v>
      </c>
      <c r="I301" s="51">
        <v>-2372551</v>
      </c>
      <c r="J301" s="51">
        <v>0</v>
      </c>
      <c r="K301" s="51">
        <v>597584</v>
      </c>
      <c r="L301" s="51">
        <v>-597584</v>
      </c>
      <c r="M301" s="51">
        <v>0</v>
      </c>
      <c r="N301" s="51">
        <v>0</v>
      </c>
    </row>
    <row r="302" spans="1:14" outlineLevel="2" x14ac:dyDescent="0.35">
      <c r="A302" s="82" t="s">
        <v>335</v>
      </c>
      <c r="B302" s="66" t="s">
        <v>227</v>
      </c>
      <c r="C302" s="51">
        <v>2188633</v>
      </c>
      <c r="D302" s="51">
        <v>-208140</v>
      </c>
      <c r="E302" s="51">
        <v>0</v>
      </c>
      <c r="F302" s="51">
        <v>0</v>
      </c>
      <c r="G302" s="51">
        <v>0</v>
      </c>
      <c r="H302" s="51">
        <v>1980493</v>
      </c>
      <c r="I302" s="51">
        <v>-1980493</v>
      </c>
      <c r="J302" s="51">
        <v>0</v>
      </c>
      <c r="K302" s="51">
        <v>338820</v>
      </c>
      <c r="L302" s="51">
        <v>-338820</v>
      </c>
      <c r="M302" s="51">
        <v>0</v>
      </c>
      <c r="N302" s="51">
        <v>0</v>
      </c>
    </row>
    <row r="303" spans="1:14" outlineLevel="2" x14ac:dyDescent="0.35">
      <c r="A303" s="82" t="s">
        <v>335</v>
      </c>
      <c r="B303" s="66" t="s">
        <v>226</v>
      </c>
      <c r="C303" s="51">
        <v>1722626</v>
      </c>
      <c r="D303" s="51">
        <v>-274988</v>
      </c>
      <c r="E303" s="51">
        <v>0</v>
      </c>
      <c r="F303" s="51">
        <v>0</v>
      </c>
      <c r="G303" s="51">
        <v>0</v>
      </c>
      <c r="H303" s="51">
        <v>1447638</v>
      </c>
      <c r="I303" s="51">
        <v>-1447638</v>
      </c>
      <c r="J303" s="51">
        <v>0</v>
      </c>
      <c r="K303" s="51">
        <v>233736</v>
      </c>
      <c r="L303" s="51">
        <v>-233736</v>
      </c>
      <c r="M303" s="51">
        <v>0</v>
      </c>
      <c r="N303" s="51">
        <v>0</v>
      </c>
    </row>
    <row r="304" spans="1:14" outlineLevel="2" x14ac:dyDescent="0.35">
      <c r="A304" s="82" t="s">
        <v>335</v>
      </c>
      <c r="B304" s="66" t="s">
        <v>225</v>
      </c>
      <c r="C304" s="51">
        <v>1716772</v>
      </c>
      <c r="D304" s="51">
        <v>-305348</v>
      </c>
      <c r="E304" s="51">
        <v>0</v>
      </c>
      <c r="F304" s="51">
        <v>0</v>
      </c>
      <c r="G304" s="51">
        <v>0</v>
      </c>
      <c r="H304" s="51">
        <v>1411424</v>
      </c>
      <c r="I304" s="51">
        <v>-1411424</v>
      </c>
      <c r="J304" s="51">
        <v>0</v>
      </c>
      <c r="K304" s="51">
        <v>296906</v>
      </c>
      <c r="L304" s="51">
        <v>-296906</v>
      </c>
      <c r="M304" s="51">
        <v>0</v>
      </c>
      <c r="N304" s="51">
        <v>0</v>
      </c>
    </row>
    <row r="305" spans="1:14" outlineLevel="2" x14ac:dyDescent="0.35">
      <c r="A305" s="82" t="s">
        <v>335</v>
      </c>
      <c r="B305" s="66" t="s">
        <v>223</v>
      </c>
      <c r="C305" s="51">
        <v>1654661</v>
      </c>
      <c r="D305" s="51">
        <v>-286908</v>
      </c>
      <c r="E305" s="51">
        <v>0</v>
      </c>
      <c r="F305" s="51">
        <v>0</v>
      </c>
      <c r="G305" s="51">
        <v>0</v>
      </c>
      <c r="H305" s="51">
        <v>1367753</v>
      </c>
      <c r="I305" s="51">
        <v>-1367753</v>
      </c>
      <c r="J305" s="51">
        <v>0</v>
      </c>
      <c r="K305" s="51">
        <v>278788</v>
      </c>
      <c r="L305" s="51">
        <v>-278788</v>
      </c>
      <c r="M305" s="51">
        <v>0</v>
      </c>
      <c r="N305" s="51">
        <v>0</v>
      </c>
    </row>
    <row r="306" spans="1:14" outlineLevel="2" x14ac:dyDescent="0.35">
      <c r="A306" s="65" t="s">
        <v>153</v>
      </c>
      <c r="B306" s="81" t="s">
        <v>12</v>
      </c>
      <c r="C306" s="42">
        <f>SUBTOTAL(109,Program85[(C)
Program
Costs])</f>
        <v>10277240</v>
      </c>
      <c r="D306" s="42">
        <f>SUBTOTAL(109,Program85[(D)
Prior Period Adjustments])</f>
        <v>-1215179</v>
      </c>
      <c r="E306" s="42">
        <f>SUBTOTAL(109,Program85[(E)
Current Period Desk 
Reviews])</f>
        <v>0</v>
      </c>
      <c r="F306" s="42">
        <f>SUBTOTAL(109,Program85[(F)
Current Period 
Final 
Audits])</f>
        <v>0</v>
      </c>
      <c r="G306" s="42">
        <f>SUBTOTAL(109,Program85[(G)
Current Period 
Other Adjustments])</f>
        <v>0</v>
      </c>
      <c r="H306" s="42">
        <f>SUBTOTAL(109,Program85[(H)
Net Program Costs
Sum (C through G)])</f>
        <v>9062061</v>
      </c>
      <c r="I306" s="42">
        <f>SUBTOTAL(109,Program85[(I)
Payments
 and Offsets])</f>
        <v>-9062061</v>
      </c>
      <c r="J306" s="42">
        <f>SUBTOTAL(109,Program85[(J)
Accounts Payable Balance
(H + I)])</f>
        <v>0</v>
      </c>
      <c r="K306" s="42">
        <f>SUBTOTAL(109,Program85[(K)
Established 
Accounts Receivable])</f>
        <v>1746816</v>
      </c>
      <c r="L306" s="42">
        <f>SUBTOTAL(109,Program85[(L)
Recovered
 Accounts Receivable])</f>
        <v>-1746816</v>
      </c>
      <c r="M306" s="42">
        <f>SUBTOTAL(109,Program85[(M)
Accounts Receivable Balance
(K + L)])</f>
        <v>0</v>
      </c>
      <c r="N306" s="42">
        <f>SUBTOTAL(109,Program85[(N)
Net Balance
(J minus M)])</f>
        <v>0</v>
      </c>
    </row>
    <row r="307" spans="1:14" outlineLevel="2" x14ac:dyDescent="0.35">
      <c r="A307" s="63" t="s">
        <v>33</v>
      </c>
      <c r="B307" s="62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ht="77.5" outlineLevel="1" x14ac:dyDescent="0.35">
      <c r="A308" s="60" t="s">
        <v>185</v>
      </c>
      <c r="B308" s="59" t="s">
        <v>184</v>
      </c>
      <c r="C308" s="58" t="s">
        <v>183</v>
      </c>
      <c r="D308" s="58" t="s">
        <v>182</v>
      </c>
      <c r="E308" s="56" t="s">
        <v>181</v>
      </c>
      <c r="F308" s="56" t="s">
        <v>180</v>
      </c>
      <c r="G308" s="56" t="s">
        <v>179</v>
      </c>
      <c r="H308" s="57" t="s">
        <v>674</v>
      </c>
      <c r="I308" s="55" t="s">
        <v>178</v>
      </c>
      <c r="J308" s="55" t="s">
        <v>177</v>
      </c>
      <c r="K308" s="56" t="s">
        <v>176</v>
      </c>
      <c r="L308" s="55" t="s">
        <v>175</v>
      </c>
      <c r="M308" s="55" t="s">
        <v>174</v>
      </c>
      <c r="N308" s="54" t="s">
        <v>173</v>
      </c>
    </row>
    <row r="309" spans="1:14" outlineLevel="1" x14ac:dyDescent="0.35">
      <c r="A309" s="53" t="s">
        <v>334</v>
      </c>
      <c r="B309" s="66" t="s">
        <v>194</v>
      </c>
      <c r="C309" s="51">
        <v>6218</v>
      </c>
      <c r="D309" s="51">
        <v>0</v>
      </c>
      <c r="E309" s="51">
        <v>0</v>
      </c>
      <c r="F309" s="51">
        <v>0</v>
      </c>
      <c r="G309" s="51">
        <v>0</v>
      </c>
      <c r="H309" s="51">
        <v>6218</v>
      </c>
      <c r="I309" s="51">
        <v>-6218</v>
      </c>
      <c r="J309" s="51">
        <v>0</v>
      </c>
      <c r="K309" s="51">
        <v>0</v>
      </c>
      <c r="L309" s="51">
        <v>0</v>
      </c>
      <c r="M309" s="51">
        <v>0</v>
      </c>
      <c r="N309" s="51">
        <v>0</v>
      </c>
    </row>
    <row r="310" spans="1:14" outlineLevel="1" x14ac:dyDescent="0.35">
      <c r="A310" s="82" t="s">
        <v>334</v>
      </c>
      <c r="B310" s="66" t="s">
        <v>193</v>
      </c>
      <c r="C310" s="51">
        <v>5561</v>
      </c>
      <c r="D310" s="51">
        <v>0</v>
      </c>
      <c r="E310" s="51">
        <v>0</v>
      </c>
      <c r="F310" s="51">
        <v>0</v>
      </c>
      <c r="G310" s="51">
        <v>0</v>
      </c>
      <c r="H310" s="51">
        <v>5561</v>
      </c>
      <c r="I310" s="51">
        <v>-5561</v>
      </c>
      <c r="J310" s="51">
        <v>0</v>
      </c>
      <c r="K310" s="51">
        <v>0</v>
      </c>
      <c r="L310" s="51">
        <v>0</v>
      </c>
      <c r="M310" s="51">
        <v>0</v>
      </c>
      <c r="N310" s="51">
        <v>0</v>
      </c>
    </row>
    <row r="311" spans="1:14" outlineLevel="2" x14ac:dyDescent="0.35">
      <c r="A311" s="82" t="s">
        <v>334</v>
      </c>
      <c r="B311" s="66" t="s">
        <v>188</v>
      </c>
      <c r="C311" s="51">
        <v>14523</v>
      </c>
      <c r="D311" s="51">
        <v>-324</v>
      </c>
      <c r="E311" s="51">
        <v>0</v>
      </c>
      <c r="F311" s="51">
        <v>0</v>
      </c>
      <c r="G311" s="51">
        <v>0</v>
      </c>
      <c r="H311" s="51">
        <v>14199</v>
      </c>
      <c r="I311" s="51">
        <v>-14199</v>
      </c>
      <c r="J311" s="51">
        <v>0</v>
      </c>
      <c r="K311" s="51">
        <v>0</v>
      </c>
      <c r="L311" s="51">
        <v>0</v>
      </c>
      <c r="M311" s="51">
        <v>0</v>
      </c>
      <c r="N311" s="51">
        <v>0</v>
      </c>
    </row>
    <row r="312" spans="1:14" outlineLevel="2" x14ac:dyDescent="0.35">
      <c r="A312" s="82" t="s">
        <v>334</v>
      </c>
      <c r="B312" s="66" t="s">
        <v>186</v>
      </c>
      <c r="C312" s="51">
        <v>30882</v>
      </c>
      <c r="D312" s="51">
        <v>-3905</v>
      </c>
      <c r="E312" s="51">
        <v>0</v>
      </c>
      <c r="F312" s="51">
        <v>0</v>
      </c>
      <c r="G312" s="51">
        <v>0</v>
      </c>
      <c r="H312" s="51">
        <v>26977</v>
      </c>
      <c r="I312" s="51">
        <v>-26977</v>
      </c>
      <c r="J312" s="51">
        <v>0</v>
      </c>
      <c r="K312" s="51">
        <v>3329</v>
      </c>
      <c r="L312" s="51">
        <v>-3329</v>
      </c>
      <c r="M312" s="51">
        <v>0</v>
      </c>
      <c r="N312" s="51">
        <v>0</v>
      </c>
    </row>
    <row r="313" spans="1:14" outlineLevel="2" x14ac:dyDescent="0.35">
      <c r="A313" s="82" t="s">
        <v>334</v>
      </c>
      <c r="B313" s="66" t="s">
        <v>227</v>
      </c>
      <c r="C313" s="51">
        <v>0</v>
      </c>
      <c r="D313" s="51">
        <v>0</v>
      </c>
      <c r="E313" s="51">
        <v>0</v>
      </c>
      <c r="F313" s="51">
        <v>0</v>
      </c>
      <c r="G313" s="51">
        <v>0</v>
      </c>
      <c r="H313" s="51">
        <v>0</v>
      </c>
      <c r="I313" s="51">
        <v>0</v>
      </c>
      <c r="J313" s="51">
        <v>0</v>
      </c>
      <c r="K313" s="51">
        <v>1827</v>
      </c>
      <c r="L313" s="51">
        <v>-1827</v>
      </c>
      <c r="M313" s="51">
        <v>0</v>
      </c>
      <c r="N313" s="51">
        <v>0</v>
      </c>
    </row>
    <row r="314" spans="1:14" outlineLevel="2" x14ac:dyDescent="0.35">
      <c r="A314" s="65" t="s">
        <v>152</v>
      </c>
      <c r="B314" s="81" t="s">
        <v>12</v>
      </c>
      <c r="C314" s="42">
        <f>SUBTOTAL(109,Program8[(C)
Program
Costs])</f>
        <v>57184</v>
      </c>
      <c r="D314" s="42">
        <f>SUBTOTAL(109,Program8[(D)
Prior Period Adjustments])</f>
        <v>-4229</v>
      </c>
      <c r="E314" s="42">
        <f>SUBTOTAL(109,Program8[(E)
Current Period Desk 
Reviews])</f>
        <v>0</v>
      </c>
      <c r="F314" s="42">
        <f>SUBTOTAL(109,Program8[(F)
Current Period 
Final 
Audits])</f>
        <v>0</v>
      </c>
      <c r="G314" s="42">
        <f>SUBTOTAL(109,Program8[(G)
Current Period 
Other Adjustments])</f>
        <v>0</v>
      </c>
      <c r="H314" s="42">
        <f>SUBTOTAL(109,Program8[(H)
Net Program Costs
Sum (C through G)])</f>
        <v>52955</v>
      </c>
      <c r="I314" s="42">
        <f>SUBTOTAL(109,Program8[(I)
Payments
 and Offsets])</f>
        <v>-52955</v>
      </c>
      <c r="J314" s="42">
        <f>SUBTOTAL(109,Program8[(J)
Accounts Payable Balance
(H + I)])</f>
        <v>0</v>
      </c>
      <c r="K314" s="42">
        <f>SUBTOTAL(109,Program8[(K)
Established 
Accounts Receivable])</f>
        <v>5156</v>
      </c>
      <c r="L314" s="42">
        <f>SUBTOTAL(109,Program8[(L)
Recovered
 Accounts Receivable])</f>
        <v>-5156</v>
      </c>
      <c r="M314" s="42">
        <f>SUBTOTAL(109,Program8[(M)
Accounts Receivable Balance
(K + L)])</f>
        <v>0</v>
      </c>
      <c r="N314" s="42">
        <f>SUBTOTAL(109,Program8[(N)
Net Balance
(J minus M)])</f>
        <v>0</v>
      </c>
    </row>
    <row r="315" spans="1:14" outlineLevel="2" x14ac:dyDescent="0.35">
      <c r="A315" s="63" t="s">
        <v>33</v>
      </c>
      <c r="B315" s="62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ht="77.5" outlineLevel="2" x14ac:dyDescent="0.35">
      <c r="A316" s="60" t="s">
        <v>185</v>
      </c>
      <c r="B316" s="59" t="s">
        <v>184</v>
      </c>
      <c r="C316" s="58" t="s">
        <v>183</v>
      </c>
      <c r="D316" s="58" t="s">
        <v>182</v>
      </c>
      <c r="E316" s="56" t="s">
        <v>181</v>
      </c>
      <c r="F316" s="56" t="s">
        <v>180</v>
      </c>
      <c r="G316" s="56" t="s">
        <v>179</v>
      </c>
      <c r="H316" s="57" t="s">
        <v>674</v>
      </c>
      <c r="I316" s="55" t="s">
        <v>178</v>
      </c>
      <c r="J316" s="55" t="s">
        <v>177</v>
      </c>
      <c r="K316" s="56" t="s">
        <v>176</v>
      </c>
      <c r="L316" s="55" t="s">
        <v>175</v>
      </c>
      <c r="M316" s="55" t="s">
        <v>174</v>
      </c>
      <c r="N316" s="54" t="s">
        <v>173</v>
      </c>
    </row>
    <row r="317" spans="1:14" ht="31" outlineLevel="2" x14ac:dyDescent="0.35">
      <c r="A317" s="70" t="s">
        <v>333</v>
      </c>
      <c r="B317" s="69" t="s">
        <v>208</v>
      </c>
      <c r="C317" s="68">
        <v>14628552</v>
      </c>
      <c r="D317" s="68">
        <v>-1323308</v>
      </c>
      <c r="E317" s="68">
        <v>0</v>
      </c>
      <c r="F317" s="68">
        <v>-430433</v>
      </c>
      <c r="G317" s="68">
        <v>0</v>
      </c>
      <c r="H317" s="68">
        <v>12874811</v>
      </c>
      <c r="I317" s="68">
        <v>0</v>
      </c>
      <c r="J317" s="68">
        <v>12874811</v>
      </c>
      <c r="K317" s="68">
        <v>0</v>
      </c>
      <c r="L317" s="68">
        <v>0</v>
      </c>
      <c r="M317" s="68">
        <v>0</v>
      </c>
      <c r="N317" s="68">
        <v>12874811</v>
      </c>
    </row>
    <row r="318" spans="1:14" ht="31" outlineLevel="2" x14ac:dyDescent="0.35">
      <c r="A318" s="83" t="s">
        <v>333</v>
      </c>
      <c r="B318" s="69" t="s">
        <v>206</v>
      </c>
      <c r="C318" s="68">
        <v>16747535</v>
      </c>
      <c r="D318" s="68">
        <v>-1524065</v>
      </c>
      <c r="E318" s="68">
        <v>0</v>
      </c>
      <c r="F318" s="68">
        <v>-501848</v>
      </c>
      <c r="G318" s="68">
        <v>0</v>
      </c>
      <c r="H318" s="68">
        <v>14721622</v>
      </c>
      <c r="I318" s="68">
        <v>0</v>
      </c>
      <c r="J318" s="68">
        <v>14721622</v>
      </c>
      <c r="K318" s="68">
        <v>0</v>
      </c>
      <c r="L318" s="68">
        <v>0</v>
      </c>
      <c r="M318" s="68">
        <v>0</v>
      </c>
      <c r="N318" s="68">
        <v>14721622</v>
      </c>
    </row>
    <row r="319" spans="1:14" ht="31" outlineLevel="2" x14ac:dyDescent="0.35">
      <c r="A319" s="83" t="s">
        <v>333</v>
      </c>
      <c r="B319" s="69" t="s">
        <v>205</v>
      </c>
      <c r="C319" s="68">
        <v>16738344</v>
      </c>
      <c r="D319" s="68">
        <v>-2054932</v>
      </c>
      <c r="E319" s="68">
        <v>0</v>
      </c>
      <c r="F319" s="68">
        <v>-921215</v>
      </c>
      <c r="G319" s="68">
        <v>0</v>
      </c>
      <c r="H319" s="68">
        <v>13762197</v>
      </c>
      <c r="I319" s="68">
        <v>0</v>
      </c>
      <c r="J319" s="68">
        <v>13762197</v>
      </c>
      <c r="K319" s="68">
        <v>0</v>
      </c>
      <c r="L319" s="68">
        <v>0</v>
      </c>
      <c r="M319" s="68">
        <v>0</v>
      </c>
      <c r="N319" s="68">
        <v>13762197</v>
      </c>
    </row>
    <row r="320" spans="1:14" ht="31" outlineLevel="2" x14ac:dyDescent="0.35">
      <c r="A320" s="83" t="s">
        <v>333</v>
      </c>
      <c r="B320" s="69" t="s">
        <v>204</v>
      </c>
      <c r="C320" s="68">
        <v>16260598</v>
      </c>
      <c r="D320" s="68">
        <v>-2244662</v>
      </c>
      <c r="E320" s="68">
        <v>0</v>
      </c>
      <c r="F320" s="68">
        <v>-952357</v>
      </c>
      <c r="G320" s="68">
        <v>0</v>
      </c>
      <c r="H320" s="68">
        <v>13063579</v>
      </c>
      <c r="I320" s="68">
        <v>0</v>
      </c>
      <c r="J320" s="68">
        <v>13063579</v>
      </c>
      <c r="K320" s="68">
        <v>0</v>
      </c>
      <c r="L320" s="68">
        <v>0</v>
      </c>
      <c r="M320" s="68">
        <v>0</v>
      </c>
      <c r="N320" s="68">
        <v>13063579</v>
      </c>
    </row>
    <row r="321" spans="1:14" ht="31" outlineLevel="2" x14ac:dyDescent="0.35">
      <c r="A321" s="83" t="s">
        <v>333</v>
      </c>
      <c r="B321" s="69" t="s">
        <v>203</v>
      </c>
      <c r="C321" s="68">
        <v>15831455</v>
      </c>
      <c r="D321" s="68">
        <v>-2512828</v>
      </c>
      <c r="E321" s="68">
        <v>0</v>
      </c>
      <c r="F321" s="68">
        <v>-918633</v>
      </c>
      <c r="G321" s="68">
        <v>0</v>
      </c>
      <c r="H321" s="68">
        <v>12399994</v>
      </c>
      <c r="I321" s="68">
        <v>0</v>
      </c>
      <c r="J321" s="68">
        <v>12399994</v>
      </c>
      <c r="K321" s="68">
        <v>0</v>
      </c>
      <c r="L321" s="68">
        <v>0</v>
      </c>
      <c r="M321" s="68">
        <v>0</v>
      </c>
      <c r="N321" s="68">
        <v>12399994</v>
      </c>
    </row>
    <row r="322" spans="1:14" ht="31" outlineLevel="2" x14ac:dyDescent="0.35">
      <c r="A322" s="83" t="s">
        <v>333</v>
      </c>
      <c r="B322" s="69" t="s">
        <v>202</v>
      </c>
      <c r="C322" s="68">
        <v>14868208</v>
      </c>
      <c r="D322" s="68">
        <v>-1382764</v>
      </c>
      <c r="E322" s="68">
        <v>0</v>
      </c>
      <c r="F322" s="68">
        <v>-859068</v>
      </c>
      <c r="G322" s="68">
        <v>0</v>
      </c>
      <c r="H322" s="68">
        <v>12626376</v>
      </c>
      <c r="I322" s="68">
        <v>0</v>
      </c>
      <c r="J322" s="68">
        <v>12626376</v>
      </c>
      <c r="K322" s="68">
        <v>0</v>
      </c>
      <c r="L322" s="68">
        <v>0</v>
      </c>
      <c r="M322" s="68">
        <v>0</v>
      </c>
      <c r="N322" s="68">
        <v>12626376</v>
      </c>
    </row>
    <row r="323" spans="1:14" ht="31" outlineLevel="2" x14ac:dyDescent="0.35">
      <c r="A323" s="83" t="s">
        <v>333</v>
      </c>
      <c r="B323" s="69" t="s">
        <v>201</v>
      </c>
      <c r="C323" s="68">
        <v>14352884</v>
      </c>
      <c r="D323" s="68">
        <v>-1742830</v>
      </c>
      <c r="E323" s="68">
        <v>0</v>
      </c>
      <c r="F323" s="68">
        <v>-809610</v>
      </c>
      <c r="G323" s="68">
        <v>0</v>
      </c>
      <c r="H323" s="68">
        <v>11800444</v>
      </c>
      <c r="I323" s="68">
        <v>0</v>
      </c>
      <c r="J323" s="68">
        <v>11800444</v>
      </c>
      <c r="K323" s="68">
        <v>0</v>
      </c>
      <c r="L323" s="68">
        <v>0</v>
      </c>
      <c r="M323" s="68">
        <v>0</v>
      </c>
      <c r="N323" s="68">
        <v>11800444</v>
      </c>
    </row>
    <row r="324" spans="1:14" ht="31" outlineLevel="2" x14ac:dyDescent="0.35">
      <c r="A324" s="83" t="s">
        <v>333</v>
      </c>
      <c r="B324" s="69" t="s">
        <v>200</v>
      </c>
      <c r="C324" s="68">
        <v>14040566</v>
      </c>
      <c r="D324" s="68">
        <v>-1584866</v>
      </c>
      <c r="E324" s="68">
        <v>0</v>
      </c>
      <c r="F324" s="68">
        <v>-772244</v>
      </c>
      <c r="G324" s="68">
        <v>0</v>
      </c>
      <c r="H324" s="68">
        <v>11683456</v>
      </c>
      <c r="I324" s="68">
        <v>0</v>
      </c>
      <c r="J324" s="68">
        <v>11683456</v>
      </c>
      <c r="K324" s="68">
        <v>0</v>
      </c>
      <c r="L324" s="68">
        <v>0</v>
      </c>
      <c r="M324" s="68">
        <v>0</v>
      </c>
      <c r="N324" s="68">
        <v>11683456</v>
      </c>
    </row>
    <row r="325" spans="1:14" ht="31" outlineLevel="2" x14ac:dyDescent="0.35">
      <c r="A325" s="83" t="s">
        <v>333</v>
      </c>
      <c r="B325" s="69" t="s">
        <v>199</v>
      </c>
      <c r="C325" s="68">
        <v>13088411</v>
      </c>
      <c r="D325" s="68">
        <v>-1599007</v>
      </c>
      <c r="E325" s="68">
        <v>0</v>
      </c>
      <c r="F325" s="68">
        <v>-665781</v>
      </c>
      <c r="G325" s="68">
        <v>0</v>
      </c>
      <c r="H325" s="68">
        <v>10823623</v>
      </c>
      <c r="I325" s="68">
        <v>0</v>
      </c>
      <c r="J325" s="68">
        <v>10823623</v>
      </c>
      <c r="K325" s="68">
        <v>0</v>
      </c>
      <c r="L325" s="68">
        <v>0</v>
      </c>
      <c r="M325" s="68">
        <v>0</v>
      </c>
      <c r="N325" s="68">
        <v>10823623</v>
      </c>
    </row>
    <row r="326" spans="1:14" ht="31" outlineLevel="2" x14ac:dyDescent="0.35">
      <c r="A326" s="83" t="s">
        <v>333</v>
      </c>
      <c r="B326" s="69" t="s">
        <v>198</v>
      </c>
      <c r="C326" s="68">
        <v>12231105</v>
      </c>
      <c r="D326" s="68">
        <v>-1477005</v>
      </c>
      <c r="E326" s="68">
        <v>0</v>
      </c>
      <c r="F326" s="68">
        <v>-852708</v>
      </c>
      <c r="G326" s="68">
        <v>0</v>
      </c>
      <c r="H326" s="68">
        <v>9901392</v>
      </c>
      <c r="I326" s="68">
        <v>0</v>
      </c>
      <c r="J326" s="68">
        <v>9901392</v>
      </c>
      <c r="K326" s="68">
        <v>0</v>
      </c>
      <c r="L326" s="68">
        <v>0</v>
      </c>
      <c r="M326" s="68">
        <v>0</v>
      </c>
      <c r="N326" s="68">
        <v>9901392</v>
      </c>
    </row>
    <row r="327" spans="1:14" ht="31" outlineLevel="2" x14ac:dyDescent="0.35">
      <c r="A327" s="83" t="s">
        <v>333</v>
      </c>
      <c r="B327" s="69" t="s">
        <v>197</v>
      </c>
      <c r="C327" s="68">
        <v>11447700</v>
      </c>
      <c r="D327" s="68">
        <v>-1344142</v>
      </c>
      <c r="E327" s="68">
        <v>0</v>
      </c>
      <c r="F327" s="68">
        <v>-651441</v>
      </c>
      <c r="G327" s="68">
        <v>0</v>
      </c>
      <c r="H327" s="68">
        <v>9452117</v>
      </c>
      <c r="I327" s="68">
        <v>0</v>
      </c>
      <c r="J327" s="68">
        <v>9452117</v>
      </c>
      <c r="K327" s="68">
        <v>0</v>
      </c>
      <c r="L327" s="68">
        <v>0</v>
      </c>
      <c r="M327" s="68">
        <v>0</v>
      </c>
      <c r="N327" s="68">
        <v>9452117</v>
      </c>
    </row>
    <row r="328" spans="1:14" outlineLevel="2" x14ac:dyDescent="0.35">
      <c r="A328" s="65" t="s">
        <v>151</v>
      </c>
      <c r="B328" s="81" t="s">
        <v>12</v>
      </c>
      <c r="C328" s="42">
        <f>SUBTOTAL(109,Program310[(C)
Program
Costs])</f>
        <v>160235358</v>
      </c>
      <c r="D328" s="42">
        <f>SUBTOTAL(109,Program310[(D)
Prior Period Adjustments])</f>
        <v>-18790409</v>
      </c>
      <c r="E328" s="42">
        <f>SUBTOTAL(109,Program310[(E)
Current Period Desk 
Reviews])</f>
        <v>0</v>
      </c>
      <c r="F328" s="42">
        <f>SUBTOTAL(109,Program310[(F)
Current Period 
Final 
Audits])</f>
        <v>-8335338</v>
      </c>
      <c r="G328" s="42">
        <f>SUBTOTAL(109,Program310[(G)
Current Period 
Other Adjustments])</f>
        <v>0</v>
      </c>
      <c r="H328" s="42">
        <f>SUBTOTAL(109,Program310[(H)
Net Program Costs
Sum (C through G)])</f>
        <v>133109611</v>
      </c>
      <c r="I328" s="42">
        <f>SUBTOTAL(109,Program310[(I)
Payments
 and Offsets])</f>
        <v>0</v>
      </c>
      <c r="J328" s="42">
        <f>SUBTOTAL(109,Program310[(J)
Accounts Payable Balance
(H + I)])</f>
        <v>133109611</v>
      </c>
      <c r="K328" s="42">
        <f>SUBTOTAL(109,Program310[(K)
Established 
Accounts Receivable])</f>
        <v>0</v>
      </c>
      <c r="L328" s="42">
        <f>SUBTOTAL(109,Program310[(L)
Recovered
 Accounts Receivable])</f>
        <v>0</v>
      </c>
      <c r="M328" s="42">
        <f>SUBTOTAL(109,Program310[(M)
Accounts Receivable Balance
(K + L)])</f>
        <v>0</v>
      </c>
      <c r="N328" s="42">
        <f>SUBTOTAL(109,Program310[(N)
Net Balance
(J minus M)])</f>
        <v>133109611</v>
      </c>
    </row>
    <row r="329" spans="1:14" outlineLevel="1" x14ac:dyDescent="0.35">
      <c r="A329" s="63" t="s">
        <v>33</v>
      </c>
      <c r="B329" s="62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ht="77.5" outlineLevel="1" x14ac:dyDescent="0.35">
      <c r="A330" s="60" t="s">
        <v>185</v>
      </c>
      <c r="B330" s="59" t="s">
        <v>184</v>
      </c>
      <c r="C330" s="58" t="s">
        <v>183</v>
      </c>
      <c r="D330" s="58" t="s">
        <v>182</v>
      </c>
      <c r="E330" s="56" t="s">
        <v>181</v>
      </c>
      <c r="F330" s="56" t="s">
        <v>180</v>
      </c>
      <c r="G330" s="56" t="s">
        <v>179</v>
      </c>
      <c r="H330" s="57" t="s">
        <v>674</v>
      </c>
      <c r="I330" s="55" t="s">
        <v>178</v>
      </c>
      <c r="J330" s="55" t="s">
        <v>177</v>
      </c>
      <c r="K330" s="56" t="s">
        <v>176</v>
      </c>
      <c r="L330" s="55" t="s">
        <v>175</v>
      </c>
      <c r="M330" s="55" t="s">
        <v>174</v>
      </c>
      <c r="N330" s="54" t="s">
        <v>173</v>
      </c>
    </row>
    <row r="331" spans="1:14" ht="31" outlineLevel="1" x14ac:dyDescent="0.35">
      <c r="A331" s="70" t="s">
        <v>332</v>
      </c>
      <c r="B331" s="69" t="s">
        <v>215</v>
      </c>
      <c r="C331" s="68">
        <v>173375</v>
      </c>
      <c r="D331" s="68">
        <v>0</v>
      </c>
      <c r="E331" s="68">
        <v>-922</v>
      </c>
      <c r="F331" s="68">
        <v>0</v>
      </c>
      <c r="G331" s="68">
        <v>0</v>
      </c>
      <c r="H331" s="68">
        <v>172453</v>
      </c>
      <c r="I331" s="68">
        <v>0</v>
      </c>
      <c r="J331" s="68">
        <v>172453</v>
      </c>
      <c r="K331" s="68">
        <v>0</v>
      </c>
      <c r="L331" s="68">
        <v>0</v>
      </c>
      <c r="M331" s="68">
        <v>0</v>
      </c>
      <c r="N331" s="68">
        <v>172453</v>
      </c>
    </row>
    <row r="332" spans="1:14" ht="31" outlineLevel="2" x14ac:dyDescent="0.35">
      <c r="A332" s="83" t="s">
        <v>332</v>
      </c>
      <c r="B332" s="69" t="s">
        <v>214</v>
      </c>
      <c r="C332" s="68">
        <v>163807</v>
      </c>
      <c r="D332" s="68">
        <v>0</v>
      </c>
      <c r="E332" s="68">
        <v>0</v>
      </c>
      <c r="F332" s="68">
        <v>0</v>
      </c>
      <c r="G332" s="68">
        <v>-276</v>
      </c>
      <c r="H332" s="68">
        <v>163531</v>
      </c>
      <c r="I332" s="68">
        <v>-161049</v>
      </c>
      <c r="J332" s="68">
        <v>2482</v>
      </c>
      <c r="K332" s="68">
        <v>71</v>
      </c>
      <c r="L332" s="68">
        <v>0</v>
      </c>
      <c r="M332" s="68">
        <v>71</v>
      </c>
      <c r="N332" s="68">
        <v>2411</v>
      </c>
    </row>
    <row r="333" spans="1:14" ht="31" outlineLevel="2" x14ac:dyDescent="0.35">
      <c r="A333" s="83" t="s">
        <v>332</v>
      </c>
      <c r="B333" s="69" t="s">
        <v>212</v>
      </c>
      <c r="C333" s="68">
        <v>165120</v>
      </c>
      <c r="D333" s="68">
        <v>-219</v>
      </c>
      <c r="E333" s="68">
        <v>0</v>
      </c>
      <c r="F333" s="68">
        <v>0</v>
      </c>
      <c r="G333" s="68">
        <v>0</v>
      </c>
      <c r="H333" s="68">
        <v>164901</v>
      </c>
      <c r="I333" s="68">
        <v>-164901</v>
      </c>
      <c r="J333" s="68">
        <v>0</v>
      </c>
      <c r="K333" s="68">
        <v>0</v>
      </c>
      <c r="L333" s="68">
        <v>0</v>
      </c>
      <c r="M333" s="68">
        <v>0</v>
      </c>
      <c r="N333" s="68">
        <v>0</v>
      </c>
    </row>
    <row r="334" spans="1:14" ht="31" outlineLevel="2" x14ac:dyDescent="0.35">
      <c r="A334" s="83" t="s">
        <v>332</v>
      </c>
      <c r="B334" s="69" t="s">
        <v>220</v>
      </c>
      <c r="C334" s="68">
        <v>159672</v>
      </c>
      <c r="D334" s="68">
        <v>0</v>
      </c>
      <c r="E334" s="68">
        <v>0</v>
      </c>
      <c r="F334" s="68">
        <v>0</v>
      </c>
      <c r="G334" s="68">
        <v>0</v>
      </c>
      <c r="H334" s="68">
        <v>159672</v>
      </c>
      <c r="I334" s="68">
        <v>-159672</v>
      </c>
      <c r="J334" s="68">
        <v>0</v>
      </c>
      <c r="K334" s="68">
        <v>0</v>
      </c>
      <c r="L334" s="68">
        <v>0</v>
      </c>
      <c r="M334" s="68">
        <v>0</v>
      </c>
      <c r="N334" s="68">
        <v>0</v>
      </c>
    </row>
    <row r="335" spans="1:14" ht="31" outlineLevel="2" x14ac:dyDescent="0.35">
      <c r="A335" s="83" t="s">
        <v>332</v>
      </c>
      <c r="B335" s="69" t="s">
        <v>219</v>
      </c>
      <c r="C335" s="68">
        <v>161751</v>
      </c>
      <c r="D335" s="68">
        <v>-144</v>
      </c>
      <c r="E335" s="68">
        <v>0</v>
      </c>
      <c r="F335" s="68">
        <v>0</v>
      </c>
      <c r="G335" s="68">
        <v>0</v>
      </c>
      <c r="H335" s="68">
        <v>161607</v>
      </c>
      <c r="I335" s="68">
        <v>-161607</v>
      </c>
      <c r="J335" s="68">
        <v>0</v>
      </c>
      <c r="K335" s="68">
        <v>0</v>
      </c>
      <c r="L335" s="68">
        <v>0</v>
      </c>
      <c r="M335" s="68">
        <v>0</v>
      </c>
      <c r="N335" s="68">
        <v>0</v>
      </c>
    </row>
    <row r="336" spans="1:14" ht="31" outlineLevel="2" x14ac:dyDescent="0.35">
      <c r="A336" s="83" t="s">
        <v>332</v>
      </c>
      <c r="B336" s="69" t="s">
        <v>218</v>
      </c>
      <c r="C336" s="68">
        <v>164081</v>
      </c>
      <c r="D336" s="68">
        <v>-363</v>
      </c>
      <c r="E336" s="68">
        <v>0</v>
      </c>
      <c r="F336" s="68">
        <v>0</v>
      </c>
      <c r="G336" s="68">
        <v>0</v>
      </c>
      <c r="H336" s="68">
        <v>163718</v>
      </c>
      <c r="I336" s="68">
        <v>-163718</v>
      </c>
      <c r="J336" s="68">
        <v>0</v>
      </c>
      <c r="K336" s="68">
        <v>0</v>
      </c>
      <c r="L336" s="68">
        <v>0</v>
      </c>
      <c r="M336" s="68">
        <v>0</v>
      </c>
      <c r="N336" s="68">
        <v>0</v>
      </c>
    </row>
    <row r="337" spans="1:14" ht="31" outlineLevel="2" x14ac:dyDescent="0.35">
      <c r="A337" s="83" t="s">
        <v>332</v>
      </c>
      <c r="B337" s="69" t="s">
        <v>209</v>
      </c>
      <c r="C337" s="68">
        <v>176134</v>
      </c>
      <c r="D337" s="68">
        <v>-9</v>
      </c>
      <c r="E337" s="68">
        <v>0</v>
      </c>
      <c r="F337" s="68">
        <v>0</v>
      </c>
      <c r="G337" s="68">
        <v>0</v>
      </c>
      <c r="H337" s="68">
        <v>176125</v>
      </c>
      <c r="I337" s="68">
        <v>-176125</v>
      </c>
      <c r="J337" s="68">
        <v>0</v>
      </c>
      <c r="K337" s="68">
        <v>0</v>
      </c>
      <c r="L337" s="68">
        <v>0</v>
      </c>
      <c r="M337" s="68">
        <v>0</v>
      </c>
      <c r="N337" s="68">
        <v>0</v>
      </c>
    </row>
    <row r="338" spans="1:14" ht="31" outlineLevel="2" x14ac:dyDescent="0.35">
      <c r="A338" s="83" t="s">
        <v>332</v>
      </c>
      <c r="B338" s="69" t="s">
        <v>208</v>
      </c>
      <c r="C338" s="68">
        <v>174998</v>
      </c>
      <c r="D338" s="68">
        <v>0</v>
      </c>
      <c r="E338" s="68">
        <v>0</v>
      </c>
      <c r="F338" s="68">
        <v>0</v>
      </c>
      <c r="G338" s="68">
        <v>0</v>
      </c>
      <c r="H338" s="68">
        <v>174998</v>
      </c>
      <c r="I338" s="68">
        <v>-174998</v>
      </c>
      <c r="J338" s="68">
        <v>0</v>
      </c>
      <c r="K338" s="68">
        <v>0</v>
      </c>
      <c r="L338" s="68">
        <v>0</v>
      </c>
      <c r="M338" s="68">
        <v>0</v>
      </c>
      <c r="N338" s="68">
        <v>0</v>
      </c>
    </row>
    <row r="339" spans="1:14" ht="31" outlineLevel="2" x14ac:dyDescent="0.35">
      <c r="A339" s="83" t="s">
        <v>332</v>
      </c>
      <c r="B339" s="69" t="s">
        <v>206</v>
      </c>
      <c r="C339" s="68">
        <v>167693</v>
      </c>
      <c r="D339" s="68">
        <v>0</v>
      </c>
      <c r="E339" s="68">
        <v>0</v>
      </c>
      <c r="F339" s="68">
        <v>0</v>
      </c>
      <c r="G339" s="68">
        <v>0</v>
      </c>
      <c r="H339" s="68">
        <v>167693</v>
      </c>
      <c r="I339" s="68">
        <v>-167693</v>
      </c>
      <c r="J339" s="68">
        <v>0</v>
      </c>
      <c r="K339" s="68">
        <v>0</v>
      </c>
      <c r="L339" s="68">
        <v>0</v>
      </c>
      <c r="M339" s="68">
        <v>0</v>
      </c>
      <c r="N339" s="68">
        <v>0</v>
      </c>
    </row>
    <row r="340" spans="1:14" ht="31" outlineLevel="2" x14ac:dyDescent="0.35">
      <c r="A340" s="83" t="s">
        <v>332</v>
      </c>
      <c r="B340" s="69" t="s">
        <v>205</v>
      </c>
      <c r="C340" s="68">
        <v>160129</v>
      </c>
      <c r="D340" s="68">
        <v>-142</v>
      </c>
      <c r="E340" s="68">
        <v>0</v>
      </c>
      <c r="F340" s="68">
        <v>0</v>
      </c>
      <c r="G340" s="68">
        <v>0</v>
      </c>
      <c r="H340" s="68">
        <v>159987</v>
      </c>
      <c r="I340" s="68">
        <v>-159987</v>
      </c>
      <c r="J340" s="68">
        <v>0</v>
      </c>
      <c r="K340" s="68">
        <v>0</v>
      </c>
      <c r="L340" s="68">
        <v>0</v>
      </c>
      <c r="M340" s="68">
        <v>0</v>
      </c>
      <c r="N340" s="68">
        <v>0</v>
      </c>
    </row>
    <row r="341" spans="1:14" ht="31" outlineLevel="2" x14ac:dyDescent="0.35">
      <c r="A341" s="83" t="s">
        <v>332</v>
      </c>
      <c r="B341" s="69" t="s">
        <v>204</v>
      </c>
      <c r="C341" s="68">
        <v>175045</v>
      </c>
      <c r="D341" s="68">
        <v>-2257</v>
      </c>
      <c r="E341" s="68">
        <v>0</v>
      </c>
      <c r="F341" s="68">
        <v>0</v>
      </c>
      <c r="G341" s="68">
        <v>0</v>
      </c>
      <c r="H341" s="68">
        <v>172788</v>
      </c>
      <c r="I341" s="68">
        <v>-172788</v>
      </c>
      <c r="J341" s="68">
        <v>0</v>
      </c>
      <c r="K341" s="68">
        <v>2257</v>
      </c>
      <c r="L341" s="68">
        <v>-2257</v>
      </c>
      <c r="M341" s="68">
        <v>0</v>
      </c>
      <c r="N341" s="68">
        <v>0</v>
      </c>
    </row>
    <row r="342" spans="1:14" ht="31" outlineLevel="1" x14ac:dyDescent="0.35">
      <c r="A342" s="83" t="s">
        <v>332</v>
      </c>
      <c r="B342" s="69" t="s">
        <v>203</v>
      </c>
      <c r="C342" s="68">
        <v>167554</v>
      </c>
      <c r="D342" s="68">
        <v>-473</v>
      </c>
      <c r="E342" s="68">
        <v>0</v>
      </c>
      <c r="F342" s="68">
        <v>0</v>
      </c>
      <c r="G342" s="68">
        <v>0</v>
      </c>
      <c r="H342" s="68">
        <v>167081</v>
      </c>
      <c r="I342" s="68">
        <v>-167081</v>
      </c>
      <c r="J342" s="68">
        <v>0</v>
      </c>
      <c r="K342" s="68">
        <v>0</v>
      </c>
      <c r="L342" s="68">
        <v>0</v>
      </c>
      <c r="M342" s="68">
        <v>0</v>
      </c>
      <c r="N342" s="68">
        <v>0</v>
      </c>
    </row>
    <row r="343" spans="1:14" ht="31" outlineLevel="1" x14ac:dyDescent="0.35">
      <c r="A343" s="83" t="s">
        <v>332</v>
      </c>
      <c r="B343" s="69" t="s">
        <v>202</v>
      </c>
      <c r="C343" s="68">
        <v>160744</v>
      </c>
      <c r="D343" s="68">
        <v>5356</v>
      </c>
      <c r="E343" s="68">
        <v>0</v>
      </c>
      <c r="F343" s="68">
        <v>0</v>
      </c>
      <c r="G343" s="68">
        <v>0</v>
      </c>
      <c r="H343" s="68">
        <v>166100</v>
      </c>
      <c r="I343" s="68">
        <v>-166100</v>
      </c>
      <c r="J343" s="68">
        <v>0</v>
      </c>
      <c r="K343" s="68">
        <v>0</v>
      </c>
      <c r="L343" s="68">
        <v>0</v>
      </c>
      <c r="M343" s="68">
        <v>0</v>
      </c>
      <c r="N343" s="68">
        <v>0</v>
      </c>
    </row>
    <row r="344" spans="1:14" ht="31" outlineLevel="1" x14ac:dyDescent="0.35">
      <c r="A344" s="83" t="s">
        <v>332</v>
      </c>
      <c r="B344" s="69" t="s">
        <v>201</v>
      </c>
      <c r="C344" s="68">
        <v>131634</v>
      </c>
      <c r="D344" s="68">
        <v>6716</v>
      </c>
      <c r="E344" s="68">
        <v>0</v>
      </c>
      <c r="F344" s="68">
        <v>0</v>
      </c>
      <c r="G344" s="68">
        <v>0</v>
      </c>
      <c r="H344" s="68">
        <v>138350</v>
      </c>
      <c r="I344" s="68">
        <v>-138350</v>
      </c>
      <c r="J344" s="68">
        <v>0</v>
      </c>
      <c r="K344" s="68">
        <v>0</v>
      </c>
      <c r="L344" s="68">
        <v>0</v>
      </c>
      <c r="M344" s="68">
        <v>0</v>
      </c>
      <c r="N344" s="68">
        <v>0</v>
      </c>
    </row>
    <row r="345" spans="1:14" ht="31" outlineLevel="2" x14ac:dyDescent="0.35">
      <c r="A345" s="83" t="s">
        <v>332</v>
      </c>
      <c r="B345" s="69" t="s">
        <v>200</v>
      </c>
      <c r="C345" s="68">
        <v>126648</v>
      </c>
      <c r="D345" s="68">
        <v>8029</v>
      </c>
      <c r="E345" s="68">
        <v>0</v>
      </c>
      <c r="F345" s="68">
        <v>0</v>
      </c>
      <c r="G345" s="68">
        <v>0</v>
      </c>
      <c r="H345" s="68">
        <v>134677</v>
      </c>
      <c r="I345" s="68">
        <v>-134677</v>
      </c>
      <c r="J345" s="68">
        <v>0</v>
      </c>
      <c r="K345" s="68">
        <v>0</v>
      </c>
      <c r="L345" s="68">
        <v>0</v>
      </c>
      <c r="M345" s="68">
        <v>0</v>
      </c>
      <c r="N345" s="68">
        <v>0</v>
      </c>
    </row>
    <row r="346" spans="1:14" ht="31" outlineLevel="2" x14ac:dyDescent="0.35">
      <c r="A346" s="83" t="s">
        <v>332</v>
      </c>
      <c r="B346" s="69" t="s">
        <v>199</v>
      </c>
      <c r="C346" s="68">
        <v>113581</v>
      </c>
      <c r="D346" s="68">
        <v>8621</v>
      </c>
      <c r="E346" s="68">
        <v>0</v>
      </c>
      <c r="F346" s="68">
        <v>0</v>
      </c>
      <c r="G346" s="68">
        <v>0</v>
      </c>
      <c r="H346" s="68">
        <v>122202</v>
      </c>
      <c r="I346" s="68">
        <v>-122202</v>
      </c>
      <c r="J346" s="68">
        <v>0</v>
      </c>
      <c r="K346" s="68">
        <v>0</v>
      </c>
      <c r="L346" s="68">
        <v>0</v>
      </c>
      <c r="M346" s="68">
        <v>0</v>
      </c>
      <c r="N346" s="68">
        <v>0</v>
      </c>
    </row>
    <row r="347" spans="1:14" ht="31" outlineLevel="2" x14ac:dyDescent="0.35">
      <c r="A347" s="83" t="s">
        <v>332</v>
      </c>
      <c r="B347" s="69" t="s">
        <v>198</v>
      </c>
      <c r="C347" s="68">
        <v>112187</v>
      </c>
      <c r="D347" s="68">
        <v>8591</v>
      </c>
      <c r="E347" s="68">
        <v>0</v>
      </c>
      <c r="F347" s="68">
        <v>0</v>
      </c>
      <c r="G347" s="68">
        <v>0</v>
      </c>
      <c r="H347" s="68">
        <v>120778</v>
      </c>
      <c r="I347" s="68">
        <v>-120778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ht="31" outlineLevel="2" x14ac:dyDescent="0.35">
      <c r="A348" s="83" t="s">
        <v>332</v>
      </c>
      <c r="B348" s="69" t="s">
        <v>197</v>
      </c>
      <c r="C348" s="68">
        <v>95302</v>
      </c>
      <c r="D348" s="68">
        <v>8342</v>
      </c>
      <c r="E348" s="68">
        <v>0</v>
      </c>
      <c r="F348" s="68">
        <v>0</v>
      </c>
      <c r="G348" s="68">
        <v>0</v>
      </c>
      <c r="H348" s="68">
        <v>103644</v>
      </c>
      <c r="I348" s="68">
        <v>-103644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31" outlineLevel="2" x14ac:dyDescent="0.35">
      <c r="A349" s="83" t="s">
        <v>332</v>
      </c>
      <c r="B349" s="69" t="s">
        <v>196</v>
      </c>
      <c r="C349" s="68">
        <v>61043</v>
      </c>
      <c r="D349" s="68">
        <v>5722</v>
      </c>
      <c r="E349" s="68">
        <v>0</v>
      </c>
      <c r="F349" s="68">
        <v>0</v>
      </c>
      <c r="G349" s="68">
        <v>0</v>
      </c>
      <c r="H349" s="68">
        <v>66765</v>
      </c>
      <c r="I349" s="68">
        <v>-66765</v>
      </c>
      <c r="J349" s="68">
        <v>0</v>
      </c>
      <c r="K349" s="68">
        <v>0</v>
      </c>
      <c r="L349" s="68">
        <v>0</v>
      </c>
      <c r="M349" s="68">
        <v>0</v>
      </c>
      <c r="N349" s="68">
        <v>0</v>
      </c>
    </row>
    <row r="350" spans="1:14" ht="31" outlineLevel="2" x14ac:dyDescent="0.35">
      <c r="A350" s="83" t="s">
        <v>332</v>
      </c>
      <c r="B350" s="69" t="s">
        <v>195</v>
      </c>
      <c r="C350" s="68">
        <v>17154</v>
      </c>
      <c r="D350" s="68">
        <v>2809</v>
      </c>
      <c r="E350" s="68">
        <v>0</v>
      </c>
      <c r="F350" s="68">
        <v>0</v>
      </c>
      <c r="G350" s="68">
        <v>0</v>
      </c>
      <c r="H350" s="68">
        <v>19963</v>
      </c>
      <c r="I350" s="68">
        <v>-19963</v>
      </c>
      <c r="J350" s="68">
        <v>0</v>
      </c>
      <c r="K350" s="68">
        <v>0</v>
      </c>
      <c r="L350" s="68">
        <v>0</v>
      </c>
      <c r="M350" s="68">
        <v>0</v>
      </c>
      <c r="N350" s="68">
        <v>0</v>
      </c>
    </row>
    <row r="351" spans="1:14" outlineLevel="2" x14ac:dyDescent="0.35">
      <c r="A351" s="65" t="s">
        <v>150</v>
      </c>
      <c r="B351" s="81" t="s">
        <v>12</v>
      </c>
      <c r="C351" s="42">
        <f>SUBTOTAL(109,Program262[(C)
Program
Costs])</f>
        <v>2827652</v>
      </c>
      <c r="D351" s="42">
        <f>SUBTOTAL(109,Program262[(D)
Prior Period Adjustments])</f>
        <v>50579</v>
      </c>
      <c r="E351" s="42">
        <f>SUBTOTAL(109,Program262[(E)
Current Period Desk 
Reviews])</f>
        <v>-922</v>
      </c>
      <c r="F351" s="42">
        <f>SUBTOTAL(109,Program262[(F)
Current Period 
Final 
Audits])</f>
        <v>0</v>
      </c>
      <c r="G351" s="42">
        <f>SUBTOTAL(109,Program262[(G)
Current Period 
Other Adjustments])</f>
        <v>-276</v>
      </c>
      <c r="H351" s="42">
        <f>SUBTOTAL(109,Program262[(H)
Net Program Costs
Sum (C through G)])</f>
        <v>2877033</v>
      </c>
      <c r="I351" s="42">
        <f>SUBTOTAL(109,Program262[(I)
Payments
 and Offsets])</f>
        <v>-2702098</v>
      </c>
      <c r="J351" s="42">
        <f>SUBTOTAL(109,Program262[(J)
Accounts Payable Balance
(H + I)])</f>
        <v>174935</v>
      </c>
      <c r="K351" s="42">
        <f>SUBTOTAL(109,Program262[(K)
Established 
Accounts Receivable])</f>
        <v>2328</v>
      </c>
      <c r="L351" s="42">
        <f>SUBTOTAL(109,Program262[(L)
Recovered
 Accounts Receivable])</f>
        <v>-2257</v>
      </c>
      <c r="M351" s="42">
        <f>SUBTOTAL(109,Program262[(M)
Accounts Receivable Balance
(K + L)])</f>
        <v>71</v>
      </c>
      <c r="N351" s="42">
        <f>SUBTOTAL(109,Program262[(N)
Net Balance
(J minus M)])</f>
        <v>174864</v>
      </c>
    </row>
    <row r="352" spans="1:14" outlineLevel="2" x14ac:dyDescent="0.35">
      <c r="A352" s="63" t="s">
        <v>33</v>
      </c>
      <c r="B352" s="62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ht="77.5" outlineLevel="2" x14ac:dyDescent="0.35">
      <c r="A353" s="60" t="s">
        <v>185</v>
      </c>
      <c r="B353" s="59" t="s">
        <v>184</v>
      </c>
      <c r="C353" s="58" t="s">
        <v>183</v>
      </c>
      <c r="D353" s="58" t="s">
        <v>182</v>
      </c>
      <c r="E353" s="56" t="s">
        <v>181</v>
      </c>
      <c r="F353" s="56" t="s">
        <v>180</v>
      </c>
      <c r="G353" s="56" t="s">
        <v>179</v>
      </c>
      <c r="H353" s="57" t="s">
        <v>674</v>
      </c>
      <c r="I353" s="55" t="s">
        <v>178</v>
      </c>
      <c r="J353" s="55" t="s">
        <v>177</v>
      </c>
      <c r="K353" s="56" t="s">
        <v>176</v>
      </c>
      <c r="L353" s="55" t="s">
        <v>175</v>
      </c>
      <c r="M353" s="55" t="s">
        <v>174</v>
      </c>
      <c r="N353" s="54" t="s">
        <v>173</v>
      </c>
    </row>
    <row r="354" spans="1:14" ht="31" outlineLevel="2" x14ac:dyDescent="0.35">
      <c r="A354" s="70" t="s">
        <v>331</v>
      </c>
      <c r="B354" s="69" t="s">
        <v>206</v>
      </c>
      <c r="C354" s="68">
        <v>57816</v>
      </c>
      <c r="D354" s="68">
        <v>0</v>
      </c>
      <c r="E354" s="68">
        <v>0</v>
      </c>
      <c r="F354" s="68">
        <v>0</v>
      </c>
      <c r="G354" s="68">
        <v>0</v>
      </c>
      <c r="H354" s="68">
        <v>57816</v>
      </c>
      <c r="I354" s="68">
        <v>0</v>
      </c>
      <c r="J354" s="68">
        <v>57816</v>
      </c>
      <c r="K354" s="68">
        <v>0</v>
      </c>
      <c r="L354" s="68">
        <v>0</v>
      </c>
      <c r="M354" s="68">
        <v>0</v>
      </c>
      <c r="N354" s="68">
        <v>57816</v>
      </c>
    </row>
    <row r="355" spans="1:14" ht="31" outlineLevel="2" x14ac:dyDescent="0.35">
      <c r="A355" s="83" t="s">
        <v>331</v>
      </c>
      <c r="B355" s="69" t="s">
        <v>205</v>
      </c>
      <c r="C355" s="68">
        <v>300554</v>
      </c>
      <c r="D355" s="68">
        <v>-2762</v>
      </c>
      <c r="E355" s="68">
        <v>0</v>
      </c>
      <c r="F355" s="68">
        <v>0</v>
      </c>
      <c r="G355" s="68">
        <v>0</v>
      </c>
      <c r="H355" s="68">
        <v>297792</v>
      </c>
      <c r="I355" s="68">
        <v>0</v>
      </c>
      <c r="J355" s="68">
        <v>297792</v>
      </c>
      <c r="K355" s="68">
        <v>0</v>
      </c>
      <c r="L355" s="68">
        <v>0</v>
      </c>
      <c r="M355" s="68">
        <v>0</v>
      </c>
      <c r="N355" s="68">
        <v>297792</v>
      </c>
    </row>
    <row r="356" spans="1:14" ht="31" outlineLevel="2" x14ac:dyDescent="0.35">
      <c r="A356" s="83" t="s">
        <v>331</v>
      </c>
      <c r="B356" s="69" t="s">
        <v>204</v>
      </c>
      <c r="C356" s="68">
        <v>266674</v>
      </c>
      <c r="D356" s="68">
        <v>-2976</v>
      </c>
      <c r="E356" s="68">
        <v>0</v>
      </c>
      <c r="F356" s="68">
        <v>0</v>
      </c>
      <c r="G356" s="68">
        <v>0</v>
      </c>
      <c r="H356" s="68">
        <v>263698</v>
      </c>
      <c r="I356" s="68">
        <v>0</v>
      </c>
      <c r="J356" s="68">
        <v>263698</v>
      </c>
      <c r="K356" s="68">
        <v>0</v>
      </c>
      <c r="L356" s="68">
        <v>0</v>
      </c>
      <c r="M356" s="68">
        <v>0</v>
      </c>
      <c r="N356" s="68">
        <v>263698</v>
      </c>
    </row>
    <row r="357" spans="1:14" ht="31" outlineLevel="2" x14ac:dyDescent="0.35">
      <c r="A357" s="83" t="s">
        <v>331</v>
      </c>
      <c r="B357" s="69" t="s">
        <v>203</v>
      </c>
      <c r="C357" s="68">
        <v>278247</v>
      </c>
      <c r="D357" s="68">
        <v>-2860</v>
      </c>
      <c r="E357" s="68">
        <v>0</v>
      </c>
      <c r="F357" s="68">
        <v>0</v>
      </c>
      <c r="G357" s="68">
        <v>0</v>
      </c>
      <c r="H357" s="68">
        <v>275387</v>
      </c>
      <c r="I357" s="68">
        <v>0</v>
      </c>
      <c r="J357" s="68">
        <v>275387</v>
      </c>
      <c r="K357" s="68">
        <v>0</v>
      </c>
      <c r="L357" s="68">
        <v>0</v>
      </c>
      <c r="M357" s="68">
        <v>0</v>
      </c>
      <c r="N357" s="68">
        <v>275387</v>
      </c>
    </row>
    <row r="358" spans="1:14" ht="31" outlineLevel="2" x14ac:dyDescent="0.35">
      <c r="A358" s="83" t="s">
        <v>331</v>
      </c>
      <c r="B358" s="69" t="s">
        <v>202</v>
      </c>
      <c r="C358" s="68">
        <v>256674</v>
      </c>
      <c r="D358" s="68">
        <v>-2959</v>
      </c>
      <c r="E358" s="68">
        <v>0</v>
      </c>
      <c r="F358" s="68">
        <v>0</v>
      </c>
      <c r="G358" s="68">
        <v>0</v>
      </c>
      <c r="H358" s="68">
        <v>253715</v>
      </c>
      <c r="I358" s="68">
        <v>0</v>
      </c>
      <c r="J358" s="68">
        <v>253715</v>
      </c>
      <c r="K358" s="68">
        <v>0</v>
      </c>
      <c r="L358" s="68">
        <v>0</v>
      </c>
      <c r="M358" s="68">
        <v>0</v>
      </c>
      <c r="N358" s="68">
        <v>253715</v>
      </c>
    </row>
    <row r="359" spans="1:14" ht="31" outlineLevel="1" x14ac:dyDescent="0.35">
      <c r="A359" s="83" t="s">
        <v>331</v>
      </c>
      <c r="B359" s="69" t="s">
        <v>201</v>
      </c>
      <c r="C359" s="68">
        <v>230912</v>
      </c>
      <c r="D359" s="68">
        <v>-2470</v>
      </c>
      <c r="E359" s="68">
        <v>0</v>
      </c>
      <c r="F359" s="68">
        <v>0</v>
      </c>
      <c r="G359" s="68">
        <v>0</v>
      </c>
      <c r="H359" s="68">
        <v>228442</v>
      </c>
      <c r="I359" s="68">
        <v>0</v>
      </c>
      <c r="J359" s="68">
        <v>228442</v>
      </c>
      <c r="K359" s="68">
        <v>0</v>
      </c>
      <c r="L359" s="68">
        <v>0</v>
      </c>
      <c r="M359" s="68">
        <v>0</v>
      </c>
      <c r="N359" s="68">
        <v>228442</v>
      </c>
    </row>
    <row r="360" spans="1:14" ht="31" outlineLevel="1" x14ac:dyDescent="0.35">
      <c r="A360" s="83" t="s">
        <v>331</v>
      </c>
      <c r="B360" s="69" t="s">
        <v>200</v>
      </c>
      <c r="C360" s="68">
        <v>225212</v>
      </c>
      <c r="D360" s="68">
        <v>-2676</v>
      </c>
      <c r="E360" s="68">
        <v>0</v>
      </c>
      <c r="F360" s="68">
        <v>0</v>
      </c>
      <c r="G360" s="68">
        <v>0</v>
      </c>
      <c r="H360" s="68">
        <v>222536</v>
      </c>
      <c r="I360" s="68">
        <v>0</v>
      </c>
      <c r="J360" s="68">
        <v>222536</v>
      </c>
      <c r="K360" s="68">
        <v>0</v>
      </c>
      <c r="L360" s="68">
        <v>0</v>
      </c>
      <c r="M360" s="68">
        <v>0</v>
      </c>
      <c r="N360" s="68">
        <v>222536</v>
      </c>
    </row>
    <row r="361" spans="1:14" ht="31" outlineLevel="1" x14ac:dyDescent="0.35">
      <c r="A361" s="83" t="s">
        <v>331</v>
      </c>
      <c r="B361" s="69" t="s">
        <v>199</v>
      </c>
      <c r="C361" s="68">
        <v>200270</v>
      </c>
      <c r="D361" s="68">
        <v>-1838</v>
      </c>
      <c r="E361" s="68">
        <v>0</v>
      </c>
      <c r="F361" s="68">
        <v>0</v>
      </c>
      <c r="G361" s="68">
        <v>0</v>
      </c>
      <c r="H361" s="68">
        <v>198432</v>
      </c>
      <c r="I361" s="68">
        <v>0</v>
      </c>
      <c r="J361" s="68">
        <v>198432</v>
      </c>
      <c r="K361" s="68">
        <v>0</v>
      </c>
      <c r="L361" s="68">
        <v>0</v>
      </c>
      <c r="M361" s="68">
        <v>0</v>
      </c>
      <c r="N361" s="68">
        <v>198432</v>
      </c>
    </row>
    <row r="362" spans="1:14" ht="31" outlineLevel="2" x14ac:dyDescent="0.35">
      <c r="A362" s="83" t="s">
        <v>331</v>
      </c>
      <c r="B362" s="69" t="s">
        <v>198</v>
      </c>
      <c r="C362" s="68">
        <v>161370</v>
      </c>
      <c r="D362" s="68">
        <v>-1570</v>
      </c>
      <c r="E362" s="68">
        <v>0</v>
      </c>
      <c r="F362" s="68">
        <v>0</v>
      </c>
      <c r="G362" s="68">
        <v>0</v>
      </c>
      <c r="H362" s="68">
        <v>159800</v>
      </c>
      <c r="I362" s="68">
        <v>0</v>
      </c>
      <c r="J362" s="68">
        <v>159800</v>
      </c>
      <c r="K362" s="68">
        <v>0</v>
      </c>
      <c r="L362" s="68">
        <v>0</v>
      </c>
      <c r="M362" s="68">
        <v>0</v>
      </c>
      <c r="N362" s="68">
        <v>159800</v>
      </c>
    </row>
    <row r="363" spans="1:14" ht="31" outlineLevel="2" x14ac:dyDescent="0.35">
      <c r="A363" s="83" t="s">
        <v>331</v>
      </c>
      <c r="B363" s="69" t="s">
        <v>197</v>
      </c>
      <c r="C363" s="68">
        <v>52364</v>
      </c>
      <c r="D363" s="68">
        <v>-374</v>
      </c>
      <c r="E363" s="68">
        <v>0</v>
      </c>
      <c r="F363" s="68">
        <v>0</v>
      </c>
      <c r="G363" s="68">
        <v>0</v>
      </c>
      <c r="H363" s="68">
        <v>51990</v>
      </c>
      <c r="I363" s="68">
        <v>0</v>
      </c>
      <c r="J363" s="68">
        <v>51990</v>
      </c>
      <c r="K363" s="68">
        <v>0</v>
      </c>
      <c r="L363" s="68">
        <v>0</v>
      </c>
      <c r="M363" s="68">
        <v>0</v>
      </c>
      <c r="N363" s="68">
        <v>51990</v>
      </c>
    </row>
    <row r="364" spans="1:14" outlineLevel="2" x14ac:dyDescent="0.35">
      <c r="A364" s="65" t="s">
        <v>149</v>
      </c>
      <c r="B364" s="81" t="s">
        <v>12</v>
      </c>
      <c r="C364" s="42">
        <f>SUBTOTAL(109,Program306[(C)
Program
Costs])</f>
        <v>2030093</v>
      </c>
      <c r="D364" s="42">
        <f>SUBTOTAL(109,Program306[(D)
Prior Period Adjustments])</f>
        <v>-20485</v>
      </c>
      <c r="E364" s="42">
        <f>SUBTOTAL(109,Program306[(E)
Current Period Desk 
Reviews])</f>
        <v>0</v>
      </c>
      <c r="F364" s="42">
        <f>SUBTOTAL(109,Program306[(F)
Current Period 
Final 
Audits])</f>
        <v>0</v>
      </c>
      <c r="G364" s="42">
        <f>SUBTOTAL(109,Program306[(G)
Current Period 
Other Adjustments])</f>
        <v>0</v>
      </c>
      <c r="H364" s="42">
        <f>SUBTOTAL(109,Program306[(H)
Net Program Costs
Sum (C through G)])</f>
        <v>2009608</v>
      </c>
      <c r="I364" s="42">
        <f>SUBTOTAL(109,Program306[(I)
Payments
 and Offsets])</f>
        <v>0</v>
      </c>
      <c r="J364" s="42">
        <f>SUBTOTAL(109,Program306[(J)
Accounts Payable Balance
(H + I)])</f>
        <v>2009608</v>
      </c>
      <c r="K364" s="42">
        <f>SUBTOTAL(109,Program306[(K)
Established 
Accounts Receivable])</f>
        <v>0</v>
      </c>
      <c r="L364" s="42">
        <f>SUBTOTAL(109,Program306[(L)
Recovered
 Accounts Receivable])</f>
        <v>0</v>
      </c>
      <c r="M364" s="42">
        <f>SUBTOTAL(109,Program306[(M)
Accounts Receivable Balance
(K + L)])</f>
        <v>0</v>
      </c>
      <c r="N364" s="42">
        <f>SUBTOTAL(109,Program306[(N)
Net Balance
(J minus M)])</f>
        <v>2009608</v>
      </c>
    </row>
    <row r="365" spans="1:14" outlineLevel="2" x14ac:dyDescent="0.35">
      <c r="A365" s="63" t="s">
        <v>33</v>
      </c>
      <c r="B365" s="62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ht="77.5" outlineLevel="2" x14ac:dyDescent="0.35">
      <c r="A366" s="60" t="s">
        <v>185</v>
      </c>
      <c r="B366" s="59" t="s">
        <v>184</v>
      </c>
      <c r="C366" s="58" t="s">
        <v>183</v>
      </c>
      <c r="D366" s="58" t="s">
        <v>182</v>
      </c>
      <c r="E366" s="56" t="s">
        <v>181</v>
      </c>
      <c r="F366" s="56" t="s">
        <v>180</v>
      </c>
      <c r="G366" s="56" t="s">
        <v>179</v>
      </c>
      <c r="H366" s="57" t="s">
        <v>674</v>
      </c>
      <c r="I366" s="55" t="s">
        <v>178</v>
      </c>
      <c r="J366" s="55" t="s">
        <v>177</v>
      </c>
      <c r="K366" s="56" t="s">
        <v>176</v>
      </c>
      <c r="L366" s="55" t="s">
        <v>175</v>
      </c>
      <c r="M366" s="55" t="s">
        <v>174</v>
      </c>
      <c r="N366" s="54" t="s">
        <v>173</v>
      </c>
    </row>
    <row r="367" spans="1:14" outlineLevel="2" x14ac:dyDescent="0.35">
      <c r="A367" s="53" t="s">
        <v>330</v>
      </c>
      <c r="B367" s="66" t="s">
        <v>205</v>
      </c>
      <c r="C367" s="51">
        <v>25577</v>
      </c>
      <c r="D367" s="51">
        <v>0</v>
      </c>
      <c r="E367" s="51">
        <v>0</v>
      </c>
      <c r="F367" s="51">
        <v>0</v>
      </c>
      <c r="G367" s="51">
        <v>0</v>
      </c>
      <c r="H367" s="51">
        <v>25577</v>
      </c>
      <c r="I367" s="51">
        <v>0</v>
      </c>
      <c r="J367" s="51">
        <v>25577</v>
      </c>
      <c r="K367" s="51">
        <v>0</v>
      </c>
      <c r="L367" s="51">
        <v>0</v>
      </c>
      <c r="M367" s="51">
        <v>0</v>
      </c>
      <c r="N367" s="51">
        <v>25577</v>
      </c>
    </row>
    <row r="368" spans="1:14" outlineLevel="2" x14ac:dyDescent="0.35">
      <c r="A368" s="82" t="s">
        <v>330</v>
      </c>
      <c r="B368" s="66" t="s">
        <v>204</v>
      </c>
      <c r="C368" s="51">
        <v>677833</v>
      </c>
      <c r="D368" s="51">
        <v>-314477</v>
      </c>
      <c r="E368" s="51">
        <v>0</v>
      </c>
      <c r="F368" s="51">
        <v>0</v>
      </c>
      <c r="G368" s="51">
        <v>0</v>
      </c>
      <c r="H368" s="51">
        <v>363356</v>
      </c>
      <c r="I368" s="51">
        <v>0</v>
      </c>
      <c r="J368" s="51">
        <v>363356</v>
      </c>
      <c r="K368" s="51">
        <v>0</v>
      </c>
      <c r="L368" s="51">
        <v>0</v>
      </c>
      <c r="M368" s="51">
        <v>0</v>
      </c>
      <c r="N368" s="51">
        <v>363356</v>
      </c>
    </row>
    <row r="369" spans="1:14" outlineLevel="2" x14ac:dyDescent="0.35">
      <c r="A369" s="82" t="s">
        <v>330</v>
      </c>
      <c r="B369" s="66" t="s">
        <v>203</v>
      </c>
      <c r="C369" s="51">
        <v>587241</v>
      </c>
      <c r="D369" s="51">
        <v>-266200</v>
      </c>
      <c r="E369" s="51">
        <v>0</v>
      </c>
      <c r="F369" s="51">
        <v>0</v>
      </c>
      <c r="G369" s="51">
        <v>0</v>
      </c>
      <c r="H369" s="51">
        <v>321041</v>
      </c>
      <c r="I369" s="51">
        <v>0</v>
      </c>
      <c r="J369" s="51">
        <v>321041</v>
      </c>
      <c r="K369" s="51">
        <v>0</v>
      </c>
      <c r="L369" s="51">
        <v>0</v>
      </c>
      <c r="M369" s="51">
        <v>0</v>
      </c>
      <c r="N369" s="51">
        <v>321041</v>
      </c>
    </row>
    <row r="370" spans="1:14" outlineLevel="2" x14ac:dyDescent="0.35">
      <c r="A370" s="82" t="s">
        <v>330</v>
      </c>
      <c r="B370" s="66" t="s">
        <v>202</v>
      </c>
      <c r="C370" s="51">
        <v>474943</v>
      </c>
      <c r="D370" s="51">
        <v>-136102</v>
      </c>
      <c r="E370" s="51">
        <v>0</v>
      </c>
      <c r="F370" s="51">
        <v>0</v>
      </c>
      <c r="G370" s="51">
        <v>0</v>
      </c>
      <c r="H370" s="51">
        <v>338841</v>
      </c>
      <c r="I370" s="51">
        <v>-338841</v>
      </c>
      <c r="J370" s="51">
        <v>0</v>
      </c>
      <c r="K370" s="51">
        <v>234780</v>
      </c>
      <c r="L370" s="51">
        <v>-234780</v>
      </c>
      <c r="M370" s="51">
        <v>0</v>
      </c>
      <c r="N370" s="51">
        <v>0</v>
      </c>
    </row>
    <row r="371" spans="1:14" outlineLevel="2" x14ac:dyDescent="0.35">
      <c r="A371" s="82" t="s">
        <v>330</v>
      </c>
      <c r="B371" s="66" t="s">
        <v>201</v>
      </c>
      <c r="C371" s="51">
        <v>464138</v>
      </c>
      <c r="D371" s="51">
        <v>0</v>
      </c>
      <c r="E371" s="51">
        <v>0</v>
      </c>
      <c r="F371" s="51">
        <v>0</v>
      </c>
      <c r="G371" s="51">
        <v>0</v>
      </c>
      <c r="H371" s="51">
        <v>464138</v>
      </c>
      <c r="I371" s="51">
        <v>-464138</v>
      </c>
      <c r="J371" s="51">
        <v>0</v>
      </c>
      <c r="K371" s="51">
        <v>0</v>
      </c>
      <c r="L371" s="51">
        <v>0</v>
      </c>
      <c r="M371" s="51">
        <v>0</v>
      </c>
      <c r="N371" s="51">
        <v>0</v>
      </c>
    </row>
    <row r="372" spans="1:14" outlineLevel="2" x14ac:dyDescent="0.35">
      <c r="A372" s="82" t="s">
        <v>330</v>
      </c>
      <c r="B372" s="66" t="s">
        <v>200</v>
      </c>
      <c r="C372" s="51">
        <v>463054</v>
      </c>
      <c r="D372" s="51">
        <v>-246</v>
      </c>
      <c r="E372" s="51">
        <v>0</v>
      </c>
      <c r="F372" s="51">
        <v>0</v>
      </c>
      <c r="G372" s="51">
        <v>0</v>
      </c>
      <c r="H372" s="51">
        <v>462808</v>
      </c>
      <c r="I372" s="51">
        <v>-462808</v>
      </c>
      <c r="J372" s="51">
        <v>0</v>
      </c>
      <c r="K372" s="51">
        <v>20133</v>
      </c>
      <c r="L372" s="51">
        <v>-20133</v>
      </c>
      <c r="M372" s="51">
        <v>0</v>
      </c>
      <c r="N372" s="51">
        <v>0</v>
      </c>
    </row>
    <row r="373" spans="1:14" outlineLevel="2" x14ac:dyDescent="0.35">
      <c r="A373" s="82" t="s">
        <v>330</v>
      </c>
      <c r="B373" s="66" t="s">
        <v>199</v>
      </c>
      <c r="C373" s="51">
        <v>415782</v>
      </c>
      <c r="D373" s="51">
        <v>-187281</v>
      </c>
      <c r="E373" s="51">
        <v>0</v>
      </c>
      <c r="F373" s="51">
        <v>0</v>
      </c>
      <c r="G373" s="51">
        <v>0</v>
      </c>
      <c r="H373" s="51">
        <v>228501</v>
      </c>
      <c r="I373" s="51">
        <v>-228501</v>
      </c>
      <c r="J373" s="51">
        <v>0</v>
      </c>
      <c r="K373" s="51">
        <v>0</v>
      </c>
      <c r="L373" s="51">
        <v>0</v>
      </c>
      <c r="M373" s="51">
        <v>0</v>
      </c>
      <c r="N373" s="51">
        <v>0</v>
      </c>
    </row>
    <row r="374" spans="1:14" outlineLevel="2" x14ac:dyDescent="0.35">
      <c r="A374" s="82" t="s">
        <v>330</v>
      </c>
      <c r="B374" s="66" t="s">
        <v>198</v>
      </c>
      <c r="C374" s="51">
        <v>404146</v>
      </c>
      <c r="D374" s="51">
        <v>-851</v>
      </c>
      <c r="E374" s="51">
        <v>0</v>
      </c>
      <c r="F374" s="51">
        <v>0</v>
      </c>
      <c r="G374" s="51">
        <v>0</v>
      </c>
      <c r="H374" s="51">
        <v>403295</v>
      </c>
      <c r="I374" s="51">
        <v>-403295</v>
      </c>
      <c r="J374" s="51">
        <v>0</v>
      </c>
      <c r="K374" s="51">
        <v>25</v>
      </c>
      <c r="L374" s="51">
        <v>-25</v>
      </c>
      <c r="M374" s="51">
        <v>0</v>
      </c>
      <c r="N374" s="51">
        <v>0</v>
      </c>
    </row>
    <row r="375" spans="1:14" outlineLevel="2" x14ac:dyDescent="0.35">
      <c r="A375" s="82" t="s">
        <v>330</v>
      </c>
      <c r="B375" s="66" t="s">
        <v>197</v>
      </c>
      <c r="C375" s="51">
        <v>252291</v>
      </c>
      <c r="D375" s="51">
        <v>-1454</v>
      </c>
      <c r="E375" s="51">
        <v>0</v>
      </c>
      <c r="F375" s="51">
        <v>0</v>
      </c>
      <c r="G375" s="51">
        <v>0</v>
      </c>
      <c r="H375" s="51">
        <v>250837</v>
      </c>
      <c r="I375" s="51">
        <v>-250837</v>
      </c>
      <c r="J375" s="51">
        <v>0</v>
      </c>
      <c r="K375" s="51">
        <v>26415</v>
      </c>
      <c r="L375" s="51">
        <v>-26415</v>
      </c>
      <c r="M375" s="51">
        <v>0</v>
      </c>
      <c r="N375" s="51">
        <v>0</v>
      </c>
    </row>
    <row r="376" spans="1:14" outlineLevel="2" x14ac:dyDescent="0.35">
      <c r="A376" s="82" t="s">
        <v>330</v>
      </c>
      <c r="B376" s="66" t="s">
        <v>196</v>
      </c>
      <c r="C376" s="51">
        <v>233149</v>
      </c>
      <c r="D376" s="51">
        <v>-595</v>
      </c>
      <c r="E376" s="51">
        <v>0</v>
      </c>
      <c r="F376" s="51">
        <v>0</v>
      </c>
      <c r="G376" s="51">
        <v>0</v>
      </c>
      <c r="H376" s="51">
        <v>232554</v>
      </c>
      <c r="I376" s="51">
        <v>-232554</v>
      </c>
      <c r="J376" s="51">
        <v>0</v>
      </c>
      <c r="K376" s="51">
        <v>26878</v>
      </c>
      <c r="L376" s="51">
        <v>-26878</v>
      </c>
      <c r="M376" s="51">
        <v>0</v>
      </c>
      <c r="N376" s="51">
        <v>0</v>
      </c>
    </row>
    <row r="377" spans="1:14" outlineLevel="2" x14ac:dyDescent="0.35">
      <c r="A377" s="82" t="s">
        <v>330</v>
      </c>
      <c r="B377" s="66" t="s">
        <v>195</v>
      </c>
      <c r="C377" s="51">
        <v>428841</v>
      </c>
      <c r="D377" s="51">
        <v>-218927</v>
      </c>
      <c r="E377" s="51">
        <v>0</v>
      </c>
      <c r="F377" s="51">
        <v>0</v>
      </c>
      <c r="G377" s="51">
        <v>0</v>
      </c>
      <c r="H377" s="51">
        <v>209914</v>
      </c>
      <c r="I377" s="51">
        <v>-209914</v>
      </c>
      <c r="J377" s="51">
        <v>0</v>
      </c>
      <c r="K377" s="51">
        <v>227438</v>
      </c>
      <c r="L377" s="51">
        <v>-227438</v>
      </c>
      <c r="M377" s="51">
        <v>0</v>
      </c>
      <c r="N377" s="51">
        <v>0</v>
      </c>
    </row>
    <row r="378" spans="1:14" outlineLevel="2" x14ac:dyDescent="0.35">
      <c r="A378" s="82" t="s">
        <v>330</v>
      </c>
      <c r="B378" s="66" t="s">
        <v>194</v>
      </c>
      <c r="C378" s="51">
        <v>143690</v>
      </c>
      <c r="D378" s="51">
        <v>-1000</v>
      </c>
      <c r="E378" s="51">
        <v>0</v>
      </c>
      <c r="F378" s="51">
        <v>0</v>
      </c>
      <c r="G378" s="51">
        <v>0</v>
      </c>
      <c r="H378" s="51">
        <v>142690</v>
      </c>
      <c r="I378" s="51">
        <v>-142690</v>
      </c>
      <c r="J378" s="51">
        <v>0</v>
      </c>
      <c r="K378" s="51">
        <v>25695</v>
      </c>
      <c r="L378" s="51">
        <v>-25695</v>
      </c>
      <c r="M378" s="51">
        <v>0</v>
      </c>
      <c r="N378" s="51">
        <v>0</v>
      </c>
    </row>
    <row r="379" spans="1:14" outlineLevel="2" x14ac:dyDescent="0.35">
      <c r="A379" s="82" t="s">
        <v>330</v>
      </c>
      <c r="B379" s="66" t="s">
        <v>193</v>
      </c>
      <c r="C379" s="51">
        <v>201231</v>
      </c>
      <c r="D379" s="51">
        <v>0</v>
      </c>
      <c r="E379" s="51">
        <v>0</v>
      </c>
      <c r="F379" s="51">
        <v>0</v>
      </c>
      <c r="G379" s="51">
        <v>0</v>
      </c>
      <c r="H379" s="51">
        <v>201231</v>
      </c>
      <c r="I379" s="51">
        <v>-201231</v>
      </c>
      <c r="J379" s="51">
        <v>0</v>
      </c>
      <c r="K379" s="51">
        <v>67958</v>
      </c>
      <c r="L379" s="51">
        <v>-67958</v>
      </c>
      <c r="M379" s="51">
        <v>0</v>
      </c>
      <c r="N379" s="51">
        <v>0</v>
      </c>
    </row>
    <row r="380" spans="1:14" outlineLevel="2" x14ac:dyDescent="0.35">
      <c r="A380" s="82" t="s">
        <v>330</v>
      </c>
      <c r="B380" s="66" t="s">
        <v>192</v>
      </c>
      <c r="C380" s="51">
        <v>148624</v>
      </c>
      <c r="D380" s="51">
        <v>-1386</v>
      </c>
      <c r="E380" s="51">
        <v>0</v>
      </c>
      <c r="F380" s="51">
        <v>0</v>
      </c>
      <c r="G380" s="51">
        <v>0</v>
      </c>
      <c r="H380" s="51">
        <v>147238</v>
      </c>
      <c r="I380" s="51">
        <v>-147238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</row>
    <row r="381" spans="1:14" outlineLevel="2" x14ac:dyDescent="0.35">
      <c r="A381" s="82" t="s">
        <v>330</v>
      </c>
      <c r="B381" s="66" t="s">
        <v>191</v>
      </c>
      <c r="C381" s="51">
        <v>64765</v>
      </c>
      <c r="D381" s="51">
        <v>-17538</v>
      </c>
      <c r="E381" s="51">
        <v>0</v>
      </c>
      <c r="F381" s="51">
        <v>0</v>
      </c>
      <c r="G381" s="51">
        <v>0</v>
      </c>
      <c r="H381" s="51">
        <v>47227</v>
      </c>
      <c r="I381" s="51">
        <v>-47227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</row>
    <row r="382" spans="1:14" outlineLevel="2" x14ac:dyDescent="0.35">
      <c r="A382" s="65" t="s">
        <v>148</v>
      </c>
      <c r="B382" s="81" t="s">
        <v>12</v>
      </c>
      <c r="C382" s="42">
        <f>SUBTOTAL(109,Program158[(C)
Program
Costs])</f>
        <v>4985305</v>
      </c>
      <c r="D382" s="42">
        <f>SUBTOTAL(109,Program158[(D)
Prior Period Adjustments])</f>
        <v>-1146057</v>
      </c>
      <c r="E382" s="42">
        <f>SUBTOTAL(109,Program158[(E)
Current Period Desk 
Reviews])</f>
        <v>0</v>
      </c>
      <c r="F382" s="42">
        <f>SUBTOTAL(109,Program158[(F)
Current Period 
Final 
Audits])</f>
        <v>0</v>
      </c>
      <c r="G382" s="42">
        <f>SUBTOTAL(109,Program158[(G)
Current Period 
Other Adjustments])</f>
        <v>0</v>
      </c>
      <c r="H382" s="42">
        <f>SUBTOTAL(109,Program158[(H)
Net Program Costs
Sum (C through G)])</f>
        <v>3839248</v>
      </c>
      <c r="I382" s="42">
        <f>SUBTOTAL(109,Program158[(I)
Payments
 and Offsets])</f>
        <v>-3129274</v>
      </c>
      <c r="J382" s="42">
        <f>SUBTOTAL(109,Program158[(J)
Accounts Payable Balance
(H + I)])</f>
        <v>709974</v>
      </c>
      <c r="K382" s="42">
        <f>SUBTOTAL(109,Program158[(K)
Established 
Accounts Receivable])</f>
        <v>629322</v>
      </c>
      <c r="L382" s="42">
        <f>SUBTOTAL(109,Program158[(L)
Recovered
 Accounts Receivable])</f>
        <v>-629322</v>
      </c>
      <c r="M382" s="42">
        <f>SUBTOTAL(109,Program158[(M)
Accounts Receivable Balance
(K + L)])</f>
        <v>0</v>
      </c>
      <c r="N382" s="42">
        <f>SUBTOTAL(109,Program158[(N)
Net Balance
(J minus M)])</f>
        <v>709974</v>
      </c>
    </row>
    <row r="383" spans="1:14" outlineLevel="2" x14ac:dyDescent="0.35">
      <c r="A383" s="63" t="s">
        <v>33</v>
      </c>
      <c r="B383" s="62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ht="77.5" outlineLevel="2" x14ac:dyDescent="0.35">
      <c r="A384" s="60" t="s">
        <v>185</v>
      </c>
      <c r="B384" s="59" t="s">
        <v>184</v>
      </c>
      <c r="C384" s="58" t="s">
        <v>183</v>
      </c>
      <c r="D384" s="58" t="s">
        <v>182</v>
      </c>
      <c r="E384" s="56" t="s">
        <v>181</v>
      </c>
      <c r="F384" s="56" t="s">
        <v>180</v>
      </c>
      <c r="G384" s="56" t="s">
        <v>179</v>
      </c>
      <c r="H384" s="57" t="s">
        <v>674</v>
      </c>
      <c r="I384" s="55" t="s">
        <v>178</v>
      </c>
      <c r="J384" s="55" t="s">
        <v>177</v>
      </c>
      <c r="K384" s="56" t="s">
        <v>176</v>
      </c>
      <c r="L384" s="55" t="s">
        <v>175</v>
      </c>
      <c r="M384" s="55" t="s">
        <v>174</v>
      </c>
      <c r="N384" s="54" t="s">
        <v>173</v>
      </c>
    </row>
    <row r="385" spans="1:14" ht="31" outlineLevel="2" x14ac:dyDescent="0.35">
      <c r="A385" s="70" t="s">
        <v>329</v>
      </c>
      <c r="B385" s="69" t="s">
        <v>215</v>
      </c>
      <c r="C385" s="68">
        <v>12872611</v>
      </c>
      <c r="D385" s="68">
        <v>0</v>
      </c>
      <c r="E385" s="68">
        <v>0</v>
      </c>
      <c r="F385" s="68">
        <v>0</v>
      </c>
      <c r="G385" s="68">
        <v>0</v>
      </c>
      <c r="H385" s="68">
        <v>12872611</v>
      </c>
      <c r="I385" s="68">
        <v>0</v>
      </c>
      <c r="J385" s="68">
        <v>12872611</v>
      </c>
      <c r="K385" s="68">
        <v>0</v>
      </c>
      <c r="L385" s="68">
        <v>0</v>
      </c>
      <c r="M385" s="68">
        <v>0</v>
      </c>
      <c r="N385" s="68">
        <v>12872611</v>
      </c>
    </row>
    <row r="386" spans="1:14" ht="31" outlineLevel="2" x14ac:dyDescent="0.35">
      <c r="A386" s="83" t="s">
        <v>329</v>
      </c>
      <c r="B386" s="69" t="s">
        <v>214</v>
      </c>
      <c r="C386" s="68">
        <v>12580858</v>
      </c>
      <c r="D386" s="68">
        <v>0</v>
      </c>
      <c r="E386" s="68">
        <v>-22577</v>
      </c>
      <c r="F386" s="68">
        <v>0</v>
      </c>
      <c r="G386" s="68">
        <v>-1546</v>
      </c>
      <c r="H386" s="68">
        <v>12556735</v>
      </c>
      <c r="I386" s="68">
        <v>-12542825</v>
      </c>
      <c r="J386" s="68">
        <v>13910</v>
      </c>
      <c r="K386" s="68">
        <v>0</v>
      </c>
      <c r="L386" s="68">
        <v>0</v>
      </c>
      <c r="M386" s="68">
        <v>0</v>
      </c>
      <c r="N386" s="68">
        <v>13910</v>
      </c>
    </row>
    <row r="387" spans="1:14" ht="31" outlineLevel="2" x14ac:dyDescent="0.35">
      <c r="A387" s="83" t="s">
        <v>329</v>
      </c>
      <c r="B387" s="69" t="s">
        <v>212</v>
      </c>
      <c r="C387" s="68">
        <v>12335179</v>
      </c>
      <c r="D387" s="68">
        <v>-343</v>
      </c>
      <c r="E387" s="68">
        <v>-18172</v>
      </c>
      <c r="F387" s="68">
        <v>0</v>
      </c>
      <c r="G387" s="68">
        <v>0</v>
      </c>
      <c r="H387" s="68">
        <v>12316664</v>
      </c>
      <c r="I387" s="68">
        <v>-12316664</v>
      </c>
      <c r="J387" s="68">
        <v>0</v>
      </c>
      <c r="K387" s="68">
        <v>18172</v>
      </c>
      <c r="L387" s="68">
        <v>-18172</v>
      </c>
      <c r="M387" s="68">
        <v>0</v>
      </c>
      <c r="N387" s="68">
        <v>0</v>
      </c>
    </row>
    <row r="388" spans="1:14" ht="31" outlineLevel="2" x14ac:dyDescent="0.35">
      <c r="A388" s="83" t="s">
        <v>329</v>
      </c>
      <c r="B388" s="69" t="s">
        <v>220</v>
      </c>
      <c r="C388" s="68">
        <v>12727921</v>
      </c>
      <c r="D388" s="68">
        <v>0</v>
      </c>
      <c r="E388" s="68">
        <v>-16178</v>
      </c>
      <c r="F388" s="68">
        <v>0</v>
      </c>
      <c r="G388" s="68">
        <v>0</v>
      </c>
      <c r="H388" s="68">
        <v>12711743</v>
      </c>
      <c r="I388" s="68">
        <v>-12711743</v>
      </c>
      <c r="J388" s="68">
        <v>0</v>
      </c>
      <c r="K388" s="68">
        <v>16178</v>
      </c>
      <c r="L388" s="68">
        <v>-16178</v>
      </c>
      <c r="M388" s="68">
        <v>0</v>
      </c>
      <c r="N388" s="68">
        <v>0</v>
      </c>
    </row>
    <row r="389" spans="1:14" ht="31" outlineLevel="2" x14ac:dyDescent="0.35">
      <c r="A389" s="83" t="s">
        <v>329</v>
      </c>
      <c r="B389" s="69" t="s">
        <v>219</v>
      </c>
      <c r="C389" s="68">
        <v>12281185</v>
      </c>
      <c r="D389" s="68">
        <v>6260</v>
      </c>
      <c r="E389" s="68">
        <v>-12728</v>
      </c>
      <c r="F389" s="68">
        <v>0</v>
      </c>
      <c r="G389" s="68">
        <v>0</v>
      </c>
      <c r="H389" s="68">
        <v>12274717</v>
      </c>
      <c r="I389" s="68">
        <v>-12274717</v>
      </c>
      <c r="J389" s="68">
        <v>0</v>
      </c>
      <c r="K389" s="68">
        <v>12728</v>
      </c>
      <c r="L389" s="68">
        <v>-12728</v>
      </c>
      <c r="M389" s="68">
        <v>0</v>
      </c>
      <c r="N389" s="68">
        <v>0</v>
      </c>
    </row>
    <row r="390" spans="1:14" ht="31" outlineLevel="1" x14ac:dyDescent="0.35">
      <c r="A390" s="83" t="s">
        <v>329</v>
      </c>
      <c r="B390" s="69" t="s">
        <v>218</v>
      </c>
      <c r="C390" s="68">
        <v>12446683</v>
      </c>
      <c r="D390" s="68">
        <v>0</v>
      </c>
      <c r="E390" s="68">
        <v>0</v>
      </c>
      <c r="F390" s="68">
        <v>0</v>
      </c>
      <c r="G390" s="68">
        <v>0</v>
      </c>
      <c r="H390" s="68">
        <v>12446683</v>
      </c>
      <c r="I390" s="68">
        <v>-12446683</v>
      </c>
      <c r="J390" s="68">
        <v>0</v>
      </c>
      <c r="K390" s="68">
        <v>16144</v>
      </c>
      <c r="L390" s="68">
        <v>-16144</v>
      </c>
      <c r="M390" s="68">
        <v>0</v>
      </c>
      <c r="N390" s="68">
        <v>0</v>
      </c>
    </row>
    <row r="391" spans="1:14" ht="31" outlineLevel="1" x14ac:dyDescent="0.35">
      <c r="A391" s="83" t="s">
        <v>329</v>
      </c>
      <c r="B391" s="69" t="s">
        <v>209</v>
      </c>
      <c r="C391" s="68">
        <v>11726066</v>
      </c>
      <c r="D391" s="68">
        <v>-12999</v>
      </c>
      <c r="E391" s="68">
        <v>0</v>
      </c>
      <c r="F391" s="68">
        <v>0</v>
      </c>
      <c r="G391" s="68">
        <v>0</v>
      </c>
      <c r="H391" s="68">
        <v>11713067</v>
      </c>
      <c r="I391" s="68">
        <v>-11713067</v>
      </c>
      <c r="J391" s="68">
        <v>0</v>
      </c>
      <c r="K391" s="68">
        <v>7155</v>
      </c>
      <c r="L391" s="68">
        <v>-7155</v>
      </c>
      <c r="M391" s="68">
        <v>0</v>
      </c>
      <c r="N391" s="68">
        <v>0</v>
      </c>
    </row>
    <row r="392" spans="1:14" ht="31" outlineLevel="1" x14ac:dyDescent="0.35">
      <c r="A392" s="83" t="s">
        <v>329</v>
      </c>
      <c r="B392" s="69" t="s">
        <v>208</v>
      </c>
      <c r="C392" s="68">
        <v>11607476</v>
      </c>
      <c r="D392" s="68">
        <v>0</v>
      </c>
      <c r="E392" s="68">
        <v>0</v>
      </c>
      <c r="F392" s="68">
        <v>0</v>
      </c>
      <c r="G392" s="68">
        <v>0</v>
      </c>
      <c r="H392" s="68">
        <v>11607476</v>
      </c>
      <c r="I392" s="68">
        <v>-11607476</v>
      </c>
      <c r="J392" s="68">
        <v>0</v>
      </c>
      <c r="K392" s="68">
        <v>0</v>
      </c>
      <c r="L392" s="68">
        <v>0</v>
      </c>
      <c r="M392" s="68">
        <v>0</v>
      </c>
      <c r="N392" s="68">
        <v>0</v>
      </c>
    </row>
    <row r="393" spans="1:14" ht="31" outlineLevel="2" x14ac:dyDescent="0.35">
      <c r="A393" s="83" t="s">
        <v>329</v>
      </c>
      <c r="B393" s="69" t="s">
        <v>206</v>
      </c>
      <c r="C393" s="68">
        <v>11411309</v>
      </c>
      <c r="D393" s="68">
        <v>-479</v>
      </c>
      <c r="E393" s="68">
        <v>0</v>
      </c>
      <c r="F393" s="68">
        <v>0</v>
      </c>
      <c r="G393" s="68">
        <v>0</v>
      </c>
      <c r="H393" s="68">
        <v>11410830</v>
      </c>
      <c r="I393" s="68">
        <v>-11410830</v>
      </c>
      <c r="J393" s="68">
        <v>0</v>
      </c>
      <c r="K393" s="68">
        <v>0</v>
      </c>
      <c r="L393" s="68">
        <v>0</v>
      </c>
      <c r="M393" s="68">
        <v>0</v>
      </c>
      <c r="N393" s="68">
        <v>0</v>
      </c>
    </row>
    <row r="394" spans="1:14" ht="31" outlineLevel="2" x14ac:dyDescent="0.35">
      <c r="A394" s="83" t="s">
        <v>329</v>
      </c>
      <c r="B394" s="69" t="s">
        <v>205</v>
      </c>
      <c r="C394" s="68">
        <v>12392007</v>
      </c>
      <c r="D394" s="68">
        <v>-9817</v>
      </c>
      <c r="E394" s="68">
        <v>0</v>
      </c>
      <c r="F394" s="68">
        <v>0</v>
      </c>
      <c r="G394" s="68">
        <v>0</v>
      </c>
      <c r="H394" s="68">
        <v>12382190</v>
      </c>
      <c r="I394" s="68">
        <v>-12382190</v>
      </c>
      <c r="J394" s="68">
        <v>0</v>
      </c>
      <c r="K394" s="68">
        <v>0</v>
      </c>
      <c r="L394" s="68">
        <v>0</v>
      </c>
      <c r="M394" s="68">
        <v>0</v>
      </c>
      <c r="N394" s="68">
        <v>0</v>
      </c>
    </row>
    <row r="395" spans="1:14" ht="31" outlineLevel="2" x14ac:dyDescent="0.35">
      <c r="A395" s="83" t="s">
        <v>329</v>
      </c>
      <c r="B395" s="69" t="s">
        <v>204</v>
      </c>
      <c r="C395" s="68">
        <v>13449786</v>
      </c>
      <c r="D395" s="68">
        <v>-51220</v>
      </c>
      <c r="E395" s="68">
        <v>0</v>
      </c>
      <c r="F395" s="68">
        <v>0</v>
      </c>
      <c r="G395" s="68">
        <v>0</v>
      </c>
      <c r="H395" s="68">
        <v>13398566</v>
      </c>
      <c r="I395" s="68">
        <v>-13398566</v>
      </c>
      <c r="J395" s="68">
        <v>0</v>
      </c>
      <c r="K395" s="68">
        <v>51220</v>
      </c>
      <c r="L395" s="68">
        <v>-51220</v>
      </c>
      <c r="M395" s="68">
        <v>0</v>
      </c>
      <c r="N395" s="68">
        <v>0</v>
      </c>
    </row>
    <row r="396" spans="1:14" ht="31" outlineLevel="1" x14ac:dyDescent="0.35">
      <c r="A396" s="83" t="s">
        <v>329</v>
      </c>
      <c r="B396" s="69" t="s">
        <v>203</v>
      </c>
      <c r="C396" s="68">
        <v>14202464</v>
      </c>
      <c r="D396" s="68">
        <v>-58825</v>
      </c>
      <c r="E396" s="68">
        <v>0</v>
      </c>
      <c r="F396" s="68">
        <v>0</v>
      </c>
      <c r="G396" s="68">
        <v>0</v>
      </c>
      <c r="H396" s="68">
        <v>14143639</v>
      </c>
      <c r="I396" s="68">
        <v>-14143639</v>
      </c>
      <c r="J396" s="68">
        <v>0</v>
      </c>
      <c r="K396" s="68">
        <v>52252</v>
      </c>
      <c r="L396" s="68">
        <v>-52252</v>
      </c>
      <c r="M396" s="68">
        <v>0</v>
      </c>
      <c r="N396" s="68">
        <v>0</v>
      </c>
    </row>
    <row r="397" spans="1:14" ht="31" outlineLevel="1" x14ac:dyDescent="0.35">
      <c r="A397" s="83" t="s">
        <v>329</v>
      </c>
      <c r="B397" s="69" t="s">
        <v>202</v>
      </c>
      <c r="C397" s="68">
        <v>14046271</v>
      </c>
      <c r="D397" s="68">
        <v>-597260</v>
      </c>
      <c r="E397" s="68">
        <v>0</v>
      </c>
      <c r="F397" s="68">
        <v>0</v>
      </c>
      <c r="G397" s="68">
        <v>0</v>
      </c>
      <c r="H397" s="68">
        <v>13449011</v>
      </c>
      <c r="I397" s="68">
        <v>-13449011</v>
      </c>
      <c r="J397" s="68">
        <v>0</v>
      </c>
      <c r="K397" s="68">
        <v>959386</v>
      </c>
      <c r="L397" s="68">
        <v>-959386</v>
      </c>
      <c r="M397" s="68">
        <v>0</v>
      </c>
      <c r="N397" s="68">
        <v>0</v>
      </c>
    </row>
    <row r="398" spans="1:14" ht="31" outlineLevel="1" x14ac:dyDescent="0.35">
      <c r="A398" s="83" t="s">
        <v>329</v>
      </c>
      <c r="B398" s="69" t="s">
        <v>201</v>
      </c>
      <c r="C398" s="68">
        <v>13186821</v>
      </c>
      <c r="D398" s="68">
        <v>-652151</v>
      </c>
      <c r="E398" s="68">
        <v>0</v>
      </c>
      <c r="F398" s="68">
        <v>0</v>
      </c>
      <c r="G398" s="68">
        <v>0</v>
      </c>
      <c r="H398" s="68">
        <v>12534670</v>
      </c>
      <c r="I398" s="68">
        <v>-12534670</v>
      </c>
      <c r="J398" s="68">
        <v>0</v>
      </c>
      <c r="K398" s="68">
        <v>652171</v>
      </c>
      <c r="L398" s="68">
        <v>-652171</v>
      </c>
      <c r="M398" s="68">
        <v>0</v>
      </c>
      <c r="N398" s="68">
        <v>0</v>
      </c>
    </row>
    <row r="399" spans="1:14" ht="31" outlineLevel="2" x14ac:dyDescent="0.35">
      <c r="A399" s="83" t="s">
        <v>329</v>
      </c>
      <c r="B399" s="69" t="s">
        <v>200</v>
      </c>
      <c r="C399" s="68">
        <v>13081074</v>
      </c>
      <c r="D399" s="68">
        <v>-261410</v>
      </c>
      <c r="E399" s="68">
        <v>0</v>
      </c>
      <c r="F399" s="68">
        <v>0</v>
      </c>
      <c r="G399" s="68">
        <v>0</v>
      </c>
      <c r="H399" s="68">
        <v>12819664</v>
      </c>
      <c r="I399" s="68">
        <v>-12819664</v>
      </c>
      <c r="J399" s="68">
        <v>0</v>
      </c>
      <c r="K399" s="68">
        <v>1718446</v>
      </c>
      <c r="L399" s="68">
        <v>-1718446</v>
      </c>
      <c r="M399" s="68">
        <v>0</v>
      </c>
      <c r="N399" s="68">
        <v>0</v>
      </c>
    </row>
    <row r="400" spans="1:14" ht="31" outlineLevel="2" x14ac:dyDescent="0.35">
      <c r="A400" s="83" t="s">
        <v>329</v>
      </c>
      <c r="B400" s="69" t="s">
        <v>199</v>
      </c>
      <c r="C400" s="68">
        <v>13550832</v>
      </c>
      <c r="D400" s="68">
        <v>-768373</v>
      </c>
      <c r="E400" s="68">
        <v>0</v>
      </c>
      <c r="F400" s="68">
        <v>0</v>
      </c>
      <c r="G400" s="68">
        <v>0</v>
      </c>
      <c r="H400" s="68">
        <v>12782459</v>
      </c>
      <c r="I400" s="68">
        <v>-12782459</v>
      </c>
      <c r="J400" s="68">
        <v>0</v>
      </c>
      <c r="K400" s="68">
        <v>0</v>
      </c>
      <c r="L400" s="68">
        <v>0</v>
      </c>
      <c r="M400" s="68">
        <v>0</v>
      </c>
      <c r="N400" s="68">
        <v>0</v>
      </c>
    </row>
    <row r="401" spans="1:14" ht="31" outlineLevel="2" x14ac:dyDescent="0.35">
      <c r="A401" s="83" t="s">
        <v>329</v>
      </c>
      <c r="B401" s="69" t="s">
        <v>198</v>
      </c>
      <c r="C401" s="68">
        <v>16183827</v>
      </c>
      <c r="D401" s="68">
        <v>-223280</v>
      </c>
      <c r="E401" s="68">
        <v>0</v>
      </c>
      <c r="F401" s="68">
        <v>0</v>
      </c>
      <c r="G401" s="68">
        <v>0</v>
      </c>
      <c r="H401" s="68">
        <v>15960547</v>
      </c>
      <c r="I401" s="68">
        <v>-15960547</v>
      </c>
      <c r="J401" s="68">
        <v>0</v>
      </c>
      <c r="K401" s="68">
        <v>0</v>
      </c>
      <c r="L401" s="68">
        <v>0</v>
      </c>
      <c r="M401" s="68">
        <v>0</v>
      </c>
      <c r="N401" s="68">
        <v>0</v>
      </c>
    </row>
    <row r="402" spans="1:14" ht="31" outlineLevel="2" x14ac:dyDescent="0.35">
      <c r="A402" s="83" t="s">
        <v>329</v>
      </c>
      <c r="B402" s="69" t="s">
        <v>197</v>
      </c>
      <c r="C402" s="68">
        <v>16912771</v>
      </c>
      <c r="D402" s="68">
        <v>-1099122</v>
      </c>
      <c r="E402" s="68">
        <v>0</v>
      </c>
      <c r="F402" s="68">
        <v>0</v>
      </c>
      <c r="G402" s="68">
        <v>0</v>
      </c>
      <c r="H402" s="68">
        <v>15813649</v>
      </c>
      <c r="I402" s="68">
        <v>-15813649</v>
      </c>
      <c r="J402" s="68">
        <v>0</v>
      </c>
      <c r="K402" s="68">
        <v>1269937</v>
      </c>
      <c r="L402" s="68">
        <v>-1269937</v>
      </c>
      <c r="M402" s="68">
        <v>0</v>
      </c>
      <c r="N402" s="68">
        <v>0</v>
      </c>
    </row>
    <row r="403" spans="1:14" ht="31" outlineLevel="2" x14ac:dyDescent="0.35">
      <c r="A403" s="83" t="s">
        <v>329</v>
      </c>
      <c r="B403" s="69" t="s">
        <v>196</v>
      </c>
      <c r="C403" s="68">
        <v>15435153</v>
      </c>
      <c r="D403" s="68">
        <v>-931451</v>
      </c>
      <c r="E403" s="68">
        <v>0</v>
      </c>
      <c r="F403" s="68">
        <v>0</v>
      </c>
      <c r="G403" s="68">
        <v>0</v>
      </c>
      <c r="H403" s="68">
        <v>14503702</v>
      </c>
      <c r="I403" s="68">
        <v>-14503702</v>
      </c>
      <c r="J403" s="68">
        <v>0</v>
      </c>
      <c r="K403" s="68">
        <v>352000</v>
      </c>
      <c r="L403" s="68">
        <v>-352000</v>
      </c>
      <c r="M403" s="68">
        <v>0</v>
      </c>
      <c r="N403" s="68">
        <v>0</v>
      </c>
    </row>
    <row r="404" spans="1:14" ht="31" outlineLevel="2" x14ac:dyDescent="0.35">
      <c r="A404" s="83" t="s">
        <v>329</v>
      </c>
      <c r="B404" s="69" t="s">
        <v>195</v>
      </c>
      <c r="C404" s="68">
        <v>13532359</v>
      </c>
      <c r="D404" s="68">
        <v>-859850</v>
      </c>
      <c r="E404" s="68">
        <v>0</v>
      </c>
      <c r="F404" s="68">
        <v>0</v>
      </c>
      <c r="G404" s="68">
        <v>0</v>
      </c>
      <c r="H404" s="68">
        <v>12672509</v>
      </c>
      <c r="I404" s="68">
        <v>-12672509</v>
      </c>
      <c r="J404" s="68">
        <v>0</v>
      </c>
      <c r="K404" s="68">
        <v>1648423</v>
      </c>
      <c r="L404" s="68">
        <v>-1648423</v>
      </c>
      <c r="M404" s="68">
        <v>0</v>
      </c>
      <c r="N404" s="68">
        <v>0</v>
      </c>
    </row>
    <row r="405" spans="1:14" ht="31" outlineLevel="2" x14ac:dyDescent="0.35">
      <c r="A405" s="83" t="s">
        <v>329</v>
      </c>
      <c r="B405" s="69" t="s">
        <v>194</v>
      </c>
      <c r="C405" s="68">
        <v>13290471</v>
      </c>
      <c r="D405" s="68">
        <v>-846244</v>
      </c>
      <c r="E405" s="68">
        <v>0</v>
      </c>
      <c r="F405" s="68">
        <v>0</v>
      </c>
      <c r="G405" s="68">
        <v>0</v>
      </c>
      <c r="H405" s="68">
        <v>12444227</v>
      </c>
      <c r="I405" s="68">
        <v>-12444227</v>
      </c>
      <c r="J405" s="68">
        <v>0</v>
      </c>
      <c r="K405" s="68">
        <v>979241</v>
      </c>
      <c r="L405" s="68">
        <v>-979241</v>
      </c>
      <c r="M405" s="68">
        <v>0</v>
      </c>
      <c r="N405" s="68">
        <v>0</v>
      </c>
    </row>
    <row r="406" spans="1:14" ht="31" outlineLevel="2" x14ac:dyDescent="0.35">
      <c r="A406" s="83" t="s">
        <v>329</v>
      </c>
      <c r="B406" s="69" t="s">
        <v>193</v>
      </c>
      <c r="C406" s="68">
        <v>12381521</v>
      </c>
      <c r="D406" s="68">
        <v>-1038847</v>
      </c>
      <c r="E406" s="68">
        <v>0</v>
      </c>
      <c r="F406" s="68">
        <v>0</v>
      </c>
      <c r="G406" s="68">
        <v>0</v>
      </c>
      <c r="H406" s="68">
        <v>11342674</v>
      </c>
      <c r="I406" s="68">
        <v>-11342674</v>
      </c>
      <c r="J406" s="68">
        <v>0</v>
      </c>
      <c r="K406" s="68">
        <v>1072599</v>
      </c>
      <c r="L406" s="68">
        <v>-1072599</v>
      </c>
      <c r="M406" s="68">
        <v>0</v>
      </c>
      <c r="N406" s="68">
        <v>0</v>
      </c>
    </row>
    <row r="407" spans="1:14" ht="31" outlineLevel="2" x14ac:dyDescent="0.35">
      <c r="A407" s="83" t="s">
        <v>329</v>
      </c>
      <c r="B407" s="69" t="s">
        <v>192</v>
      </c>
      <c r="C407" s="68">
        <v>11571956</v>
      </c>
      <c r="D407" s="68">
        <v>-1137161</v>
      </c>
      <c r="E407" s="68">
        <v>0</v>
      </c>
      <c r="F407" s="68">
        <v>0</v>
      </c>
      <c r="G407" s="68">
        <v>0</v>
      </c>
      <c r="H407" s="68">
        <v>10434795</v>
      </c>
      <c r="I407" s="68">
        <v>-10434795</v>
      </c>
      <c r="J407" s="68">
        <v>0</v>
      </c>
      <c r="K407" s="68">
        <v>2462217</v>
      </c>
      <c r="L407" s="68">
        <v>-2462217</v>
      </c>
      <c r="M407" s="68">
        <v>0</v>
      </c>
      <c r="N407" s="68">
        <v>0</v>
      </c>
    </row>
    <row r="408" spans="1:14" ht="31" outlineLevel="2" x14ac:dyDescent="0.35">
      <c r="A408" s="83" t="s">
        <v>329</v>
      </c>
      <c r="B408" s="69" t="s">
        <v>191</v>
      </c>
      <c r="C408" s="68">
        <v>10238478</v>
      </c>
      <c r="D408" s="68">
        <v>-287789</v>
      </c>
      <c r="E408" s="68">
        <v>0</v>
      </c>
      <c r="F408" s="68">
        <v>0</v>
      </c>
      <c r="G408" s="68">
        <v>0</v>
      </c>
      <c r="H408" s="68">
        <v>9950689</v>
      </c>
      <c r="I408" s="68">
        <v>-9950689</v>
      </c>
      <c r="J408" s="68">
        <v>0</v>
      </c>
      <c r="K408" s="68">
        <v>924446</v>
      </c>
      <c r="L408" s="68">
        <v>-924446</v>
      </c>
      <c r="M408" s="68">
        <v>0</v>
      </c>
      <c r="N408" s="68">
        <v>0</v>
      </c>
    </row>
    <row r="409" spans="1:14" ht="31" outlineLevel="2" x14ac:dyDescent="0.35">
      <c r="A409" s="83" t="s">
        <v>329</v>
      </c>
      <c r="B409" s="69" t="s">
        <v>190</v>
      </c>
      <c r="C409" s="68">
        <v>9526170</v>
      </c>
      <c r="D409" s="68">
        <v>-715760</v>
      </c>
      <c r="E409" s="68">
        <v>0</v>
      </c>
      <c r="F409" s="68">
        <v>0</v>
      </c>
      <c r="G409" s="68">
        <v>0</v>
      </c>
      <c r="H409" s="68">
        <v>8810410</v>
      </c>
      <c r="I409" s="68">
        <v>-8810410</v>
      </c>
      <c r="J409" s="68">
        <v>0</v>
      </c>
      <c r="K409" s="68">
        <v>30020</v>
      </c>
      <c r="L409" s="68">
        <v>-30020</v>
      </c>
      <c r="M409" s="68">
        <v>0</v>
      </c>
      <c r="N409" s="68">
        <v>0</v>
      </c>
    </row>
    <row r="410" spans="1:14" ht="31" outlineLevel="2" x14ac:dyDescent="0.35">
      <c r="A410" s="83" t="s">
        <v>329</v>
      </c>
      <c r="B410" s="69" t="s">
        <v>189</v>
      </c>
      <c r="C410" s="68">
        <v>7925685</v>
      </c>
      <c r="D410" s="68">
        <v>-69272</v>
      </c>
      <c r="E410" s="68">
        <v>0</v>
      </c>
      <c r="F410" s="68">
        <v>0</v>
      </c>
      <c r="G410" s="68">
        <v>0</v>
      </c>
      <c r="H410" s="68">
        <v>7856413</v>
      </c>
      <c r="I410" s="68">
        <v>-7856413</v>
      </c>
      <c r="J410" s="68">
        <v>0</v>
      </c>
      <c r="K410" s="68">
        <v>57331</v>
      </c>
      <c r="L410" s="68">
        <v>-57331</v>
      </c>
      <c r="M410" s="68">
        <v>0</v>
      </c>
      <c r="N410" s="68">
        <v>0</v>
      </c>
    </row>
    <row r="411" spans="1:14" ht="31" outlineLevel="2" x14ac:dyDescent="0.35">
      <c r="A411" s="83" t="s">
        <v>329</v>
      </c>
      <c r="B411" s="69" t="s">
        <v>188</v>
      </c>
      <c r="C411" s="68">
        <v>6290579</v>
      </c>
      <c r="D411" s="68">
        <v>-389366</v>
      </c>
      <c r="E411" s="68">
        <v>0</v>
      </c>
      <c r="F411" s="68">
        <v>0</v>
      </c>
      <c r="G411" s="68">
        <v>0</v>
      </c>
      <c r="H411" s="68">
        <v>5901213</v>
      </c>
      <c r="I411" s="68">
        <v>-5901213</v>
      </c>
      <c r="J411" s="68">
        <v>0</v>
      </c>
      <c r="K411" s="68">
        <v>4063</v>
      </c>
      <c r="L411" s="68">
        <v>-4063</v>
      </c>
      <c r="M411" s="68">
        <v>0</v>
      </c>
      <c r="N411" s="68">
        <v>0</v>
      </c>
    </row>
    <row r="412" spans="1:14" ht="31" outlineLevel="2" x14ac:dyDescent="0.35">
      <c r="A412" s="83" t="s">
        <v>329</v>
      </c>
      <c r="B412" s="69" t="s">
        <v>186</v>
      </c>
      <c r="C412" s="68">
        <v>5957680</v>
      </c>
      <c r="D412" s="68">
        <v>-291328</v>
      </c>
      <c r="E412" s="68">
        <v>0</v>
      </c>
      <c r="F412" s="68">
        <v>0</v>
      </c>
      <c r="G412" s="68">
        <v>0</v>
      </c>
      <c r="H412" s="68">
        <v>5666352</v>
      </c>
      <c r="I412" s="68">
        <v>-5666352</v>
      </c>
      <c r="J412" s="68">
        <v>0</v>
      </c>
      <c r="K412" s="68">
        <v>9265</v>
      </c>
      <c r="L412" s="68">
        <v>-9265</v>
      </c>
      <c r="M412" s="68">
        <v>0</v>
      </c>
      <c r="N412" s="68">
        <v>0</v>
      </c>
    </row>
    <row r="413" spans="1:14" ht="31" outlineLevel="2" x14ac:dyDescent="0.35">
      <c r="A413" s="83" t="s">
        <v>329</v>
      </c>
      <c r="B413" s="69" t="s">
        <v>227</v>
      </c>
      <c r="C413" s="68">
        <v>70309</v>
      </c>
      <c r="D413" s="68">
        <v>0</v>
      </c>
      <c r="E413" s="68">
        <v>0</v>
      </c>
      <c r="F413" s="68">
        <v>0</v>
      </c>
      <c r="G413" s="68">
        <v>0</v>
      </c>
      <c r="H413" s="68">
        <v>70309</v>
      </c>
      <c r="I413" s="68">
        <v>-70309</v>
      </c>
      <c r="J413" s="68">
        <v>0</v>
      </c>
      <c r="K413" s="68">
        <v>24256</v>
      </c>
      <c r="L413" s="68">
        <v>-24256</v>
      </c>
      <c r="M413" s="68">
        <v>0</v>
      </c>
      <c r="N413" s="68">
        <v>0</v>
      </c>
    </row>
    <row r="414" spans="1:14" ht="31" outlineLevel="2" x14ac:dyDescent="0.35">
      <c r="A414" s="83" t="s">
        <v>329</v>
      </c>
      <c r="B414" s="69" t="s">
        <v>226</v>
      </c>
      <c r="C414" s="68">
        <v>0</v>
      </c>
      <c r="D414" s="68">
        <v>0</v>
      </c>
      <c r="E414" s="68">
        <v>0</v>
      </c>
      <c r="F414" s="68">
        <v>0</v>
      </c>
      <c r="G414" s="68">
        <v>0</v>
      </c>
      <c r="H414" s="68">
        <v>0</v>
      </c>
      <c r="I414" s="68">
        <v>0</v>
      </c>
      <c r="J414" s="68">
        <v>0</v>
      </c>
      <c r="K414" s="68">
        <v>1641</v>
      </c>
      <c r="L414" s="68">
        <v>-1641</v>
      </c>
      <c r="M414" s="68">
        <v>0</v>
      </c>
      <c r="N414" s="68">
        <v>0</v>
      </c>
    </row>
    <row r="415" spans="1:14" outlineLevel="2" x14ac:dyDescent="0.35">
      <c r="A415" s="65" t="s">
        <v>147</v>
      </c>
      <c r="B415" s="81" t="s">
        <v>12</v>
      </c>
      <c r="C415" s="42">
        <f>SUBTOTAL(109,Program13[(C)
Program
Costs])</f>
        <v>343215502</v>
      </c>
      <c r="D415" s="42">
        <f>SUBTOTAL(109,Program13[(D)
Prior Period Adjustments])</f>
        <v>-10296087</v>
      </c>
      <c r="E415" s="42">
        <f>SUBTOTAL(109,Program13[(E)
Current Period Desk 
Reviews])</f>
        <v>-69655</v>
      </c>
      <c r="F415" s="42">
        <f>SUBTOTAL(109,Program13[(F)
Current Period 
Final 
Audits])</f>
        <v>0</v>
      </c>
      <c r="G415" s="42">
        <f>SUBTOTAL(109,Program13[(G)
Current Period 
Other Adjustments])</f>
        <v>-1546</v>
      </c>
      <c r="H415" s="42">
        <f>SUBTOTAL(109,Program13[(H)
Net Program Costs
Sum (C through G)])</f>
        <v>332848214</v>
      </c>
      <c r="I415" s="42">
        <f>SUBTOTAL(109,Program13[(I)
Payments
 and Offsets])</f>
        <v>-319961693</v>
      </c>
      <c r="J415" s="42">
        <f>SUBTOTAL(109,Program13[(J)
Accounts Payable Balance
(H + I)])</f>
        <v>12886521</v>
      </c>
      <c r="K415" s="42">
        <f>SUBTOTAL(109,Program13[(K)
Established 
Accounts Receivable])</f>
        <v>12339291</v>
      </c>
      <c r="L415" s="42">
        <f>SUBTOTAL(109,Program13[(L)
Recovered
 Accounts Receivable])</f>
        <v>-12339291</v>
      </c>
      <c r="M415" s="42">
        <f>SUBTOTAL(109,Program13[(M)
Accounts Receivable Balance
(K + L)])</f>
        <v>0</v>
      </c>
      <c r="N415" s="42">
        <f>SUBTOTAL(109,Program13[(N)
Net Balance
(J minus M)])</f>
        <v>12886521</v>
      </c>
    </row>
    <row r="416" spans="1:14" outlineLevel="2" x14ac:dyDescent="0.35">
      <c r="A416" s="63" t="s">
        <v>33</v>
      </c>
      <c r="B416" s="62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ht="77.5" outlineLevel="2" x14ac:dyDescent="0.35">
      <c r="A417" s="60" t="s">
        <v>185</v>
      </c>
      <c r="B417" s="59" t="s">
        <v>184</v>
      </c>
      <c r="C417" s="58" t="s">
        <v>183</v>
      </c>
      <c r="D417" s="58" t="s">
        <v>182</v>
      </c>
      <c r="E417" s="56" t="s">
        <v>181</v>
      </c>
      <c r="F417" s="56" t="s">
        <v>180</v>
      </c>
      <c r="G417" s="56" t="s">
        <v>179</v>
      </c>
      <c r="H417" s="57" t="s">
        <v>674</v>
      </c>
      <c r="I417" s="55" t="s">
        <v>178</v>
      </c>
      <c r="J417" s="55" t="s">
        <v>177</v>
      </c>
      <c r="K417" s="56" t="s">
        <v>176</v>
      </c>
      <c r="L417" s="55" t="s">
        <v>175</v>
      </c>
      <c r="M417" s="55" t="s">
        <v>174</v>
      </c>
      <c r="N417" s="54" t="s">
        <v>173</v>
      </c>
    </row>
    <row r="418" spans="1:14" outlineLevel="1" x14ac:dyDescent="0.35">
      <c r="A418" s="53" t="s">
        <v>328</v>
      </c>
      <c r="B418" s="66" t="s">
        <v>188</v>
      </c>
      <c r="C418" s="51">
        <v>1074</v>
      </c>
      <c r="D418" s="51">
        <v>0</v>
      </c>
      <c r="E418" s="51">
        <v>0</v>
      </c>
      <c r="F418" s="51">
        <v>0</v>
      </c>
      <c r="G418" s="51">
        <v>0</v>
      </c>
      <c r="H418" s="51">
        <v>1074</v>
      </c>
      <c r="I418" s="51">
        <v>-1074</v>
      </c>
      <c r="J418" s="51">
        <v>0</v>
      </c>
      <c r="K418" s="51">
        <v>0</v>
      </c>
      <c r="L418" s="51">
        <v>0</v>
      </c>
      <c r="M418" s="51">
        <v>0</v>
      </c>
      <c r="N418" s="51">
        <v>0</v>
      </c>
    </row>
    <row r="419" spans="1:14" outlineLevel="1" x14ac:dyDescent="0.35">
      <c r="A419" s="82" t="s">
        <v>328</v>
      </c>
      <c r="B419" s="66" t="s">
        <v>186</v>
      </c>
      <c r="C419" s="51">
        <v>448</v>
      </c>
      <c r="D419" s="51">
        <v>-448</v>
      </c>
      <c r="E419" s="51">
        <v>0</v>
      </c>
      <c r="F419" s="51">
        <v>0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1">
        <v>0</v>
      </c>
      <c r="M419" s="51">
        <v>0</v>
      </c>
      <c r="N419" s="51">
        <v>0</v>
      </c>
    </row>
    <row r="420" spans="1:14" outlineLevel="1" x14ac:dyDescent="0.35">
      <c r="A420" s="82" t="s">
        <v>328</v>
      </c>
      <c r="B420" s="66" t="s">
        <v>227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6</v>
      </c>
      <c r="L420" s="51">
        <v>-6</v>
      </c>
      <c r="M420" s="51">
        <v>0</v>
      </c>
      <c r="N420" s="51">
        <v>0</v>
      </c>
    </row>
    <row r="421" spans="1:14" outlineLevel="1" x14ac:dyDescent="0.35">
      <c r="A421" s="65" t="s">
        <v>146</v>
      </c>
      <c r="B421" s="81" t="s">
        <v>12</v>
      </c>
      <c r="C421" s="42">
        <f>SUBTOTAL(109,Program62[(C)
Program
Costs])</f>
        <v>1522</v>
      </c>
      <c r="D421" s="42">
        <f>SUBTOTAL(109,Program62[(D)
Prior Period Adjustments])</f>
        <v>-448</v>
      </c>
      <c r="E421" s="42">
        <f>SUBTOTAL(109,Program62[(E)
Current Period Desk 
Reviews])</f>
        <v>0</v>
      </c>
      <c r="F421" s="42">
        <f>SUBTOTAL(109,Program62[(F)
Current Period 
Final 
Audits])</f>
        <v>0</v>
      </c>
      <c r="G421" s="42">
        <f>SUBTOTAL(109,Program62[(G)
Current Period 
Other Adjustments])</f>
        <v>0</v>
      </c>
      <c r="H421" s="42">
        <f>SUBTOTAL(109,Program62[(H)
Net Program Costs
Sum (C through G)])</f>
        <v>1074</v>
      </c>
      <c r="I421" s="42">
        <f>SUBTOTAL(109,Program62[(I)
Payments
 and Offsets])</f>
        <v>-1074</v>
      </c>
      <c r="J421" s="42">
        <f>SUBTOTAL(109,Program62[(J)
Accounts Payable Balance
(H + I)])</f>
        <v>0</v>
      </c>
      <c r="K421" s="42">
        <f>SUBTOTAL(109,Program62[(K)
Established 
Accounts Receivable])</f>
        <v>6</v>
      </c>
      <c r="L421" s="42">
        <f>SUBTOTAL(109,Program62[(L)
Recovered
 Accounts Receivable])</f>
        <v>-6</v>
      </c>
      <c r="M421" s="42">
        <f>SUBTOTAL(109,Program62[(M)
Accounts Receivable Balance
(K + L)])</f>
        <v>0</v>
      </c>
      <c r="N421" s="42">
        <f>SUBTOTAL(109,Program62[(N)
Net Balance
(J minus M)])</f>
        <v>0</v>
      </c>
    </row>
    <row r="422" spans="1:14" outlineLevel="1" x14ac:dyDescent="0.35">
      <c r="A422" s="63" t="s">
        <v>33</v>
      </c>
      <c r="B422" s="62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ht="77.5" outlineLevel="1" x14ac:dyDescent="0.35">
      <c r="A423" s="60" t="s">
        <v>185</v>
      </c>
      <c r="B423" s="59" t="s">
        <v>184</v>
      </c>
      <c r="C423" s="58" t="s">
        <v>183</v>
      </c>
      <c r="D423" s="58" t="s">
        <v>182</v>
      </c>
      <c r="E423" s="56" t="s">
        <v>181</v>
      </c>
      <c r="F423" s="56" t="s">
        <v>180</v>
      </c>
      <c r="G423" s="56" t="s">
        <v>179</v>
      </c>
      <c r="H423" s="57" t="s">
        <v>674</v>
      </c>
      <c r="I423" s="55" t="s">
        <v>178</v>
      </c>
      <c r="J423" s="55" t="s">
        <v>177</v>
      </c>
      <c r="K423" s="56" t="s">
        <v>176</v>
      </c>
      <c r="L423" s="55" t="s">
        <v>175</v>
      </c>
      <c r="M423" s="55" t="s">
        <v>174</v>
      </c>
      <c r="N423" s="54" t="s">
        <v>173</v>
      </c>
    </row>
    <row r="424" spans="1:14" ht="31" outlineLevel="2" x14ac:dyDescent="0.35">
      <c r="A424" s="70" t="s">
        <v>327</v>
      </c>
      <c r="B424" s="69" t="s">
        <v>205</v>
      </c>
      <c r="C424" s="68">
        <v>40390</v>
      </c>
      <c r="D424" s="68">
        <v>0</v>
      </c>
      <c r="E424" s="68">
        <v>0</v>
      </c>
      <c r="F424" s="68">
        <v>0</v>
      </c>
      <c r="G424" s="68">
        <v>0</v>
      </c>
      <c r="H424" s="68">
        <v>40390</v>
      </c>
      <c r="I424" s="68">
        <v>0</v>
      </c>
      <c r="J424" s="68">
        <v>40390</v>
      </c>
      <c r="K424" s="68">
        <v>0</v>
      </c>
      <c r="L424" s="68">
        <v>0</v>
      </c>
      <c r="M424" s="68">
        <v>0</v>
      </c>
      <c r="N424" s="68">
        <v>40390</v>
      </c>
    </row>
    <row r="425" spans="1:14" ht="31" outlineLevel="2" x14ac:dyDescent="0.35">
      <c r="A425" s="83" t="s">
        <v>327</v>
      </c>
      <c r="B425" s="69" t="s">
        <v>204</v>
      </c>
      <c r="C425" s="68">
        <v>567312</v>
      </c>
      <c r="D425" s="68">
        <v>0</v>
      </c>
      <c r="E425" s="68">
        <v>0</v>
      </c>
      <c r="F425" s="68">
        <v>0</v>
      </c>
      <c r="G425" s="68">
        <v>0</v>
      </c>
      <c r="H425" s="68">
        <v>567312</v>
      </c>
      <c r="I425" s="68">
        <v>0</v>
      </c>
      <c r="J425" s="68">
        <v>567312</v>
      </c>
      <c r="K425" s="68">
        <v>0</v>
      </c>
      <c r="L425" s="68">
        <v>0</v>
      </c>
      <c r="M425" s="68">
        <v>0</v>
      </c>
      <c r="N425" s="68">
        <v>567312</v>
      </c>
    </row>
    <row r="426" spans="1:14" ht="31" outlineLevel="2" x14ac:dyDescent="0.35">
      <c r="A426" s="83" t="s">
        <v>327</v>
      </c>
      <c r="B426" s="69" t="s">
        <v>203</v>
      </c>
      <c r="C426" s="68">
        <v>594030</v>
      </c>
      <c r="D426" s="68">
        <v>-798</v>
      </c>
      <c r="E426" s="68">
        <v>0</v>
      </c>
      <c r="F426" s="68">
        <v>0</v>
      </c>
      <c r="G426" s="68">
        <v>0</v>
      </c>
      <c r="H426" s="68">
        <v>593232</v>
      </c>
      <c r="I426" s="68">
        <v>0</v>
      </c>
      <c r="J426" s="68">
        <v>593232</v>
      </c>
      <c r="K426" s="68">
        <v>0</v>
      </c>
      <c r="L426" s="68">
        <v>0</v>
      </c>
      <c r="M426" s="68">
        <v>0</v>
      </c>
      <c r="N426" s="68">
        <v>593232</v>
      </c>
    </row>
    <row r="427" spans="1:14" ht="31" outlineLevel="2" x14ac:dyDescent="0.35">
      <c r="A427" s="83" t="s">
        <v>327</v>
      </c>
      <c r="B427" s="69" t="s">
        <v>202</v>
      </c>
      <c r="C427" s="68">
        <v>457363</v>
      </c>
      <c r="D427" s="68">
        <v>-1000</v>
      </c>
      <c r="E427" s="68">
        <v>0</v>
      </c>
      <c r="F427" s="68">
        <v>0</v>
      </c>
      <c r="G427" s="68">
        <v>0</v>
      </c>
      <c r="H427" s="68">
        <v>456363</v>
      </c>
      <c r="I427" s="68">
        <v>-456363</v>
      </c>
      <c r="J427" s="68">
        <v>0</v>
      </c>
      <c r="K427" s="68">
        <v>4779</v>
      </c>
      <c r="L427" s="68">
        <v>-4779</v>
      </c>
      <c r="M427" s="68">
        <v>0</v>
      </c>
      <c r="N427" s="68">
        <v>0</v>
      </c>
    </row>
    <row r="428" spans="1:14" ht="31" outlineLevel="2" x14ac:dyDescent="0.35">
      <c r="A428" s="83" t="s">
        <v>327</v>
      </c>
      <c r="B428" s="69" t="s">
        <v>201</v>
      </c>
      <c r="C428" s="68">
        <v>318739</v>
      </c>
      <c r="D428" s="68">
        <v>0</v>
      </c>
      <c r="E428" s="68">
        <v>0</v>
      </c>
      <c r="F428" s="68">
        <v>0</v>
      </c>
      <c r="G428" s="68">
        <v>0</v>
      </c>
      <c r="H428" s="68">
        <v>318739</v>
      </c>
      <c r="I428" s="68">
        <v>-318739</v>
      </c>
      <c r="J428" s="68">
        <v>0</v>
      </c>
      <c r="K428" s="68">
        <v>549</v>
      </c>
      <c r="L428" s="68">
        <v>-549</v>
      </c>
      <c r="M428" s="68">
        <v>0</v>
      </c>
      <c r="N428" s="68">
        <v>0</v>
      </c>
    </row>
    <row r="429" spans="1:14" ht="31" outlineLevel="2" x14ac:dyDescent="0.35">
      <c r="A429" s="83" t="s">
        <v>327</v>
      </c>
      <c r="B429" s="69" t="s">
        <v>200</v>
      </c>
      <c r="C429" s="68">
        <v>338260</v>
      </c>
      <c r="D429" s="68">
        <v>-20482</v>
      </c>
      <c r="E429" s="68">
        <v>0</v>
      </c>
      <c r="F429" s="68">
        <v>0</v>
      </c>
      <c r="G429" s="68">
        <v>0</v>
      </c>
      <c r="H429" s="68">
        <v>317778</v>
      </c>
      <c r="I429" s="68">
        <v>-317778</v>
      </c>
      <c r="J429" s="68">
        <v>0</v>
      </c>
      <c r="K429" s="68">
        <v>55612</v>
      </c>
      <c r="L429" s="68">
        <v>-55612</v>
      </c>
      <c r="M429" s="68">
        <v>0</v>
      </c>
      <c r="N429" s="68">
        <v>0</v>
      </c>
    </row>
    <row r="430" spans="1:14" ht="31" outlineLevel="2" x14ac:dyDescent="0.35">
      <c r="A430" s="83" t="s">
        <v>327</v>
      </c>
      <c r="B430" s="69" t="s">
        <v>199</v>
      </c>
      <c r="C430" s="68">
        <v>317924</v>
      </c>
      <c r="D430" s="68">
        <v>-9250</v>
      </c>
      <c r="E430" s="68">
        <v>0</v>
      </c>
      <c r="F430" s="68">
        <v>0</v>
      </c>
      <c r="G430" s="68">
        <v>0</v>
      </c>
      <c r="H430" s="68">
        <v>308674</v>
      </c>
      <c r="I430" s="68">
        <v>-308674</v>
      </c>
      <c r="J430" s="68">
        <v>0</v>
      </c>
      <c r="K430" s="68">
        <v>0</v>
      </c>
      <c r="L430" s="68">
        <v>0</v>
      </c>
      <c r="M430" s="68">
        <v>0</v>
      </c>
      <c r="N430" s="68">
        <v>0</v>
      </c>
    </row>
    <row r="431" spans="1:14" ht="31" outlineLevel="2" x14ac:dyDescent="0.35">
      <c r="A431" s="83" t="s">
        <v>327</v>
      </c>
      <c r="B431" s="69" t="s">
        <v>198</v>
      </c>
      <c r="C431" s="68">
        <v>335776</v>
      </c>
      <c r="D431" s="68">
        <v>0</v>
      </c>
      <c r="E431" s="68">
        <v>0</v>
      </c>
      <c r="F431" s="68">
        <v>0</v>
      </c>
      <c r="G431" s="68">
        <v>0</v>
      </c>
      <c r="H431" s="68">
        <v>335776</v>
      </c>
      <c r="I431" s="68">
        <v>-335776</v>
      </c>
      <c r="J431" s="68">
        <v>0</v>
      </c>
      <c r="K431" s="68">
        <v>5</v>
      </c>
      <c r="L431" s="68">
        <v>-5</v>
      </c>
      <c r="M431" s="68">
        <v>0</v>
      </c>
      <c r="N431" s="68">
        <v>0</v>
      </c>
    </row>
    <row r="432" spans="1:14" ht="31" outlineLevel="1" x14ac:dyDescent="0.35">
      <c r="A432" s="83" t="s">
        <v>327</v>
      </c>
      <c r="B432" s="69" t="s">
        <v>197</v>
      </c>
      <c r="C432" s="68">
        <v>340221</v>
      </c>
      <c r="D432" s="68">
        <v>-755</v>
      </c>
      <c r="E432" s="68">
        <v>0</v>
      </c>
      <c r="F432" s="68">
        <v>0</v>
      </c>
      <c r="G432" s="68">
        <v>0</v>
      </c>
      <c r="H432" s="68">
        <v>339466</v>
      </c>
      <c r="I432" s="68">
        <v>-339466</v>
      </c>
      <c r="J432" s="68">
        <v>0</v>
      </c>
      <c r="K432" s="68">
        <v>0</v>
      </c>
      <c r="L432" s="68">
        <v>0</v>
      </c>
      <c r="M432" s="68">
        <v>0</v>
      </c>
      <c r="N432" s="68">
        <v>0</v>
      </c>
    </row>
    <row r="433" spans="1:14" ht="31" outlineLevel="1" x14ac:dyDescent="0.35">
      <c r="A433" s="83" t="s">
        <v>327</v>
      </c>
      <c r="B433" s="69" t="s">
        <v>196</v>
      </c>
      <c r="C433" s="68">
        <v>283475</v>
      </c>
      <c r="D433" s="68">
        <v>-140</v>
      </c>
      <c r="E433" s="68">
        <v>0</v>
      </c>
      <c r="F433" s="68">
        <v>0</v>
      </c>
      <c r="G433" s="68">
        <v>0</v>
      </c>
      <c r="H433" s="68">
        <v>283335</v>
      </c>
      <c r="I433" s="68">
        <v>-283335</v>
      </c>
      <c r="J433" s="68">
        <v>0</v>
      </c>
      <c r="K433" s="68">
        <v>4127</v>
      </c>
      <c r="L433" s="68">
        <v>-4127</v>
      </c>
      <c r="M433" s="68">
        <v>0</v>
      </c>
      <c r="N433" s="68">
        <v>0</v>
      </c>
    </row>
    <row r="434" spans="1:14" ht="31" outlineLevel="1" x14ac:dyDescent="0.35">
      <c r="A434" s="83" t="s">
        <v>327</v>
      </c>
      <c r="B434" s="69" t="s">
        <v>195</v>
      </c>
      <c r="C434" s="68">
        <v>209868</v>
      </c>
      <c r="D434" s="68">
        <v>-1860</v>
      </c>
      <c r="E434" s="68">
        <v>0</v>
      </c>
      <c r="F434" s="68">
        <v>0</v>
      </c>
      <c r="G434" s="68">
        <v>0</v>
      </c>
      <c r="H434" s="68">
        <v>208008</v>
      </c>
      <c r="I434" s="68">
        <v>-208008</v>
      </c>
      <c r="J434" s="68">
        <v>0</v>
      </c>
      <c r="K434" s="68">
        <v>8671</v>
      </c>
      <c r="L434" s="68">
        <v>-8671</v>
      </c>
      <c r="M434" s="68">
        <v>0</v>
      </c>
      <c r="N434" s="68">
        <v>0</v>
      </c>
    </row>
    <row r="435" spans="1:14" ht="31" outlineLevel="2" x14ac:dyDescent="0.35">
      <c r="A435" s="83" t="s">
        <v>327</v>
      </c>
      <c r="B435" s="69" t="s">
        <v>194</v>
      </c>
      <c r="C435" s="68">
        <v>193721</v>
      </c>
      <c r="D435" s="68">
        <v>-988</v>
      </c>
      <c r="E435" s="68">
        <v>0</v>
      </c>
      <c r="F435" s="68">
        <v>0</v>
      </c>
      <c r="G435" s="68">
        <v>0</v>
      </c>
      <c r="H435" s="68">
        <v>192733</v>
      </c>
      <c r="I435" s="68">
        <v>-192733</v>
      </c>
      <c r="J435" s="68">
        <v>0</v>
      </c>
      <c r="K435" s="68">
        <v>1400</v>
      </c>
      <c r="L435" s="68">
        <v>-1400</v>
      </c>
      <c r="M435" s="68">
        <v>0</v>
      </c>
      <c r="N435" s="68">
        <v>0</v>
      </c>
    </row>
    <row r="436" spans="1:14" ht="31" outlineLevel="2" x14ac:dyDescent="0.35">
      <c r="A436" s="83" t="s">
        <v>327</v>
      </c>
      <c r="B436" s="69" t="s">
        <v>193</v>
      </c>
      <c r="C436" s="68">
        <v>181065</v>
      </c>
      <c r="D436" s="68">
        <v>0</v>
      </c>
      <c r="E436" s="68">
        <v>0</v>
      </c>
      <c r="F436" s="68">
        <v>0</v>
      </c>
      <c r="G436" s="68">
        <v>0</v>
      </c>
      <c r="H436" s="68">
        <v>181065</v>
      </c>
      <c r="I436" s="68">
        <v>-181065</v>
      </c>
      <c r="J436" s="68">
        <v>0</v>
      </c>
      <c r="K436" s="68">
        <v>0</v>
      </c>
      <c r="L436" s="68">
        <v>0</v>
      </c>
      <c r="M436" s="68">
        <v>0</v>
      </c>
      <c r="N436" s="68">
        <v>0</v>
      </c>
    </row>
    <row r="437" spans="1:14" ht="31" outlineLevel="2" x14ac:dyDescent="0.35">
      <c r="A437" s="83" t="s">
        <v>327</v>
      </c>
      <c r="B437" s="69" t="s">
        <v>192</v>
      </c>
      <c r="C437" s="68">
        <v>157446</v>
      </c>
      <c r="D437" s="68">
        <v>0</v>
      </c>
      <c r="E437" s="68">
        <v>0</v>
      </c>
      <c r="F437" s="68">
        <v>0</v>
      </c>
      <c r="G437" s="68">
        <v>0</v>
      </c>
      <c r="H437" s="68">
        <v>157446</v>
      </c>
      <c r="I437" s="68">
        <v>-157446</v>
      </c>
      <c r="J437" s="68">
        <v>0</v>
      </c>
      <c r="K437" s="68">
        <v>0</v>
      </c>
      <c r="L437" s="68">
        <v>0</v>
      </c>
      <c r="M437" s="68">
        <v>0</v>
      </c>
      <c r="N437" s="68">
        <v>0</v>
      </c>
    </row>
    <row r="438" spans="1:14" ht="31" outlineLevel="2" x14ac:dyDescent="0.35">
      <c r="A438" s="83" t="s">
        <v>327</v>
      </c>
      <c r="B438" s="69" t="s">
        <v>191</v>
      </c>
      <c r="C438" s="68">
        <v>159433</v>
      </c>
      <c r="D438" s="68">
        <v>-1000</v>
      </c>
      <c r="E438" s="68">
        <v>0</v>
      </c>
      <c r="F438" s="68">
        <v>0</v>
      </c>
      <c r="G438" s="68">
        <v>0</v>
      </c>
      <c r="H438" s="68">
        <v>158433</v>
      </c>
      <c r="I438" s="68">
        <v>-158433</v>
      </c>
      <c r="J438" s="68">
        <v>0</v>
      </c>
      <c r="K438" s="68">
        <v>0</v>
      </c>
      <c r="L438" s="68">
        <v>0</v>
      </c>
      <c r="M438" s="68">
        <v>0</v>
      </c>
      <c r="N438" s="68">
        <v>0</v>
      </c>
    </row>
    <row r="439" spans="1:14" ht="31" outlineLevel="2" x14ac:dyDescent="0.35">
      <c r="A439" s="83" t="s">
        <v>327</v>
      </c>
      <c r="B439" s="69" t="s">
        <v>190</v>
      </c>
      <c r="C439" s="68">
        <v>135302</v>
      </c>
      <c r="D439" s="68">
        <v>0</v>
      </c>
      <c r="E439" s="68">
        <v>0</v>
      </c>
      <c r="F439" s="68">
        <v>0</v>
      </c>
      <c r="G439" s="68">
        <v>0</v>
      </c>
      <c r="H439" s="68">
        <v>135302</v>
      </c>
      <c r="I439" s="68">
        <v>-135302</v>
      </c>
      <c r="J439" s="68">
        <v>0</v>
      </c>
      <c r="K439" s="68">
        <v>0</v>
      </c>
      <c r="L439" s="68">
        <v>0</v>
      </c>
      <c r="M439" s="68">
        <v>0</v>
      </c>
      <c r="N439" s="68">
        <v>0</v>
      </c>
    </row>
    <row r="440" spans="1:14" ht="31" outlineLevel="2" x14ac:dyDescent="0.35">
      <c r="A440" s="83" t="s">
        <v>327</v>
      </c>
      <c r="B440" s="69" t="s">
        <v>189</v>
      </c>
      <c r="C440" s="68">
        <v>25584</v>
      </c>
      <c r="D440" s="68">
        <v>0</v>
      </c>
      <c r="E440" s="68">
        <v>0</v>
      </c>
      <c r="F440" s="68">
        <v>0</v>
      </c>
      <c r="G440" s="68">
        <v>0</v>
      </c>
      <c r="H440" s="68">
        <v>25584</v>
      </c>
      <c r="I440" s="68">
        <v>-25584</v>
      </c>
      <c r="J440" s="68">
        <v>0</v>
      </c>
      <c r="K440" s="68">
        <v>0</v>
      </c>
      <c r="L440" s="68">
        <v>0</v>
      </c>
      <c r="M440" s="68">
        <v>0</v>
      </c>
      <c r="N440" s="68">
        <v>0</v>
      </c>
    </row>
    <row r="441" spans="1:14" ht="31" outlineLevel="2" x14ac:dyDescent="0.35">
      <c r="A441" s="83" t="s">
        <v>327</v>
      </c>
      <c r="B441" s="69" t="s">
        <v>188</v>
      </c>
      <c r="C441" s="68">
        <v>21971</v>
      </c>
      <c r="D441" s="68">
        <v>0</v>
      </c>
      <c r="E441" s="68">
        <v>0</v>
      </c>
      <c r="F441" s="68">
        <v>0</v>
      </c>
      <c r="G441" s="68">
        <v>0</v>
      </c>
      <c r="H441" s="68">
        <v>21971</v>
      </c>
      <c r="I441" s="68">
        <v>-21971</v>
      </c>
      <c r="J441" s="68">
        <v>0</v>
      </c>
      <c r="K441" s="68">
        <v>0</v>
      </c>
      <c r="L441" s="68">
        <v>0</v>
      </c>
      <c r="M441" s="68">
        <v>0</v>
      </c>
      <c r="N441" s="68">
        <v>0</v>
      </c>
    </row>
    <row r="442" spans="1:14" ht="31" outlineLevel="2" x14ac:dyDescent="0.35">
      <c r="A442" s="83" t="s">
        <v>327</v>
      </c>
      <c r="B442" s="69" t="s">
        <v>186</v>
      </c>
      <c r="C442" s="68">
        <v>3870</v>
      </c>
      <c r="D442" s="68">
        <v>0</v>
      </c>
      <c r="E442" s="68">
        <v>0</v>
      </c>
      <c r="F442" s="68">
        <v>0</v>
      </c>
      <c r="G442" s="68">
        <v>0</v>
      </c>
      <c r="H442" s="68">
        <v>3870</v>
      </c>
      <c r="I442" s="68">
        <v>-3870</v>
      </c>
      <c r="J442" s="68">
        <v>0</v>
      </c>
      <c r="K442" s="68">
        <v>0</v>
      </c>
      <c r="L442" s="68">
        <v>0</v>
      </c>
      <c r="M442" s="68">
        <v>0</v>
      </c>
      <c r="N442" s="68">
        <v>0</v>
      </c>
    </row>
    <row r="443" spans="1:14" ht="31" outlineLevel="2" x14ac:dyDescent="0.35">
      <c r="A443" s="83" t="s">
        <v>327</v>
      </c>
      <c r="B443" s="69" t="s">
        <v>227</v>
      </c>
      <c r="C443" s="68">
        <v>0</v>
      </c>
      <c r="D443" s="68">
        <v>0</v>
      </c>
      <c r="E443" s="68">
        <v>0</v>
      </c>
      <c r="F443" s="68">
        <v>0</v>
      </c>
      <c r="G443" s="68">
        <v>0</v>
      </c>
      <c r="H443" s="68">
        <v>0</v>
      </c>
      <c r="I443" s="68">
        <v>0</v>
      </c>
      <c r="J443" s="68">
        <v>0</v>
      </c>
      <c r="K443" s="68">
        <v>2</v>
      </c>
      <c r="L443" s="68">
        <v>-2</v>
      </c>
      <c r="M443" s="68">
        <v>0</v>
      </c>
      <c r="N443" s="68">
        <v>0</v>
      </c>
    </row>
    <row r="444" spans="1:14" outlineLevel="2" x14ac:dyDescent="0.35">
      <c r="A444" s="65" t="s">
        <v>145</v>
      </c>
      <c r="B444" s="81" t="s">
        <v>12</v>
      </c>
      <c r="C444" s="42">
        <f>SUBTOTAL(109,Program87[(C)
Program
Costs])</f>
        <v>4681750</v>
      </c>
      <c r="D444" s="42">
        <f>SUBTOTAL(109,Program87[(D)
Prior Period Adjustments])</f>
        <v>-36273</v>
      </c>
      <c r="E444" s="42">
        <f>SUBTOTAL(109,Program87[(E)
Current Period Desk 
Reviews])</f>
        <v>0</v>
      </c>
      <c r="F444" s="42">
        <f>SUBTOTAL(109,Program87[(F)
Current Period 
Final 
Audits])</f>
        <v>0</v>
      </c>
      <c r="G444" s="42">
        <f>SUBTOTAL(109,Program87[(G)
Current Period 
Other Adjustments])</f>
        <v>0</v>
      </c>
      <c r="H444" s="42">
        <f>SUBTOTAL(109,Program87[(H)
Net Program Costs
Sum (C through G)])</f>
        <v>4645477</v>
      </c>
      <c r="I444" s="42">
        <f>SUBTOTAL(109,Program87[(I)
Payments
 and Offsets])</f>
        <v>-3444543</v>
      </c>
      <c r="J444" s="42">
        <f>SUBTOTAL(109,Program87[(J)
Accounts Payable Balance
(H + I)])</f>
        <v>1200934</v>
      </c>
      <c r="K444" s="42">
        <f>SUBTOTAL(109,Program87[(K)
Established 
Accounts Receivable])</f>
        <v>75145</v>
      </c>
      <c r="L444" s="42">
        <f>SUBTOTAL(109,Program87[(L)
Recovered
 Accounts Receivable])</f>
        <v>-75145</v>
      </c>
      <c r="M444" s="42">
        <f>SUBTOTAL(109,Program87[(M)
Accounts Receivable Balance
(K + L)])</f>
        <v>0</v>
      </c>
      <c r="N444" s="42">
        <f>SUBTOTAL(109,Program87[(N)
Net Balance
(J minus M)])</f>
        <v>1200934</v>
      </c>
    </row>
    <row r="445" spans="1:14" outlineLevel="2" x14ac:dyDescent="0.35">
      <c r="A445" s="63" t="s">
        <v>33</v>
      </c>
      <c r="B445" s="62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ht="77.5" outlineLevel="2" x14ac:dyDescent="0.35">
      <c r="A446" s="60" t="s">
        <v>185</v>
      </c>
      <c r="B446" s="59" t="s">
        <v>184</v>
      </c>
      <c r="C446" s="58" t="s">
        <v>183</v>
      </c>
      <c r="D446" s="58" t="s">
        <v>182</v>
      </c>
      <c r="E446" s="56" t="s">
        <v>181</v>
      </c>
      <c r="F446" s="56" t="s">
        <v>180</v>
      </c>
      <c r="G446" s="56" t="s">
        <v>179</v>
      </c>
      <c r="H446" s="57" t="s">
        <v>674</v>
      </c>
      <c r="I446" s="55" t="s">
        <v>178</v>
      </c>
      <c r="J446" s="55" t="s">
        <v>177</v>
      </c>
      <c r="K446" s="56" t="s">
        <v>176</v>
      </c>
      <c r="L446" s="55" t="s">
        <v>175</v>
      </c>
      <c r="M446" s="55" t="s">
        <v>174</v>
      </c>
      <c r="N446" s="54" t="s">
        <v>173</v>
      </c>
    </row>
    <row r="447" spans="1:14" outlineLevel="2" x14ac:dyDescent="0.35">
      <c r="A447" s="53" t="s">
        <v>326</v>
      </c>
      <c r="B447" s="66" t="s">
        <v>191</v>
      </c>
      <c r="C447" s="51">
        <v>13959253</v>
      </c>
      <c r="D447" s="51">
        <v>0</v>
      </c>
      <c r="E447" s="51">
        <v>0</v>
      </c>
      <c r="F447" s="51">
        <v>0</v>
      </c>
      <c r="G447" s="51">
        <v>0</v>
      </c>
      <c r="H447" s="51">
        <v>13959253</v>
      </c>
      <c r="I447" s="51">
        <v>-13959253</v>
      </c>
      <c r="J447" s="51">
        <v>0</v>
      </c>
      <c r="K447" s="51">
        <v>0</v>
      </c>
      <c r="L447" s="51">
        <v>0</v>
      </c>
      <c r="M447" s="51">
        <v>0</v>
      </c>
      <c r="N447" s="51">
        <v>0</v>
      </c>
    </row>
    <row r="448" spans="1:14" outlineLevel="2" x14ac:dyDescent="0.35">
      <c r="A448" s="65" t="s">
        <v>144</v>
      </c>
      <c r="B448" s="81" t="s">
        <v>12</v>
      </c>
      <c r="C448" s="42">
        <f>SUBTOTAL(109,Program143[(C)
Program
Costs])</f>
        <v>13959253</v>
      </c>
      <c r="D448" s="42">
        <f>SUBTOTAL(109,Program143[(D)
Prior Period Adjustments])</f>
        <v>0</v>
      </c>
      <c r="E448" s="42">
        <f>SUBTOTAL(109,Program143[(E)
Current Period Desk 
Reviews])</f>
        <v>0</v>
      </c>
      <c r="F448" s="42">
        <f>SUBTOTAL(109,Program143[(F)
Current Period 
Final 
Audits])</f>
        <v>0</v>
      </c>
      <c r="G448" s="42">
        <f>SUBTOTAL(109,Program143[(G)
Current Period 
Other Adjustments])</f>
        <v>0</v>
      </c>
      <c r="H448" s="42">
        <f>SUBTOTAL(109,Program143[(H)
Net Program Costs
Sum (C through G)])</f>
        <v>13959253</v>
      </c>
      <c r="I448" s="42">
        <f>SUBTOTAL(109,Program143[(I)
Payments
 and Offsets])</f>
        <v>-13959253</v>
      </c>
      <c r="J448" s="42">
        <f>SUBTOTAL(109,Program143[(J)
Accounts Payable Balance
(H + I)])</f>
        <v>0</v>
      </c>
      <c r="K448" s="42">
        <f>SUBTOTAL(109,Program143[(K)
Established 
Accounts Receivable])</f>
        <v>0</v>
      </c>
      <c r="L448" s="42">
        <f>SUBTOTAL(109,Program143[(L)
Recovered
 Accounts Receivable])</f>
        <v>0</v>
      </c>
      <c r="M448" s="42">
        <f>SUBTOTAL(109,Program143[(M)
Accounts Receivable Balance
(K + L)])</f>
        <v>0</v>
      </c>
      <c r="N448" s="42">
        <f>SUBTOTAL(109,Program143[(N)
Net Balance
(J minus M)])</f>
        <v>0</v>
      </c>
    </row>
    <row r="449" spans="1:14" outlineLevel="2" x14ac:dyDescent="0.35">
      <c r="A449" s="63" t="s">
        <v>33</v>
      </c>
      <c r="B449" s="62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ht="77.5" outlineLevel="2" x14ac:dyDescent="0.35">
      <c r="A450" s="60" t="s">
        <v>185</v>
      </c>
      <c r="B450" s="59" t="s">
        <v>184</v>
      </c>
      <c r="C450" s="58" t="s">
        <v>183</v>
      </c>
      <c r="D450" s="58" t="s">
        <v>182</v>
      </c>
      <c r="E450" s="56" t="s">
        <v>181</v>
      </c>
      <c r="F450" s="56" t="s">
        <v>180</v>
      </c>
      <c r="G450" s="56" t="s">
        <v>179</v>
      </c>
      <c r="H450" s="57" t="s">
        <v>674</v>
      </c>
      <c r="I450" s="55" t="s">
        <v>178</v>
      </c>
      <c r="J450" s="55" t="s">
        <v>177</v>
      </c>
      <c r="K450" s="56" t="s">
        <v>176</v>
      </c>
      <c r="L450" s="55" t="s">
        <v>175</v>
      </c>
      <c r="M450" s="55" t="s">
        <v>174</v>
      </c>
      <c r="N450" s="54" t="s">
        <v>173</v>
      </c>
    </row>
    <row r="451" spans="1:14" outlineLevel="2" x14ac:dyDescent="0.35">
      <c r="A451" s="53" t="s">
        <v>325</v>
      </c>
      <c r="B451" s="66" t="s">
        <v>204</v>
      </c>
      <c r="C451" s="51">
        <v>146180</v>
      </c>
      <c r="D451" s="51">
        <v>0</v>
      </c>
      <c r="E451" s="51">
        <v>0</v>
      </c>
      <c r="F451" s="51">
        <v>0</v>
      </c>
      <c r="G451" s="51">
        <v>0</v>
      </c>
      <c r="H451" s="51">
        <v>146180</v>
      </c>
      <c r="I451" s="51">
        <v>0</v>
      </c>
      <c r="J451" s="51">
        <v>146180</v>
      </c>
      <c r="K451" s="51">
        <v>0</v>
      </c>
      <c r="L451" s="51">
        <v>0</v>
      </c>
      <c r="M451" s="51">
        <v>0</v>
      </c>
      <c r="N451" s="51">
        <v>146180</v>
      </c>
    </row>
    <row r="452" spans="1:14" outlineLevel="2" x14ac:dyDescent="0.35">
      <c r="A452" s="82" t="s">
        <v>325</v>
      </c>
      <c r="B452" s="66" t="s">
        <v>203</v>
      </c>
      <c r="C452" s="51">
        <v>163634</v>
      </c>
      <c r="D452" s="51">
        <v>0</v>
      </c>
      <c r="E452" s="51">
        <v>0</v>
      </c>
      <c r="F452" s="51">
        <v>0</v>
      </c>
      <c r="G452" s="51">
        <v>0</v>
      </c>
      <c r="H452" s="51">
        <v>163634</v>
      </c>
      <c r="I452" s="51">
        <v>0</v>
      </c>
      <c r="J452" s="51">
        <v>163634</v>
      </c>
      <c r="K452" s="51">
        <v>0</v>
      </c>
      <c r="L452" s="51">
        <v>0</v>
      </c>
      <c r="M452" s="51">
        <v>0</v>
      </c>
      <c r="N452" s="51">
        <v>163634</v>
      </c>
    </row>
    <row r="453" spans="1:14" outlineLevel="2" x14ac:dyDescent="0.35">
      <c r="A453" s="82" t="s">
        <v>325</v>
      </c>
      <c r="B453" s="66" t="s">
        <v>202</v>
      </c>
      <c r="C453" s="51">
        <v>150515</v>
      </c>
      <c r="D453" s="51">
        <v>0</v>
      </c>
      <c r="E453" s="51">
        <v>0</v>
      </c>
      <c r="F453" s="51">
        <v>0</v>
      </c>
      <c r="G453" s="51">
        <v>0</v>
      </c>
      <c r="H453" s="51">
        <v>150515</v>
      </c>
      <c r="I453" s="51">
        <v>-150515</v>
      </c>
      <c r="J453" s="51">
        <v>0</v>
      </c>
      <c r="K453" s="51">
        <v>0</v>
      </c>
      <c r="L453" s="51">
        <v>0</v>
      </c>
      <c r="M453" s="51">
        <v>0</v>
      </c>
      <c r="N453" s="51">
        <v>0</v>
      </c>
    </row>
    <row r="454" spans="1:14" outlineLevel="2" x14ac:dyDescent="0.35">
      <c r="A454" s="82" t="s">
        <v>325</v>
      </c>
      <c r="B454" s="66" t="s">
        <v>201</v>
      </c>
      <c r="C454" s="51">
        <v>244113</v>
      </c>
      <c r="D454" s="51">
        <v>-2727</v>
      </c>
      <c r="E454" s="51">
        <v>0</v>
      </c>
      <c r="F454" s="51">
        <v>0</v>
      </c>
      <c r="G454" s="51">
        <v>0</v>
      </c>
      <c r="H454" s="51">
        <v>241386</v>
      </c>
      <c r="I454" s="51">
        <v>-241386</v>
      </c>
      <c r="J454" s="51">
        <v>0</v>
      </c>
      <c r="K454" s="51">
        <v>0</v>
      </c>
      <c r="L454" s="51">
        <v>0</v>
      </c>
      <c r="M454" s="51">
        <v>0</v>
      </c>
      <c r="N454" s="51">
        <v>0</v>
      </c>
    </row>
    <row r="455" spans="1:14" outlineLevel="2" x14ac:dyDescent="0.35">
      <c r="A455" s="82" t="s">
        <v>325</v>
      </c>
      <c r="B455" s="66" t="s">
        <v>200</v>
      </c>
      <c r="C455" s="51">
        <v>11773</v>
      </c>
      <c r="D455" s="51">
        <v>0</v>
      </c>
      <c r="E455" s="51">
        <v>0</v>
      </c>
      <c r="F455" s="51">
        <v>0</v>
      </c>
      <c r="G455" s="51">
        <v>0</v>
      </c>
      <c r="H455" s="51">
        <v>11773</v>
      </c>
      <c r="I455" s="51">
        <v>-11773</v>
      </c>
      <c r="J455" s="51">
        <v>0</v>
      </c>
      <c r="K455" s="51">
        <v>0</v>
      </c>
      <c r="L455" s="51">
        <v>0</v>
      </c>
      <c r="M455" s="51">
        <v>0</v>
      </c>
      <c r="N455" s="51">
        <v>0</v>
      </c>
    </row>
    <row r="456" spans="1:14" outlineLevel="2" x14ac:dyDescent="0.35">
      <c r="A456" s="82" t="s">
        <v>325</v>
      </c>
      <c r="B456" s="66" t="s">
        <v>199</v>
      </c>
      <c r="C456" s="51">
        <v>30022</v>
      </c>
      <c r="D456" s="51">
        <v>0</v>
      </c>
      <c r="E456" s="51">
        <v>0</v>
      </c>
      <c r="F456" s="51">
        <v>0</v>
      </c>
      <c r="G456" s="51">
        <v>0</v>
      </c>
      <c r="H456" s="51">
        <v>30022</v>
      </c>
      <c r="I456" s="51">
        <v>-30022</v>
      </c>
      <c r="J456" s="51">
        <v>0</v>
      </c>
      <c r="K456" s="51">
        <v>0</v>
      </c>
      <c r="L456" s="51">
        <v>0</v>
      </c>
      <c r="M456" s="51">
        <v>0</v>
      </c>
      <c r="N456" s="51">
        <v>0</v>
      </c>
    </row>
    <row r="457" spans="1:14" outlineLevel="1" x14ac:dyDescent="0.35">
      <c r="A457" s="82" t="s">
        <v>325</v>
      </c>
      <c r="B457" s="66" t="s">
        <v>198</v>
      </c>
      <c r="C457" s="51">
        <v>86938</v>
      </c>
      <c r="D457" s="51">
        <v>0</v>
      </c>
      <c r="E457" s="51">
        <v>0</v>
      </c>
      <c r="F457" s="51">
        <v>0</v>
      </c>
      <c r="G457" s="51">
        <v>0</v>
      </c>
      <c r="H457" s="51">
        <v>86938</v>
      </c>
      <c r="I457" s="51">
        <v>-86938</v>
      </c>
      <c r="J457" s="51">
        <v>0</v>
      </c>
      <c r="K457" s="51">
        <v>0</v>
      </c>
      <c r="L457" s="51">
        <v>0</v>
      </c>
      <c r="M457" s="51">
        <v>0</v>
      </c>
      <c r="N457" s="51">
        <v>0</v>
      </c>
    </row>
    <row r="458" spans="1:14" outlineLevel="1" x14ac:dyDescent="0.35">
      <c r="A458" s="82" t="s">
        <v>325</v>
      </c>
      <c r="B458" s="66" t="s">
        <v>197</v>
      </c>
      <c r="C458" s="51">
        <v>1693</v>
      </c>
      <c r="D458" s="51">
        <v>0</v>
      </c>
      <c r="E458" s="51">
        <v>0</v>
      </c>
      <c r="F458" s="51">
        <v>0</v>
      </c>
      <c r="G458" s="51">
        <v>0</v>
      </c>
      <c r="H458" s="51">
        <v>1693</v>
      </c>
      <c r="I458" s="51">
        <v>-1693</v>
      </c>
      <c r="J458" s="51">
        <v>0</v>
      </c>
      <c r="K458" s="51">
        <v>0</v>
      </c>
      <c r="L458" s="51">
        <v>0</v>
      </c>
      <c r="M458" s="51">
        <v>0</v>
      </c>
      <c r="N458" s="51">
        <v>0</v>
      </c>
    </row>
    <row r="459" spans="1:14" ht="16" outlineLevel="2" thickBot="1" x14ac:dyDescent="0.4">
      <c r="A459" s="50" t="s">
        <v>143</v>
      </c>
      <c r="B459" s="79" t="s">
        <v>12</v>
      </c>
      <c r="C459" s="48">
        <f>SUBTOTAL(109,Program266[(C)
Program
Costs])</f>
        <v>834868</v>
      </c>
      <c r="D459" s="48">
        <f>SUBTOTAL(109,Program266[(D)
Prior Period Adjustments])</f>
        <v>-2727</v>
      </c>
      <c r="E459" s="48">
        <f>SUBTOTAL(109,Program266[(E)
Current Period Desk 
Reviews])</f>
        <v>0</v>
      </c>
      <c r="F459" s="48">
        <f>SUBTOTAL(109,Program266[(F)
Current Period 
Final 
Audits])</f>
        <v>0</v>
      </c>
      <c r="G459" s="48">
        <f>SUBTOTAL(109,Program266[(G)
Current Period 
Other Adjustments])</f>
        <v>0</v>
      </c>
      <c r="H459" s="48">
        <f>SUBTOTAL(109,Program266[(H)
Net Program Costs
Sum (C through G)])</f>
        <v>832141</v>
      </c>
      <c r="I459" s="48">
        <f>SUBTOTAL(109,Program266[(I)
Payments
 and Offsets])</f>
        <v>-522327</v>
      </c>
      <c r="J459" s="48">
        <f>SUBTOTAL(109,Program266[(J)
Accounts Payable Balance
(H + I)])</f>
        <v>309814</v>
      </c>
      <c r="K459" s="48">
        <f>SUBTOTAL(109,Program266[(K)
Established 
Accounts Receivable])</f>
        <v>0</v>
      </c>
      <c r="L459" s="48">
        <f>SUBTOTAL(109,Program266[(L)
Recovered
 Accounts Receivable])</f>
        <v>0</v>
      </c>
      <c r="M459" s="48">
        <f>SUBTOTAL(109,Program266[(M)
Accounts Receivable Balance
(K + L)])</f>
        <v>0</v>
      </c>
      <c r="N459" s="48">
        <f>SUBTOTAL(109,Program266[(N)
Net Balance
(J minus M)])</f>
        <v>309814</v>
      </c>
    </row>
    <row r="460" spans="1:14" outlineLevel="2" x14ac:dyDescent="0.35">
      <c r="A460" s="63" t="s">
        <v>33</v>
      </c>
      <c r="B460" s="62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ht="77.5" outlineLevel="2" x14ac:dyDescent="0.35">
      <c r="A461" s="60" t="s">
        <v>185</v>
      </c>
      <c r="B461" s="59" t="s">
        <v>184</v>
      </c>
      <c r="C461" s="58" t="s">
        <v>183</v>
      </c>
      <c r="D461" s="58" t="s">
        <v>182</v>
      </c>
      <c r="E461" s="56" t="s">
        <v>181</v>
      </c>
      <c r="F461" s="56" t="s">
        <v>180</v>
      </c>
      <c r="G461" s="56" t="s">
        <v>179</v>
      </c>
      <c r="H461" s="57" t="s">
        <v>674</v>
      </c>
      <c r="I461" s="55" t="s">
        <v>178</v>
      </c>
      <c r="J461" s="55" t="s">
        <v>177</v>
      </c>
      <c r="K461" s="56" t="s">
        <v>176</v>
      </c>
      <c r="L461" s="55" t="s">
        <v>175</v>
      </c>
      <c r="M461" s="55" t="s">
        <v>174</v>
      </c>
      <c r="N461" s="54" t="s">
        <v>173</v>
      </c>
    </row>
    <row r="462" spans="1:14" ht="31" outlineLevel="2" x14ac:dyDescent="0.35">
      <c r="A462" s="70" t="s">
        <v>324</v>
      </c>
      <c r="B462" s="69" t="s">
        <v>215</v>
      </c>
      <c r="C462" s="68">
        <v>9533672</v>
      </c>
      <c r="D462" s="68">
        <v>0</v>
      </c>
      <c r="E462" s="68">
        <v>0</v>
      </c>
      <c r="F462" s="68">
        <v>0</v>
      </c>
      <c r="G462" s="68">
        <v>0</v>
      </c>
      <c r="H462" s="68">
        <v>9533672</v>
      </c>
      <c r="I462" s="68">
        <v>0</v>
      </c>
      <c r="J462" s="68">
        <v>9533672</v>
      </c>
      <c r="K462" s="68">
        <v>0</v>
      </c>
      <c r="L462" s="68">
        <v>0</v>
      </c>
      <c r="M462" s="68">
        <v>0</v>
      </c>
      <c r="N462" s="68">
        <v>9533672</v>
      </c>
    </row>
    <row r="463" spans="1:14" ht="31" outlineLevel="2" x14ac:dyDescent="0.35">
      <c r="A463" s="83" t="s">
        <v>324</v>
      </c>
      <c r="B463" s="69" t="s">
        <v>214</v>
      </c>
      <c r="C463" s="68">
        <v>9516500</v>
      </c>
      <c r="D463" s="68">
        <v>0</v>
      </c>
      <c r="E463" s="68">
        <v>-703</v>
      </c>
      <c r="F463" s="68">
        <v>0</v>
      </c>
      <c r="G463" s="68">
        <v>-32259</v>
      </c>
      <c r="H463" s="68">
        <v>9483538</v>
      </c>
      <c r="I463" s="68">
        <v>-9193226</v>
      </c>
      <c r="J463" s="68">
        <v>290312</v>
      </c>
      <c r="K463" s="68">
        <v>32867</v>
      </c>
      <c r="L463" s="68">
        <v>0</v>
      </c>
      <c r="M463" s="68">
        <v>32867</v>
      </c>
      <c r="N463" s="68">
        <v>257445</v>
      </c>
    </row>
    <row r="464" spans="1:14" ht="31" outlineLevel="2" x14ac:dyDescent="0.35">
      <c r="A464" s="83" t="s">
        <v>324</v>
      </c>
      <c r="B464" s="69" t="s">
        <v>212</v>
      </c>
      <c r="C464" s="68">
        <v>9001016</v>
      </c>
      <c r="D464" s="68">
        <v>-30090</v>
      </c>
      <c r="E464" s="68">
        <v>0</v>
      </c>
      <c r="F464" s="68">
        <v>-46814</v>
      </c>
      <c r="G464" s="68">
        <v>0</v>
      </c>
      <c r="H464" s="68">
        <v>8924112</v>
      </c>
      <c r="I464" s="68">
        <v>-8924112</v>
      </c>
      <c r="J464" s="68">
        <v>0</v>
      </c>
      <c r="K464" s="68">
        <v>49840</v>
      </c>
      <c r="L464" s="68">
        <v>-3026</v>
      </c>
      <c r="M464" s="68">
        <v>46814</v>
      </c>
      <c r="N464" s="68">
        <v>-46814</v>
      </c>
    </row>
    <row r="465" spans="1:14" ht="31" outlineLevel="2" x14ac:dyDescent="0.35">
      <c r="A465" s="83" t="s">
        <v>324</v>
      </c>
      <c r="B465" s="69" t="s">
        <v>220</v>
      </c>
      <c r="C465" s="68">
        <v>8565749</v>
      </c>
      <c r="D465" s="68">
        <v>-30031</v>
      </c>
      <c r="E465" s="68">
        <v>0</v>
      </c>
      <c r="F465" s="68">
        <v>-65229</v>
      </c>
      <c r="G465" s="68">
        <v>0</v>
      </c>
      <c r="H465" s="68">
        <v>8470489</v>
      </c>
      <c r="I465" s="68">
        <v>-8470489</v>
      </c>
      <c r="J465" s="68">
        <v>0</v>
      </c>
      <c r="K465" s="68">
        <v>139451</v>
      </c>
      <c r="L465" s="68">
        <v>-74222</v>
      </c>
      <c r="M465" s="68">
        <v>65229</v>
      </c>
      <c r="N465" s="68">
        <v>-65229</v>
      </c>
    </row>
    <row r="466" spans="1:14" ht="31" outlineLevel="2" x14ac:dyDescent="0.35">
      <c r="A466" s="83" t="s">
        <v>324</v>
      </c>
      <c r="B466" s="69" t="s">
        <v>219</v>
      </c>
      <c r="C466" s="68">
        <v>7943288</v>
      </c>
      <c r="D466" s="68">
        <v>229296</v>
      </c>
      <c r="E466" s="68">
        <v>0</v>
      </c>
      <c r="F466" s="68">
        <v>-58630</v>
      </c>
      <c r="G466" s="68">
        <v>0</v>
      </c>
      <c r="H466" s="68">
        <v>8113954</v>
      </c>
      <c r="I466" s="68">
        <v>-8113954</v>
      </c>
      <c r="J466" s="68">
        <v>0</v>
      </c>
      <c r="K466" s="68">
        <v>151955</v>
      </c>
      <c r="L466" s="68">
        <v>-93325</v>
      </c>
      <c r="M466" s="68">
        <v>58630</v>
      </c>
      <c r="N466" s="68">
        <v>-58630</v>
      </c>
    </row>
    <row r="467" spans="1:14" ht="31" outlineLevel="2" x14ac:dyDescent="0.35">
      <c r="A467" s="83" t="s">
        <v>324</v>
      </c>
      <c r="B467" s="69" t="s">
        <v>218</v>
      </c>
      <c r="C467" s="68">
        <v>7970114</v>
      </c>
      <c r="D467" s="68">
        <v>-59159</v>
      </c>
      <c r="E467" s="68">
        <v>0</v>
      </c>
      <c r="F467" s="68">
        <v>-84964</v>
      </c>
      <c r="G467" s="68">
        <v>0</v>
      </c>
      <c r="H467" s="68">
        <v>7825991</v>
      </c>
      <c r="I467" s="68">
        <v>-7825991</v>
      </c>
      <c r="J467" s="68">
        <v>0</v>
      </c>
      <c r="K467" s="68">
        <v>132637</v>
      </c>
      <c r="L467" s="68">
        <v>-47673</v>
      </c>
      <c r="M467" s="68">
        <v>84964</v>
      </c>
      <c r="N467" s="68">
        <v>-84964</v>
      </c>
    </row>
    <row r="468" spans="1:14" ht="31" outlineLevel="2" x14ac:dyDescent="0.35">
      <c r="A468" s="83" t="s">
        <v>324</v>
      </c>
      <c r="B468" s="69" t="s">
        <v>209</v>
      </c>
      <c r="C468" s="68">
        <v>7321159</v>
      </c>
      <c r="D468" s="68">
        <v>-208963</v>
      </c>
      <c r="E468" s="68">
        <v>0</v>
      </c>
      <c r="F468" s="68">
        <v>0</v>
      </c>
      <c r="G468" s="68">
        <v>0</v>
      </c>
      <c r="H468" s="68">
        <v>7112196</v>
      </c>
      <c r="I468" s="68">
        <v>-7112196</v>
      </c>
      <c r="J468" s="68">
        <v>0</v>
      </c>
      <c r="K468" s="68">
        <v>452661</v>
      </c>
      <c r="L468" s="68">
        <v>-452661</v>
      </c>
      <c r="M468" s="68">
        <v>0</v>
      </c>
      <c r="N468" s="68">
        <v>0</v>
      </c>
    </row>
    <row r="469" spans="1:14" ht="31" outlineLevel="2" x14ac:dyDescent="0.35">
      <c r="A469" s="83" t="s">
        <v>324</v>
      </c>
      <c r="B469" s="69" t="s">
        <v>208</v>
      </c>
      <c r="C469" s="68">
        <v>7422303</v>
      </c>
      <c r="D469" s="68">
        <v>-214362</v>
      </c>
      <c r="E469" s="68">
        <v>0</v>
      </c>
      <c r="F469" s="68">
        <v>0</v>
      </c>
      <c r="G469" s="68">
        <v>0</v>
      </c>
      <c r="H469" s="68">
        <v>7207941</v>
      </c>
      <c r="I469" s="68">
        <v>-7207941</v>
      </c>
      <c r="J469" s="68">
        <v>0</v>
      </c>
      <c r="K469" s="68">
        <v>307890</v>
      </c>
      <c r="L469" s="68">
        <v>-307890</v>
      </c>
      <c r="M469" s="68">
        <v>0</v>
      </c>
      <c r="N469" s="68">
        <v>0</v>
      </c>
    </row>
    <row r="470" spans="1:14" ht="31" outlineLevel="2" x14ac:dyDescent="0.35">
      <c r="A470" s="83" t="s">
        <v>324</v>
      </c>
      <c r="B470" s="69" t="s">
        <v>206</v>
      </c>
      <c r="C470" s="68">
        <v>7276141</v>
      </c>
      <c r="D470" s="68">
        <v>-765261</v>
      </c>
      <c r="E470" s="68">
        <v>0</v>
      </c>
      <c r="F470" s="68">
        <v>0</v>
      </c>
      <c r="G470" s="68">
        <v>0</v>
      </c>
      <c r="H470" s="68">
        <v>6510880</v>
      </c>
      <c r="I470" s="68">
        <v>-6510880</v>
      </c>
      <c r="J470" s="68">
        <v>0</v>
      </c>
      <c r="K470" s="68">
        <v>739054</v>
      </c>
      <c r="L470" s="68">
        <v>-739054</v>
      </c>
      <c r="M470" s="68">
        <v>0</v>
      </c>
      <c r="N470" s="68">
        <v>0</v>
      </c>
    </row>
    <row r="471" spans="1:14" ht="31" outlineLevel="2" x14ac:dyDescent="0.35">
      <c r="A471" s="83" t="s">
        <v>324</v>
      </c>
      <c r="B471" s="69" t="s">
        <v>205</v>
      </c>
      <c r="C471" s="68">
        <v>7326088</v>
      </c>
      <c r="D471" s="68">
        <v>-1254455</v>
      </c>
      <c r="E471" s="68">
        <v>0</v>
      </c>
      <c r="F471" s="68">
        <v>0</v>
      </c>
      <c r="G471" s="68">
        <v>0</v>
      </c>
      <c r="H471" s="68">
        <v>6071633</v>
      </c>
      <c r="I471" s="68">
        <v>-6071633</v>
      </c>
      <c r="J471" s="68">
        <v>0</v>
      </c>
      <c r="K471" s="68">
        <v>1303649</v>
      </c>
      <c r="L471" s="68">
        <v>-1303649</v>
      </c>
      <c r="M471" s="68">
        <v>0</v>
      </c>
      <c r="N471" s="68">
        <v>0</v>
      </c>
    </row>
    <row r="472" spans="1:14" ht="31" outlineLevel="2" x14ac:dyDescent="0.35">
      <c r="A472" s="83" t="s">
        <v>324</v>
      </c>
      <c r="B472" s="69" t="s">
        <v>204</v>
      </c>
      <c r="C472" s="68">
        <v>7475135</v>
      </c>
      <c r="D472" s="68">
        <v>-1439199</v>
      </c>
      <c r="E472" s="68">
        <v>0</v>
      </c>
      <c r="F472" s="68">
        <v>0</v>
      </c>
      <c r="G472" s="68">
        <v>0</v>
      </c>
      <c r="H472" s="68">
        <v>6035936</v>
      </c>
      <c r="I472" s="68">
        <v>-6035936</v>
      </c>
      <c r="J472" s="68">
        <v>0</v>
      </c>
      <c r="K472" s="68">
        <v>1512584</v>
      </c>
      <c r="L472" s="68">
        <v>-1512584</v>
      </c>
      <c r="M472" s="68">
        <v>0</v>
      </c>
      <c r="N472" s="68">
        <v>0</v>
      </c>
    </row>
    <row r="473" spans="1:14" ht="31" outlineLevel="2" x14ac:dyDescent="0.35">
      <c r="A473" s="83" t="s">
        <v>324</v>
      </c>
      <c r="B473" s="69" t="s">
        <v>203</v>
      </c>
      <c r="C473" s="68">
        <v>7619906</v>
      </c>
      <c r="D473" s="68">
        <v>-570658</v>
      </c>
      <c r="E473" s="68">
        <v>0</v>
      </c>
      <c r="F473" s="68">
        <v>0</v>
      </c>
      <c r="G473" s="68">
        <v>0</v>
      </c>
      <c r="H473" s="68">
        <v>7049248</v>
      </c>
      <c r="I473" s="68">
        <v>-7049248</v>
      </c>
      <c r="J473" s="68">
        <v>0</v>
      </c>
      <c r="K473" s="68">
        <v>558382</v>
      </c>
      <c r="L473" s="68">
        <v>-558382</v>
      </c>
      <c r="M473" s="68">
        <v>0</v>
      </c>
      <c r="N473" s="68">
        <v>0</v>
      </c>
    </row>
    <row r="474" spans="1:14" ht="31" outlineLevel="2" x14ac:dyDescent="0.35">
      <c r="A474" s="83" t="s">
        <v>324</v>
      </c>
      <c r="B474" s="69" t="s">
        <v>202</v>
      </c>
      <c r="C474" s="68">
        <v>7609420</v>
      </c>
      <c r="D474" s="68">
        <v>-561223</v>
      </c>
      <c r="E474" s="68">
        <v>0</v>
      </c>
      <c r="F474" s="68">
        <v>0</v>
      </c>
      <c r="G474" s="68">
        <v>0</v>
      </c>
      <c r="H474" s="68">
        <v>7048197</v>
      </c>
      <c r="I474" s="68">
        <v>-7048197</v>
      </c>
      <c r="J474" s="68">
        <v>0</v>
      </c>
      <c r="K474" s="68">
        <v>708807</v>
      </c>
      <c r="L474" s="68">
        <v>-708807</v>
      </c>
      <c r="M474" s="68">
        <v>0</v>
      </c>
      <c r="N474" s="68">
        <v>0</v>
      </c>
    </row>
    <row r="475" spans="1:14" ht="31" outlineLevel="2" x14ac:dyDescent="0.35">
      <c r="A475" s="83" t="s">
        <v>324</v>
      </c>
      <c r="B475" s="69" t="s">
        <v>201</v>
      </c>
      <c r="C475" s="68">
        <v>6930908</v>
      </c>
      <c r="D475" s="68">
        <v>-263490</v>
      </c>
      <c r="E475" s="68">
        <v>0</v>
      </c>
      <c r="F475" s="68">
        <v>0</v>
      </c>
      <c r="G475" s="68">
        <v>0</v>
      </c>
      <c r="H475" s="68">
        <v>6667418</v>
      </c>
      <c r="I475" s="68">
        <v>-6667418</v>
      </c>
      <c r="J475" s="68">
        <v>0</v>
      </c>
      <c r="K475" s="68">
        <v>275973</v>
      </c>
      <c r="L475" s="68">
        <v>-275973</v>
      </c>
      <c r="M475" s="68">
        <v>0</v>
      </c>
      <c r="N475" s="68">
        <v>0</v>
      </c>
    </row>
    <row r="476" spans="1:14" ht="31" outlineLevel="2" x14ac:dyDescent="0.35">
      <c r="A476" s="83" t="s">
        <v>324</v>
      </c>
      <c r="B476" s="69" t="s">
        <v>200</v>
      </c>
      <c r="C476" s="68">
        <v>6342552</v>
      </c>
      <c r="D476" s="68">
        <v>-200991</v>
      </c>
      <c r="E476" s="68">
        <v>0</v>
      </c>
      <c r="F476" s="68">
        <v>0</v>
      </c>
      <c r="G476" s="68">
        <v>0</v>
      </c>
      <c r="H476" s="68">
        <v>6141561</v>
      </c>
      <c r="I476" s="68">
        <v>-6141561</v>
      </c>
      <c r="J476" s="68">
        <v>0</v>
      </c>
      <c r="K476" s="68">
        <v>1110167</v>
      </c>
      <c r="L476" s="68">
        <v>-1110167</v>
      </c>
      <c r="M476" s="68">
        <v>0</v>
      </c>
      <c r="N476" s="68">
        <v>0</v>
      </c>
    </row>
    <row r="477" spans="1:14" ht="31" outlineLevel="2" x14ac:dyDescent="0.35">
      <c r="A477" s="83" t="s">
        <v>324</v>
      </c>
      <c r="B477" s="69" t="s">
        <v>199</v>
      </c>
      <c r="C477" s="68">
        <v>6284140</v>
      </c>
      <c r="D477" s="68">
        <v>-334463</v>
      </c>
      <c r="E477" s="68">
        <v>0</v>
      </c>
      <c r="F477" s="68">
        <v>0</v>
      </c>
      <c r="G477" s="68">
        <v>0</v>
      </c>
      <c r="H477" s="68">
        <v>5949677</v>
      </c>
      <c r="I477" s="68">
        <v>-5949677</v>
      </c>
      <c r="J477" s="68">
        <v>0</v>
      </c>
      <c r="K477" s="68">
        <v>0</v>
      </c>
      <c r="L477" s="68">
        <v>0</v>
      </c>
      <c r="M477" s="68">
        <v>0</v>
      </c>
      <c r="N477" s="68">
        <v>0</v>
      </c>
    </row>
    <row r="478" spans="1:14" ht="31" outlineLevel="2" x14ac:dyDescent="0.35">
      <c r="A478" s="83" t="s">
        <v>324</v>
      </c>
      <c r="B478" s="69" t="s">
        <v>198</v>
      </c>
      <c r="C478" s="68">
        <v>6328894</v>
      </c>
      <c r="D478" s="68">
        <v>-335501</v>
      </c>
      <c r="E478" s="68">
        <v>0</v>
      </c>
      <c r="F478" s="68">
        <v>0</v>
      </c>
      <c r="G478" s="68">
        <v>0</v>
      </c>
      <c r="H478" s="68">
        <v>5993393</v>
      </c>
      <c r="I478" s="68">
        <v>-5993393</v>
      </c>
      <c r="J478" s="68">
        <v>0</v>
      </c>
      <c r="K478" s="68">
        <v>34</v>
      </c>
      <c r="L478" s="68">
        <v>-34</v>
      </c>
      <c r="M478" s="68">
        <v>0</v>
      </c>
      <c r="N478" s="68">
        <v>0</v>
      </c>
    </row>
    <row r="479" spans="1:14" ht="31" outlineLevel="2" x14ac:dyDescent="0.35">
      <c r="A479" s="83" t="s">
        <v>324</v>
      </c>
      <c r="B479" s="69" t="s">
        <v>197</v>
      </c>
      <c r="C479" s="68">
        <v>6587173</v>
      </c>
      <c r="D479" s="68">
        <v>-263480</v>
      </c>
      <c r="E479" s="68">
        <v>0</v>
      </c>
      <c r="F479" s="68">
        <v>0</v>
      </c>
      <c r="G479" s="68">
        <v>0</v>
      </c>
      <c r="H479" s="68">
        <v>6323693</v>
      </c>
      <c r="I479" s="68">
        <v>-6323693</v>
      </c>
      <c r="J479" s="68">
        <v>0</v>
      </c>
      <c r="K479" s="68">
        <v>247050</v>
      </c>
      <c r="L479" s="68">
        <v>-247050</v>
      </c>
      <c r="M479" s="68">
        <v>0</v>
      </c>
      <c r="N479" s="68">
        <v>0</v>
      </c>
    </row>
    <row r="480" spans="1:14" ht="31" outlineLevel="1" x14ac:dyDescent="0.35">
      <c r="A480" s="83" t="s">
        <v>324</v>
      </c>
      <c r="B480" s="69" t="s">
        <v>196</v>
      </c>
      <c r="C480" s="68">
        <v>6401940</v>
      </c>
      <c r="D480" s="68">
        <v>-273016</v>
      </c>
      <c r="E480" s="68">
        <v>0</v>
      </c>
      <c r="F480" s="68">
        <v>0</v>
      </c>
      <c r="G480" s="68">
        <v>0</v>
      </c>
      <c r="H480" s="68">
        <v>6128924</v>
      </c>
      <c r="I480" s="68">
        <v>-6128924</v>
      </c>
      <c r="J480" s="68">
        <v>0</v>
      </c>
      <c r="K480" s="68">
        <v>662088</v>
      </c>
      <c r="L480" s="68">
        <v>-662088</v>
      </c>
      <c r="M480" s="68">
        <v>0</v>
      </c>
      <c r="N480" s="68">
        <v>0</v>
      </c>
    </row>
    <row r="481" spans="1:14" ht="31" outlineLevel="1" x14ac:dyDescent="0.35">
      <c r="A481" s="83" t="s">
        <v>324</v>
      </c>
      <c r="B481" s="69" t="s">
        <v>195</v>
      </c>
      <c r="C481" s="68">
        <v>6565773</v>
      </c>
      <c r="D481" s="68">
        <v>-157090</v>
      </c>
      <c r="E481" s="68">
        <v>0</v>
      </c>
      <c r="F481" s="68">
        <v>0</v>
      </c>
      <c r="G481" s="68">
        <v>0</v>
      </c>
      <c r="H481" s="68">
        <v>6408683</v>
      </c>
      <c r="I481" s="68">
        <v>-6408683</v>
      </c>
      <c r="J481" s="68">
        <v>0</v>
      </c>
      <c r="K481" s="68">
        <v>1129623</v>
      </c>
      <c r="L481" s="68">
        <v>-1129623</v>
      </c>
      <c r="M481" s="68">
        <v>0</v>
      </c>
      <c r="N481" s="68">
        <v>0</v>
      </c>
    </row>
    <row r="482" spans="1:14" ht="31" outlineLevel="1" x14ac:dyDescent="0.35">
      <c r="A482" s="83" t="s">
        <v>324</v>
      </c>
      <c r="B482" s="69" t="s">
        <v>194</v>
      </c>
      <c r="C482" s="68">
        <v>6800144</v>
      </c>
      <c r="D482" s="68">
        <v>-774455</v>
      </c>
      <c r="E482" s="68">
        <v>0</v>
      </c>
      <c r="F482" s="68">
        <v>0</v>
      </c>
      <c r="G482" s="68">
        <v>0</v>
      </c>
      <c r="H482" s="68">
        <v>6025689</v>
      </c>
      <c r="I482" s="68">
        <v>-6025689</v>
      </c>
      <c r="J482" s="68">
        <v>0</v>
      </c>
      <c r="K482" s="68">
        <v>934382</v>
      </c>
      <c r="L482" s="68">
        <v>-934382</v>
      </c>
      <c r="M482" s="68">
        <v>0</v>
      </c>
      <c r="N482" s="68">
        <v>0</v>
      </c>
    </row>
    <row r="483" spans="1:14" ht="31" outlineLevel="2" x14ac:dyDescent="0.35">
      <c r="A483" s="83" t="s">
        <v>324</v>
      </c>
      <c r="B483" s="69" t="s">
        <v>193</v>
      </c>
      <c r="C483" s="68">
        <v>6603014</v>
      </c>
      <c r="D483" s="68">
        <v>-546826</v>
      </c>
      <c r="E483" s="68">
        <v>0</v>
      </c>
      <c r="F483" s="68">
        <v>0</v>
      </c>
      <c r="G483" s="68">
        <v>0</v>
      </c>
      <c r="H483" s="68">
        <v>6056188</v>
      </c>
      <c r="I483" s="68">
        <v>-6056188</v>
      </c>
      <c r="J483" s="68">
        <v>0</v>
      </c>
      <c r="K483" s="68">
        <v>653924</v>
      </c>
      <c r="L483" s="68">
        <v>-653924</v>
      </c>
      <c r="M483" s="68">
        <v>0</v>
      </c>
      <c r="N483" s="68">
        <v>0</v>
      </c>
    </row>
    <row r="484" spans="1:14" ht="31" outlineLevel="2" x14ac:dyDescent="0.35">
      <c r="A484" s="83" t="s">
        <v>324</v>
      </c>
      <c r="B484" s="69" t="s">
        <v>192</v>
      </c>
      <c r="C484" s="68">
        <v>7691505</v>
      </c>
      <c r="D484" s="68">
        <v>-803847</v>
      </c>
      <c r="E484" s="68">
        <v>0</v>
      </c>
      <c r="F484" s="68">
        <v>0</v>
      </c>
      <c r="G484" s="68">
        <v>0</v>
      </c>
      <c r="H484" s="68">
        <v>6887658</v>
      </c>
      <c r="I484" s="68">
        <v>-6887658</v>
      </c>
      <c r="J484" s="68">
        <v>0</v>
      </c>
      <c r="K484" s="68">
        <v>845549</v>
      </c>
      <c r="L484" s="68">
        <v>-845549</v>
      </c>
      <c r="M484" s="68">
        <v>0</v>
      </c>
      <c r="N484" s="68">
        <v>0</v>
      </c>
    </row>
    <row r="485" spans="1:14" ht="31" outlineLevel="2" x14ac:dyDescent="0.35">
      <c r="A485" s="83" t="s">
        <v>324</v>
      </c>
      <c r="B485" s="69" t="s">
        <v>191</v>
      </c>
      <c r="C485" s="68">
        <v>3376910</v>
      </c>
      <c r="D485" s="68">
        <v>-332385</v>
      </c>
      <c r="E485" s="68">
        <v>0</v>
      </c>
      <c r="F485" s="68">
        <v>0</v>
      </c>
      <c r="G485" s="68">
        <v>0</v>
      </c>
      <c r="H485" s="68">
        <v>3044525</v>
      </c>
      <c r="I485" s="68">
        <v>-3044525</v>
      </c>
      <c r="J485" s="68">
        <v>0</v>
      </c>
      <c r="K485" s="68">
        <v>357646</v>
      </c>
      <c r="L485" s="68">
        <v>-357646</v>
      </c>
      <c r="M485" s="68">
        <v>0</v>
      </c>
      <c r="N485" s="68">
        <v>0</v>
      </c>
    </row>
    <row r="486" spans="1:14" outlineLevel="2" x14ac:dyDescent="0.35">
      <c r="A486" s="65" t="s">
        <v>142</v>
      </c>
      <c r="B486" s="81" t="s">
        <v>12</v>
      </c>
      <c r="C486" s="42">
        <f>SUBTOTAL(109,Program167[(C)
Program
Costs])</f>
        <v>174493444</v>
      </c>
      <c r="D486" s="42">
        <f>SUBTOTAL(109,Program167[(D)
Prior Period Adjustments])</f>
        <v>-9189649</v>
      </c>
      <c r="E486" s="42">
        <f>SUBTOTAL(109,Program167[(E)
Current Period Desk 
Reviews])</f>
        <v>-703</v>
      </c>
      <c r="F486" s="42">
        <f>SUBTOTAL(109,Program167[(F)
Current Period 
Final 
Audits])</f>
        <v>-255637</v>
      </c>
      <c r="G486" s="42">
        <f>SUBTOTAL(109,Program167[(G)
Current Period 
Other Adjustments])</f>
        <v>-32259</v>
      </c>
      <c r="H486" s="42">
        <f>SUBTOTAL(109,Program167[(H)
Net Program Costs
Sum (C through G)])</f>
        <v>165015196</v>
      </c>
      <c r="I486" s="42">
        <f>SUBTOTAL(109,Program167[(I)
Payments
 and Offsets])</f>
        <v>-155191212</v>
      </c>
      <c r="J486" s="42">
        <f>SUBTOTAL(109,Program167[(J)
Accounts Payable Balance
(H + I)])</f>
        <v>9823984</v>
      </c>
      <c r="K486" s="42">
        <f>SUBTOTAL(109,Program167[(K)
Established 
Accounts Receivable])</f>
        <v>12306213</v>
      </c>
      <c r="L486" s="42">
        <f>SUBTOTAL(109,Program167[(L)
Recovered
 Accounts Receivable])</f>
        <v>-12017709</v>
      </c>
      <c r="M486" s="42">
        <f>SUBTOTAL(109,Program167[(M)
Accounts Receivable Balance
(K + L)])</f>
        <v>288504</v>
      </c>
      <c r="N486" s="42">
        <f>SUBTOTAL(109,Program167[(N)
Net Balance
(J minus M)])</f>
        <v>9535480</v>
      </c>
    </row>
    <row r="487" spans="1:14" outlineLevel="2" x14ac:dyDescent="0.35">
      <c r="A487" s="63" t="s">
        <v>33</v>
      </c>
      <c r="B487" s="62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ht="77.5" outlineLevel="2" x14ac:dyDescent="0.35">
      <c r="A488" s="60" t="s">
        <v>185</v>
      </c>
      <c r="B488" s="59" t="s">
        <v>184</v>
      </c>
      <c r="C488" s="58" t="s">
        <v>183</v>
      </c>
      <c r="D488" s="58" t="s">
        <v>182</v>
      </c>
      <c r="E488" s="56" t="s">
        <v>181</v>
      </c>
      <c r="F488" s="56" t="s">
        <v>180</v>
      </c>
      <c r="G488" s="56" t="s">
        <v>179</v>
      </c>
      <c r="H488" s="57" t="s">
        <v>674</v>
      </c>
      <c r="I488" s="55" t="s">
        <v>178</v>
      </c>
      <c r="J488" s="55" t="s">
        <v>177</v>
      </c>
      <c r="K488" s="56" t="s">
        <v>176</v>
      </c>
      <c r="L488" s="55" t="s">
        <v>175</v>
      </c>
      <c r="M488" s="55" t="s">
        <v>174</v>
      </c>
      <c r="N488" s="54" t="s">
        <v>173</v>
      </c>
    </row>
    <row r="489" spans="1:14" ht="31" outlineLevel="2" x14ac:dyDescent="0.35">
      <c r="A489" s="70" t="s">
        <v>323</v>
      </c>
      <c r="B489" s="69" t="s">
        <v>215</v>
      </c>
      <c r="C489" s="68">
        <v>2376939</v>
      </c>
      <c r="D489" s="68">
        <v>0</v>
      </c>
      <c r="E489" s="68">
        <v>0</v>
      </c>
      <c r="F489" s="68">
        <v>0</v>
      </c>
      <c r="G489" s="68">
        <v>0</v>
      </c>
      <c r="H489" s="68">
        <v>2376939</v>
      </c>
      <c r="I489" s="68">
        <v>0</v>
      </c>
      <c r="J489" s="68">
        <v>2376939</v>
      </c>
      <c r="K489" s="68">
        <v>0</v>
      </c>
      <c r="L489" s="68">
        <v>0</v>
      </c>
      <c r="M489" s="68">
        <v>0</v>
      </c>
      <c r="N489" s="68">
        <v>2376939</v>
      </c>
    </row>
    <row r="490" spans="1:14" ht="31" outlineLevel="2" x14ac:dyDescent="0.35">
      <c r="A490" s="83" t="s">
        <v>323</v>
      </c>
      <c r="B490" s="69" t="s">
        <v>214</v>
      </c>
      <c r="C490" s="68">
        <v>2245294</v>
      </c>
      <c r="D490" s="68">
        <v>0</v>
      </c>
      <c r="E490" s="68">
        <v>0</v>
      </c>
      <c r="F490" s="68">
        <v>0</v>
      </c>
      <c r="G490" s="68">
        <v>-8279</v>
      </c>
      <c r="H490" s="68">
        <v>2237015</v>
      </c>
      <c r="I490" s="68">
        <v>-2162506</v>
      </c>
      <c r="J490" s="68">
        <v>74509</v>
      </c>
      <c r="K490" s="68">
        <v>234</v>
      </c>
      <c r="L490" s="68">
        <v>0</v>
      </c>
      <c r="M490" s="68">
        <v>234</v>
      </c>
      <c r="N490" s="68">
        <v>74275</v>
      </c>
    </row>
    <row r="491" spans="1:14" ht="31" outlineLevel="2" x14ac:dyDescent="0.35">
      <c r="A491" s="83" t="s">
        <v>323</v>
      </c>
      <c r="B491" s="69" t="s">
        <v>212</v>
      </c>
      <c r="C491" s="68">
        <v>2194813</v>
      </c>
      <c r="D491" s="68">
        <v>-6791</v>
      </c>
      <c r="E491" s="68">
        <v>0</v>
      </c>
      <c r="F491" s="68">
        <v>0</v>
      </c>
      <c r="G491" s="68">
        <v>0</v>
      </c>
      <c r="H491" s="68">
        <v>2188022</v>
      </c>
      <c r="I491" s="68">
        <v>-2188022</v>
      </c>
      <c r="J491" s="68">
        <v>0</v>
      </c>
      <c r="K491" s="68">
        <v>1211</v>
      </c>
      <c r="L491" s="68">
        <v>-711</v>
      </c>
      <c r="M491" s="68">
        <v>500</v>
      </c>
      <c r="N491" s="68">
        <v>-500</v>
      </c>
    </row>
    <row r="492" spans="1:14" ht="31" outlineLevel="2" x14ac:dyDescent="0.35">
      <c r="A492" s="83" t="s">
        <v>323</v>
      </c>
      <c r="B492" s="69" t="s">
        <v>220</v>
      </c>
      <c r="C492" s="68">
        <v>2093743</v>
      </c>
      <c r="D492" s="68">
        <v>-11848</v>
      </c>
      <c r="E492" s="68">
        <v>0</v>
      </c>
      <c r="F492" s="68">
        <v>0</v>
      </c>
      <c r="G492" s="68">
        <v>0</v>
      </c>
      <c r="H492" s="68">
        <v>2081895</v>
      </c>
      <c r="I492" s="68">
        <v>-2081895</v>
      </c>
      <c r="J492" s="68">
        <v>0</v>
      </c>
      <c r="K492" s="68">
        <v>0</v>
      </c>
      <c r="L492" s="68">
        <v>0</v>
      </c>
      <c r="M492" s="68">
        <v>0</v>
      </c>
      <c r="N492" s="68">
        <v>0</v>
      </c>
    </row>
    <row r="493" spans="1:14" ht="31" outlineLevel="2" x14ac:dyDescent="0.35">
      <c r="A493" s="83" t="s">
        <v>323</v>
      </c>
      <c r="B493" s="69" t="s">
        <v>219</v>
      </c>
      <c r="C493" s="68">
        <v>1967648</v>
      </c>
      <c r="D493" s="68">
        <v>84982</v>
      </c>
      <c r="E493" s="68">
        <v>0</v>
      </c>
      <c r="F493" s="68">
        <v>0</v>
      </c>
      <c r="G493" s="68">
        <v>0</v>
      </c>
      <c r="H493" s="68">
        <v>2052630</v>
      </c>
      <c r="I493" s="68">
        <v>-2052630</v>
      </c>
      <c r="J493" s="68">
        <v>0</v>
      </c>
      <c r="K493" s="68">
        <v>0</v>
      </c>
      <c r="L493" s="68">
        <v>0</v>
      </c>
      <c r="M493" s="68">
        <v>0</v>
      </c>
      <c r="N493" s="68">
        <v>0</v>
      </c>
    </row>
    <row r="494" spans="1:14" ht="31" outlineLevel="1" x14ac:dyDescent="0.35">
      <c r="A494" s="83" t="s">
        <v>323</v>
      </c>
      <c r="B494" s="69" t="s">
        <v>218</v>
      </c>
      <c r="C494" s="68">
        <v>1881553</v>
      </c>
      <c r="D494" s="68">
        <v>-1692</v>
      </c>
      <c r="E494" s="68">
        <v>0</v>
      </c>
      <c r="F494" s="68">
        <v>0</v>
      </c>
      <c r="G494" s="68">
        <v>0</v>
      </c>
      <c r="H494" s="68">
        <v>1879861</v>
      </c>
      <c r="I494" s="68">
        <v>-1879861</v>
      </c>
      <c r="J494" s="68">
        <v>0</v>
      </c>
      <c r="K494" s="68">
        <v>0</v>
      </c>
      <c r="L494" s="68">
        <v>0</v>
      </c>
      <c r="M494" s="68">
        <v>0</v>
      </c>
      <c r="N494" s="68">
        <v>0</v>
      </c>
    </row>
    <row r="495" spans="1:14" ht="31" outlineLevel="1" x14ac:dyDescent="0.35">
      <c r="A495" s="83" t="s">
        <v>323</v>
      </c>
      <c r="B495" s="69" t="s">
        <v>209</v>
      </c>
      <c r="C495" s="68">
        <v>1870537</v>
      </c>
      <c r="D495" s="68">
        <v>-2268</v>
      </c>
      <c r="E495" s="68">
        <v>0</v>
      </c>
      <c r="F495" s="68">
        <v>0</v>
      </c>
      <c r="G495" s="68">
        <v>0</v>
      </c>
      <c r="H495" s="68">
        <v>1868269</v>
      </c>
      <c r="I495" s="68">
        <v>-1868269</v>
      </c>
      <c r="J495" s="68">
        <v>0</v>
      </c>
      <c r="K495" s="68">
        <v>0</v>
      </c>
      <c r="L495" s="68">
        <v>0</v>
      </c>
      <c r="M495" s="68">
        <v>0</v>
      </c>
      <c r="N495" s="68">
        <v>0</v>
      </c>
    </row>
    <row r="496" spans="1:14" ht="31" outlineLevel="1" x14ac:dyDescent="0.35">
      <c r="A496" s="83" t="s">
        <v>323</v>
      </c>
      <c r="B496" s="69" t="s">
        <v>208</v>
      </c>
      <c r="C496" s="68">
        <v>1642240</v>
      </c>
      <c r="D496" s="68">
        <v>-10056</v>
      </c>
      <c r="E496" s="68">
        <v>0</v>
      </c>
      <c r="F496" s="68">
        <v>0</v>
      </c>
      <c r="G496" s="68">
        <v>0</v>
      </c>
      <c r="H496" s="68">
        <v>1632184</v>
      </c>
      <c r="I496" s="68">
        <v>-1632184</v>
      </c>
      <c r="J496" s="68">
        <v>0</v>
      </c>
      <c r="K496" s="68">
        <v>2400</v>
      </c>
      <c r="L496" s="68">
        <v>-2400</v>
      </c>
      <c r="M496" s="68">
        <v>0</v>
      </c>
      <c r="N496" s="68">
        <v>0</v>
      </c>
    </row>
    <row r="497" spans="1:14" ht="31" outlineLevel="2" x14ac:dyDescent="0.35">
      <c r="A497" s="83" t="s">
        <v>323</v>
      </c>
      <c r="B497" s="69" t="s">
        <v>206</v>
      </c>
      <c r="C497" s="68">
        <v>1535560</v>
      </c>
      <c r="D497" s="68">
        <v>-4554</v>
      </c>
      <c r="E497" s="68">
        <v>0</v>
      </c>
      <c r="F497" s="68">
        <v>0</v>
      </c>
      <c r="G497" s="68">
        <v>0</v>
      </c>
      <c r="H497" s="68">
        <v>1531006</v>
      </c>
      <c r="I497" s="68">
        <v>-1531006</v>
      </c>
      <c r="J497" s="68">
        <v>0</v>
      </c>
      <c r="K497" s="68">
        <v>0</v>
      </c>
      <c r="L497" s="68">
        <v>0</v>
      </c>
      <c r="M497" s="68">
        <v>0</v>
      </c>
      <c r="N497" s="68">
        <v>0</v>
      </c>
    </row>
    <row r="498" spans="1:14" ht="31" outlineLevel="2" x14ac:dyDescent="0.35">
      <c r="A498" s="83" t="s">
        <v>323</v>
      </c>
      <c r="B498" s="69" t="s">
        <v>205</v>
      </c>
      <c r="C498" s="68">
        <v>1394206</v>
      </c>
      <c r="D498" s="68">
        <v>-27701</v>
      </c>
      <c r="E498" s="68">
        <v>0</v>
      </c>
      <c r="F498" s="68">
        <v>0</v>
      </c>
      <c r="G498" s="68">
        <v>0</v>
      </c>
      <c r="H498" s="68">
        <v>1366505</v>
      </c>
      <c r="I498" s="68">
        <v>-1366505</v>
      </c>
      <c r="J498" s="68">
        <v>0</v>
      </c>
      <c r="K498" s="68">
        <v>7643</v>
      </c>
      <c r="L498" s="68">
        <v>-7643</v>
      </c>
      <c r="M498" s="68">
        <v>0</v>
      </c>
      <c r="N498" s="68">
        <v>0</v>
      </c>
    </row>
    <row r="499" spans="1:14" ht="31" outlineLevel="2" x14ac:dyDescent="0.35">
      <c r="A499" s="83" t="s">
        <v>323</v>
      </c>
      <c r="B499" s="69" t="s">
        <v>204</v>
      </c>
      <c r="C499" s="68">
        <v>1458693</v>
      </c>
      <c r="D499" s="68">
        <v>-109761</v>
      </c>
      <c r="E499" s="68">
        <v>0</v>
      </c>
      <c r="F499" s="68">
        <v>0</v>
      </c>
      <c r="G499" s="68">
        <v>0</v>
      </c>
      <c r="H499" s="68">
        <v>1348932</v>
      </c>
      <c r="I499" s="68">
        <v>-1348932</v>
      </c>
      <c r="J499" s="68">
        <v>0</v>
      </c>
      <c r="K499" s="68">
        <v>107865</v>
      </c>
      <c r="L499" s="68">
        <v>-107865</v>
      </c>
      <c r="M499" s="68">
        <v>0</v>
      </c>
      <c r="N499" s="68">
        <v>0</v>
      </c>
    </row>
    <row r="500" spans="1:14" ht="31" outlineLevel="2" x14ac:dyDescent="0.35">
      <c r="A500" s="83" t="s">
        <v>323</v>
      </c>
      <c r="B500" s="69" t="s">
        <v>203</v>
      </c>
      <c r="C500" s="68">
        <v>1367731</v>
      </c>
      <c r="D500" s="68">
        <v>-129157</v>
      </c>
      <c r="E500" s="68">
        <v>0</v>
      </c>
      <c r="F500" s="68">
        <v>0</v>
      </c>
      <c r="G500" s="68">
        <v>0</v>
      </c>
      <c r="H500" s="68">
        <v>1238574</v>
      </c>
      <c r="I500" s="68">
        <v>-1238574</v>
      </c>
      <c r="J500" s="68">
        <v>0</v>
      </c>
      <c r="K500" s="68">
        <v>120918</v>
      </c>
      <c r="L500" s="68">
        <v>-120918</v>
      </c>
      <c r="M500" s="68">
        <v>0</v>
      </c>
      <c r="N500" s="68">
        <v>0</v>
      </c>
    </row>
    <row r="501" spans="1:14" ht="31" outlineLevel="2" x14ac:dyDescent="0.35">
      <c r="A501" s="83" t="s">
        <v>323</v>
      </c>
      <c r="B501" s="69" t="s">
        <v>202</v>
      </c>
      <c r="C501" s="68">
        <v>1325897</v>
      </c>
      <c r="D501" s="68">
        <v>-8868</v>
      </c>
      <c r="E501" s="68">
        <v>0</v>
      </c>
      <c r="F501" s="68">
        <v>0</v>
      </c>
      <c r="G501" s="68">
        <v>0</v>
      </c>
      <c r="H501" s="68">
        <v>1317029</v>
      </c>
      <c r="I501" s="68">
        <v>-1317029</v>
      </c>
      <c r="J501" s="68">
        <v>0</v>
      </c>
      <c r="K501" s="68">
        <v>5433</v>
      </c>
      <c r="L501" s="68">
        <v>-5433</v>
      </c>
      <c r="M501" s="68">
        <v>0</v>
      </c>
      <c r="N501" s="68">
        <v>0</v>
      </c>
    </row>
    <row r="502" spans="1:14" ht="31" outlineLevel="2" x14ac:dyDescent="0.35">
      <c r="A502" s="83" t="s">
        <v>323</v>
      </c>
      <c r="B502" s="69" t="s">
        <v>201</v>
      </c>
      <c r="C502" s="68">
        <v>1256143</v>
      </c>
      <c r="D502" s="68">
        <v>-4960</v>
      </c>
      <c r="E502" s="68">
        <v>0</v>
      </c>
      <c r="F502" s="68">
        <v>0</v>
      </c>
      <c r="G502" s="68">
        <v>0</v>
      </c>
      <c r="H502" s="68">
        <v>1251183</v>
      </c>
      <c r="I502" s="68">
        <v>-1251183</v>
      </c>
      <c r="J502" s="68">
        <v>0</v>
      </c>
      <c r="K502" s="68">
        <v>0</v>
      </c>
      <c r="L502" s="68">
        <v>0</v>
      </c>
      <c r="M502" s="68">
        <v>0</v>
      </c>
      <c r="N502" s="68">
        <v>0</v>
      </c>
    </row>
    <row r="503" spans="1:14" ht="31" outlineLevel="1" x14ac:dyDescent="0.35">
      <c r="A503" s="83" t="s">
        <v>323</v>
      </c>
      <c r="B503" s="69" t="s">
        <v>200</v>
      </c>
      <c r="C503" s="68">
        <v>1096656</v>
      </c>
      <c r="D503" s="68">
        <v>-3110</v>
      </c>
      <c r="E503" s="68">
        <v>0</v>
      </c>
      <c r="F503" s="68">
        <v>0</v>
      </c>
      <c r="G503" s="68">
        <v>0</v>
      </c>
      <c r="H503" s="68">
        <v>1093546</v>
      </c>
      <c r="I503" s="68">
        <v>-1093546</v>
      </c>
      <c r="J503" s="68">
        <v>0</v>
      </c>
      <c r="K503" s="68">
        <v>0</v>
      </c>
      <c r="L503" s="68">
        <v>0</v>
      </c>
      <c r="M503" s="68">
        <v>0</v>
      </c>
      <c r="N503" s="68">
        <v>0</v>
      </c>
    </row>
    <row r="504" spans="1:14" ht="31" outlineLevel="1" x14ac:dyDescent="0.35">
      <c r="A504" s="83" t="s">
        <v>323</v>
      </c>
      <c r="B504" s="69" t="s">
        <v>199</v>
      </c>
      <c r="C504" s="68">
        <v>1030425</v>
      </c>
      <c r="D504" s="68">
        <v>-5424</v>
      </c>
      <c r="E504" s="68">
        <v>0</v>
      </c>
      <c r="F504" s="68">
        <v>0</v>
      </c>
      <c r="G504" s="68">
        <v>0</v>
      </c>
      <c r="H504" s="68">
        <v>1025001</v>
      </c>
      <c r="I504" s="68">
        <v>-1025001</v>
      </c>
      <c r="J504" s="68">
        <v>0</v>
      </c>
      <c r="K504" s="68">
        <v>0</v>
      </c>
      <c r="L504" s="68">
        <v>0</v>
      </c>
      <c r="M504" s="68">
        <v>0</v>
      </c>
      <c r="N504" s="68">
        <v>0</v>
      </c>
    </row>
    <row r="505" spans="1:14" ht="31" outlineLevel="1" x14ac:dyDescent="0.35">
      <c r="A505" s="83" t="s">
        <v>323</v>
      </c>
      <c r="B505" s="69" t="s">
        <v>198</v>
      </c>
      <c r="C505" s="68">
        <v>940633</v>
      </c>
      <c r="D505" s="68">
        <v>-4343</v>
      </c>
      <c r="E505" s="68">
        <v>0</v>
      </c>
      <c r="F505" s="68">
        <v>0</v>
      </c>
      <c r="G505" s="68">
        <v>0</v>
      </c>
      <c r="H505" s="68">
        <v>936290</v>
      </c>
      <c r="I505" s="68">
        <v>-936290</v>
      </c>
      <c r="J505" s="68">
        <v>0</v>
      </c>
      <c r="K505" s="68">
        <v>0</v>
      </c>
      <c r="L505" s="68">
        <v>0</v>
      </c>
      <c r="M505" s="68">
        <v>0</v>
      </c>
      <c r="N505" s="68">
        <v>0</v>
      </c>
    </row>
    <row r="506" spans="1:14" ht="31" outlineLevel="2" x14ac:dyDescent="0.35">
      <c r="A506" s="83" t="s">
        <v>323</v>
      </c>
      <c r="B506" s="69" t="s">
        <v>197</v>
      </c>
      <c r="C506" s="68">
        <v>878282</v>
      </c>
      <c r="D506" s="68">
        <v>-4503</v>
      </c>
      <c r="E506" s="68">
        <v>0</v>
      </c>
      <c r="F506" s="68">
        <v>0</v>
      </c>
      <c r="G506" s="68">
        <v>0</v>
      </c>
      <c r="H506" s="68">
        <v>873779</v>
      </c>
      <c r="I506" s="68">
        <v>-873779</v>
      </c>
      <c r="J506" s="68">
        <v>0</v>
      </c>
      <c r="K506" s="68">
        <v>0</v>
      </c>
      <c r="L506" s="68">
        <v>0</v>
      </c>
      <c r="M506" s="68">
        <v>0</v>
      </c>
      <c r="N506" s="68">
        <v>0</v>
      </c>
    </row>
    <row r="507" spans="1:14" ht="31" outlineLevel="2" x14ac:dyDescent="0.35">
      <c r="A507" s="83" t="s">
        <v>323</v>
      </c>
      <c r="B507" s="69" t="s">
        <v>196</v>
      </c>
      <c r="C507" s="68">
        <v>794975</v>
      </c>
      <c r="D507" s="68">
        <v>-5556</v>
      </c>
      <c r="E507" s="68">
        <v>0</v>
      </c>
      <c r="F507" s="68">
        <v>0</v>
      </c>
      <c r="G507" s="68">
        <v>0</v>
      </c>
      <c r="H507" s="68">
        <v>789419</v>
      </c>
      <c r="I507" s="68">
        <v>-789419</v>
      </c>
      <c r="J507" s="68">
        <v>0</v>
      </c>
      <c r="K507" s="68">
        <v>0</v>
      </c>
      <c r="L507" s="68">
        <v>0</v>
      </c>
      <c r="M507" s="68">
        <v>0</v>
      </c>
      <c r="N507" s="68">
        <v>0</v>
      </c>
    </row>
    <row r="508" spans="1:14" ht="31" outlineLevel="1" x14ac:dyDescent="0.35">
      <c r="A508" s="83" t="s">
        <v>323</v>
      </c>
      <c r="B508" s="69" t="s">
        <v>195</v>
      </c>
      <c r="C508" s="68">
        <v>702303</v>
      </c>
      <c r="D508" s="68">
        <v>-8185</v>
      </c>
      <c r="E508" s="68">
        <v>0</v>
      </c>
      <c r="F508" s="68">
        <v>0</v>
      </c>
      <c r="G508" s="68">
        <v>0</v>
      </c>
      <c r="H508" s="68">
        <v>694118</v>
      </c>
      <c r="I508" s="68">
        <v>-694118</v>
      </c>
      <c r="J508" s="68">
        <v>0</v>
      </c>
      <c r="K508" s="68">
        <v>0</v>
      </c>
      <c r="L508" s="68">
        <v>0</v>
      </c>
      <c r="M508" s="68">
        <v>0</v>
      </c>
      <c r="N508" s="68">
        <v>0</v>
      </c>
    </row>
    <row r="509" spans="1:14" ht="31" outlineLevel="1" x14ac:dyDescent="0.35">
      <c r="A509" s="83" t="s">
        <v>323</v>
      </c>
      <c r="B509" s="69" t="s">
        <v>194</v>
      </c>
      <c r="C509" s="68">
        <v>292553</v>
      </c>
      <c r="D509" s="68">
        <v>-4498</v>
      </c>
      <c r="E509" s="68">
        <v>0</v>
      </c>
      <c r="F509" s="68">
        <v>0</v>
      </c>
      <c r="G509" s="68">
        <v>0</v>
      </c>
      <c r="H509" s="68">
        <v>288055</v>
      </c>
      <c r="I509" s="68">
        <v>-288055</v>
      </c>
      <c r="J509" s="68">
        <v>0</v>
      </c>
      <c r="K509" s="68">
        <v>0</v>
      </c>
      <c r="L509" s="68">
        <v>0</v>
      </c>
      <c r="M509" s="68">
        <v>0</v>
      </c>
      <c r="N509" s="68">
        <v>0</v>
      </c>
    </row>
    <row r="510" spans="1:14" outlineLevel="2" x14ac:dyDescent="0.35">
      <c r="A510" s="65" t="s">
        <v>141</v>
      </c>
      <c r="B510" s="81" t="s">
        <v>12</v>
      </c>
      <c r="C510" s="42">
        <f>SUBTOTAL(109,Program274[(C)
Program
Costs])</f>
        <v>30346824</v>
      </c>
      <c r="D510" s="42">
        <f>SUBTOTAL(109,Program274[(D)
Prior Period Adjustments])</f>
        <v>-268293</v>
      </c>
      <c r="E510" s="42">
        <f>SUBTOTAL(109,Program274[(E)
Current Period Desk 
Reviews])</f>
        <v>0</v>
      </c>
      <c r="F510" s="42">
        <f>SUBTOTAL(109,Program274[(F)
Current Period 
Final 
Audits])</f>
        <v>0</v>
      </c>
      <c r="G510" s="42">
        <f>SUBTOTAL(109,Program274[(G)
Current Period 
Other Adjustments])</f>
        <v>-8279</v>
      </c>
      <c r="H510" s="42">
        <f>SUBTOTAL(109,Program274[(H)
Net Program Costs
Sum (C through G)])</f>
        <v>30070252</v>
      </c>
      <c r="I510" s="42">
        <f>SUBTOTAL(109,Program274[(I)
Payments
 and Offsets])</f>
        <v>-27618804</v>
      </c>
      <c r="J510" s="42">
        <f>SUBTOTAL(109,Program274[(J)
Accounts Payable Balance
(H + I)])</f>
        <v>2451448</v>
      </c>
      <c r="K510" s="42">
        <f>SUBTOTAL(109,Program274[(K)
Established 
Accounts Receivable])</f>
        <v>245704</v>
      </c>
      <c r="L510" s="42">
        <f>SUBTOTAL(109,Program274[(L)
Recovered
 Accounts Receivable])</f>
        <v>-244970</v>
      </c>
      <c r="M510" s="42">
        <f>SUBTOTAL(109,Program274[(M)
Accounts Receivable Balance
(K + L)])</f>
        <v>734</v>
      </c>
      <c r="N510" s="42">
        <f>SUBTOTAL(109,Program274[(N)
Net Balance
(J minus M)])</f>
        <v>2450714</v>
      </c>
    </row>
    <row r="511" spans="1:14" outlineLevel="2" x14ac:dyDescent="0.35">
      <c r="A511" s="63" t="s">
        <v>33</v>
      </c>
      <c r="B511" s="62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ht="77.5" outlineLevel="2" x14ac:dyDescent="0.35">
      <c r="A512" s="60" t="s">
        <v>185</v>
      </c>
      <c r="B512" s="59" t="s">
        <v>184</v>
      </c>
      <c r="C512" s="58" t="s">
        <v>183</v>
      </c>
      <c r="D512" s="58" t="s">
        <v>182</v>
      </c>
      <c r="E512" s="56" t="s">
        <v>181</v>
      </c>
      <c r="F512" s="56" t="s">
        <v>180</v>
      </c>
      <c r="G512" s="56" t="s">
        <v>179</v>
      </c>
      <c r="H512" s="57" t="s">
        <v>674</v>
      </c>
      <c r="I512" s="55" t="s">
        <v>178</v>
      </c>
      <c r="J512" s="55" t="s">
        <v>177</v>
      </c>
      <c r="K512" s="56" t="s">
        <v>176</v>
      </c>
      <c r="L512" s="55" t="s">
        <v>175</v>
      </c>
      <c r="M512" s="55" t="s">
        <v>174</v>
      </c>
      <c r="N512" s="54" t="s">
        <v>173</v>
      </c>
    </row>
    <row r="513" spans="1:14" outlineLevel="2" x14ac:dyDescent="0.35">
      <c r="A513" s="53" t="s">
        <v>322</v>
      </c>
      <c r="B513" s="66" t="s">
        <v>209</v>
      </c>
      <c r="C513" s="51">
        <v>1408612</v>
      </c>
      <c r="D513" s="51">
        <v>-244951</v>
      </c>
      <c r="E513" s="51">
        <v>0</v>
      </c>
      <c r="F513" s="51">
        <v>-155672</v>
      </c>
      <c r="G513" s="51">
        <v>0</v>
      </c>
      <c r="H513" s="51">
        <v>1007989</v>
      </c>
      <c r="I513" s="51">
        <v>0</v>
      </c>
      <c r="J513" s="51">
        <v>1007989</v>
      </c>
      <c r="K513" s="51">
        <v>0</v>
      </c>
      <c r="L513" s="51">
        <v>0</v>
      </c>
      <c r="M513" s="51">
        <v>0</v>
      </c>
      <c r="N513" s="51">
        <v>1007989</v>
      </c>
    </row>
    <row r="514" spans="1:14" outlineLevel="2" x14ac:dyDescent="0.35">
      <c r="A514" s="82" t="s">
        <v>322</v>
      </c>
      <c r="B514" s="66" t="s">
        <v>208</v>
      </c>
      <c r="C514" s="51">
        <v>2269994</v>
      </c>
      <c r="D514" s="51">
        <v>-834809</v>
      </c>
      <c r="E514" s="51">
        <v>0</v>
      </c>
      <c r="F514" s="51">
        <v>-179551</v>
      </c>
      <c r="G514" s="51">
        <v>0</v>
      </c>
      <c r="H514" s="51">
        <v>1255634</v>
      </c>
      <c r="I514" s="51">
        <v>0</v>
      </c>
      <c r="J514" s="51">
        <v>1255634</v>
      </c>
      <c r="K514" s="51">
        <v>0</v>
      </c>
      <c r="L514" s="51">
        <v>0</v>
      </c>
      <c r="M514" s="51">
        <v>0</v>
      </c>
      <c r="N514" s="51">
        <v>1255634</v>
      </c>
    </row>
    <row r="515" spans="1:14" outlineLevel="2" x14ac:dyDescent="0.35">
      <c r="A515" s="82" t="s">
        <v>322</v>
      </c>
      <c r="B515" s="66" t="s">
        <v>206</v>
      </c>
      <c r="C515" s="51">
        <v>2343977</v>
      </c>
      <c r="D515" s="51">
        <v>-809080</v>
      </c>
      <c r="E515" s="51">
        <v>0</v>
      </c>
      <c r="F515" s="51">
        <v>-262270</v>
      </c>
      <c r="G515" s="51">
        <v>0</v>
      </c>
      <c r="H515" s="51">
        <v>1272627</v>
      </c>
      <c r="I515" s="51">
        <v>0</v>
      </c>
      <c r="J515" s="51">
        <v>1272627</v>
      </c>
      <c r="K515" s="51">
        <v>0</v>
      </c>
      <c r="L515" s="51">
        <v>0</v>
      </c>
      <c r="M515" s="51">
        <v>0</v>
      </c>
      <c r="N515" s="51">
        <v>1272627</v>
      </c>
    </row>
    <row r="516" spans="1:14" outlineLevel="1" x14ac:dyDescent="0.35">
      <c r="A516" s="82" t="s">
        <v>322</v>
      </c>
      <c r="B516" s="66" t="s">
        <v>205</v>
      </c>
      <c r="C516" s="51">
        <v>1994828</v>
      </c>
      <c r="D516" s="51">
        <v>-565850</v>
      </c>
      <c r="E516" s="51">
        <v>0</v>
      </c>
      <c r="F516" s="51">
        <v>-345026</v>
      </c>
      <c r="G516" s="51">
        <v>0</v>
      </c>
      <c r="H516" s="51">
        <v>1083952</v>
      </c>
      <c r="I516" s="51">
        <v>0</v>
      </c>
      <c r="J516" s="51">
        <v>1083952</v>
      </c>
      <c r="K516" s="51">
        <v>0</v>
      </c>
      <c r="L516" s="51">
        <v>0</v>
      </c>
      <c r="M516" s="51">
        <v>0</v>
      </c>
      <c r="N516" s="51">
        <v>1083952</v>
      </c>
    </row>
    <row r="517" spans="1:14" outlineLevel="1" x14ac:dyDescent="0.35">
      <c r="A517" s="82" t="s">
        <v>322</v>
      </c>
      <c r="B517" s="66" t="s">
        <v>204</v>
      </c>
      <c r="C517" s="51">
        <v>2219596</v>
      </c>
      <c r="D517" s="51">
        <v>-817875</v>
      </c>
      <c r="E517" s="51">
        <v>0</v>
      </c>
      <c r="F517" s="51">
        <v>-295694</v>
      </c>
      <c r="G517" s="51">
        <v>0</v>
      </c>
      <c r="H517" s="51">
        <v>1106027</v>
      </c>
      <c r="I517" s="51">
        <v>0</v>
      </c>
      <c r="J517" s="51">
        <v>1106027</v>
      </c>
      <c r="K517" s="51">
        <v>0</v>
      </c>
      <c r="L517" s="51">
        <v>0</v>
      </c>
      <c r="M517" s="51">
        <v>0</v>
      </c>
      <c r="N517" s="51">
        <v>1106027</v>
      </c>
    </row>
    <row r="518" spans="1:14" outlineLevel="1" x14ac:dyDescent="0.35">
      <c r="A518" s="82" t="s">
        <v>322</v>
      </c>
      <c r="B518" s="66" t="s">
        <v>203</v>
      </c>
      <c r="C518" s="51">
        <v>2061441</v>
      </c>
      <c r="D518" s="51">
        <v>-719426</v>
      </c>
      <c r="E518" s="51">
        <v>0</v>
      </c>
      <c r="F518" s="51">
        <v>-283689</v>
      </c>
      <c r="G518" s="51">
        <v>0</v>
      </c>
      <c r="H518" s="51">
        <v>1058326</v>
      </c>
      <c r="I518" s="51">
        <v>0</v>
      </c>
      <c r="J518" s="51">
        <v>1058326</v>
      </c>
      <c r="K518" s="51">
        <v>0</v>
      </c>
      <c r="L518" s="51">
        <v>0</v>
      </c>
      <c r="M518" s="51">
        <v>0</v>
      </c>
      <c r="N518" s="51">
        <v>1058326</v>
      </c>
    </row>
    <row r="519" spans="1:14" outlineLevel="2" x14ac:dyDescent="0.35">
      <c r="A519" s="82" t="s">
        <v>322</v>
      </c>
      <c r="B519" s="66" t="s">
        <v>202</v>
      </c>
      <c r="C519" s="51">
        <v>1728052</v>
      </c>
      <c r="D519" s="51">
        <v>-510764</v>
      </c>
      <c r="E519" s="51">
        <v>0</v>
      </c>
      <c r="F519" s="51">
        <v>-233714</v>
      </c>
      <c r="G519" s="51">
        <v>0</v>
      </c>
      <c r="H519" s="51">
        <v>983574</v>
      </c>
      <c r="I519" s="51">
        <v>0</v>
      </c>
      <c r="J519" s="51">
        <v>983574</v>
      </c>
      <c r="K519" s="51">
        <v>0</v>
      </c>
      <c r="L519" s="51">
        <v>0</v>
      </c>
      <c r="M519" s="51">
        <v>0</v>
      </c>
      <c r="N519" s="51">
        <v>983574</v>
      </c>
    </row>
    <row r="520" spans="1:14" outlineLevel="2" x14ac:dyDescent="0.35">
      <c r="A520" s="82" t="s">
        <v>322</v>
      </c>
      <c r="B520" s="66" t="s">
        <v>201</v>
      </c>
      <c r="C520" s="51">
        <v>1524802</v>
      </c>
      <c r="D520" s="51">
        <v>-332128</v>
      </c>
      <c r="E520" s="51">
        <v>0</v>
      </c>
      <c r="F520" s="51">
        <v>-229154</v>
      </c>
      <c r="G520" s="51">
        <v>0</v>
      </c>
      <c r="H520" s="51">
        <v>963520</v>
      </c>
      <c r="I520" s="51">
        <v>0</v>
      </c>
      <c r="J520" s="51">
        <v>963520</v>
      </c>
      <c r="K520" s="51">
        <v>0</v>
      </c>
      <c r="L520" s="51">
        <v>0</v>
      </c>
      <c r="M520" s="51">
        <v>0</v>
      </c>
      <c r="N520" s="51">
        <v>963520</v>
      </c>
    </row>
    <row r="521" spans="1:14" outlineLevel="2" x14ac:dyDescent="0.35">
      <c r="A521" s="82" t="s">
        <v>322</v>
      </c>
      <c r="B521" s="66" t="s">
        <v>200</v>
      </c>
      <c r="C521" s="51">
        <v>1407570</v>
      </c>
      <c r="D521" s="51">
        <v>-305354</v>
      </c>
      <c r="E521" s="51">
        <v>0</v>
      </c>
      <c r="F521" s="51">
        <v>-199240</v>
      </c>
      <c r="G521" s="51">
        <v>0</v>
      </c>
      <c r="H521" s="51">
        <v>902976</v>
      </c>
      <c r="I521" s="51">
        <v>0</v>
      </c>
      <c r="J521" s="51">
        <v>902976</v>
      </c>
      <c r="K521" s="51">
        <v>0</v>
      </c>
      <c r="L521" s="51">
        <v>0</v>
      </c>
      <c r="M521" s="51">
        <v>0</v>
      </c>
      <c r="N521" s="51">
        <v>902976</v>
      </c>
    </row>
    <row r="522" spans="1:14" outlineLevel="2" x14ac:dyDescent="0.35">
      <c r="A522" s="82" t="s">
        <v>322</v>
      </c>
      <c r="B522" s="66" t="s">
        <v>199</v>
      </c>
      <c r="C522" s="51">
        <v>1560040</v>
      </c>
      <c r="D522" s="51">
        <v>-429973</v>
      </c>
      <c r="E522" s="51">
        <v>0</v>
      </c>
      <c r="F522" s="51">
        <v>-182485</v>
      </c>
      <c r="G522" s="51">
        <v>0</v>
      </c>
      <c r="H522" s="51">
        <v>947582</v>
      </c>
      <c r="I522" s="51">
        <v>0</v>
      </c>
      <c r="J522" s="51">
        <v>947582</v>
      </c>
      <c r="K522" s="51">
        <v>0</v>
      </c>
      <c r="L522" s="51">
        <v>0</v>
      </c>
      <c r="M522" s="51">
        <v>0</v>
      </c>
      <c r="N522" s="51">
        <v>947582</v>
      </c>
    </row>
    <row r="523" spans="1:14" outlineLevel="2" x14ac:dyDescent="0.35">
      <c r="A523" s="82" t="s">
        <v>322</v>
      </c>
      <c r="B523" s="66" t="s">
        <v>198</v>
      </c>
      <c r="C523" s="51">
        <v>1593012</v>
      </c>
      <c r="D523" s="51">
        <v>-530935</v>
      </c>
      <c r="E523" s="51">
        <v>0</v>
      </c>
      <c r="F523" s="51">
        <v>-185420</v>
      </c>
      <c r="G523" s="51">
        <v>0</v>
      </c>
      <c r="H523" s="51">
        <v>876657</v>
      </c>
      <c r="I523" s="51">
        <v>0</v>
      </c>
      <c r="J523" s="51">
        <v>876657</v>
      </c>
      <c r="K523" s="51">
        <v>0</v>
      </c>
      <c r="L523" s="51">
        <v>0</v>
      </c>
      <c r="M523" s="51">
        <v>0</v>
      </c>
      <c r="N523" s="51">
        <v>876657</v>
      </c>
    </row>
    <row r="524" spans="1:14" outlineLevel="2" x14ac:dyDescent="0.35">
      <c r="A524" s="82" t="s">
        <v>322</v>
      </c>
      <c r="B524" s="66" t="s">
        <v>197</v>
      </c>
      <c r="C524" s="51">
        <v>631483</v>
      </c>
      <c r="D524" s="51">
        <v>-152039</v>
      </c>
      <c r="E524" s="51">
        <v>0</v>
      </c>
      <c r="F524" s="51">
        <v>-11014</v>
      </c>
      <c r="G524" s="51">
        <v>0</v>
      </c>
      <c r="H524" s="51">
        <v>468430</v>
      </c>
      <c r="I524" s="51">
        <v>0</v>
      </c>
      <c r="J524" s="51">
        <v>468430</v>
      </c>
      <c r="K524" s="51">
        <v>0</v>
      </c>
      <c r="L524" s="51">
        <v>0</v>
      </c>
      <c r="M524" s="51">
        <v>0</v>
      </c>
      <c r="N524" s="51">
        <v>468430</v>
      </c>
    </row>
    <row r="525" spans="1:14" outlineLevel="1" x14ac:dyDescent="0.35">
      <c r="A525" s="65" t="s">
        <v>140</v>
      </c>
      <c r="B525" s="81" t="s">
        <v>12</v>
      </c>
      <c r="C525" s="42">
        <f>SUBTOTAL(109,Program322[(C)
Program
Costs])</f>
        <v>20743407</v>
      </c>
      <c r="D525" s="42">
        <f>SUBTOTAL(109,Program322[(D)
Prior Period Adjustments])</f>
        <v>-6253184</v>
      </c>
      <c r="E525" s="42">
        <f>SUBTOTAL(109,Program322[(E)
Current Period Desk 
Reviews])</f>
        <v>0</v>
      </c>
      <c r="F525" s="42">
        <f>SUBTOTAL(109,Program322[(F)
Current Period 
Final 
Audits])</f>
        <v>-2562929</v>
      </c>
      <c r="G525" s="42">
        <f>SUBTOTAL(109,Program322[(G)
Current Period 
Other Adjustments])</f>
        <v>0</v>
      </c>
      <c r="H525" s="42">
        <f>SUBTOTAL(109,Program322[(H)
Net Program Costs
Sum (C through G)])</f>
        <v>11927294</v>
      </c>
      <c r="I525" s="42">
        <f>SUBTOTAL(109,Program322[(I)
Payments
 and Offsets])</f>
        <v>0</v>
      </c>
      <c r="J525" s="42">
        <f>SUBTOTAL(109,Program322[(J)
Accounts Payable Balance
(H + I)])</f>
        <v>11927294</v>
      </c>
      <c r="K525" s="42">
        <f>SUBTOTAL(109,Program322[(K)
Established 
Accounts Receivable])</f>
        <v>0</v>
      </c>
      <c r="L525" s="42">
        <f>SUBTOTAL(109,Program322[(L)
Recovered
 Accounts Receivable])</f>
        <v>0</v>
      </c>
      <c r="M525" s="42">
        <f>SUBTOTAL(109,Program322[(M)
Accounts Receivable Balance
(K + L)])</f>
        <v>0</v>
      </c>
      <c r="N525" s="42">
        <f>SUBTOTAL(109,Program322[(N)
Net Balance
(J minus M)])</f>
        <v>11927294</v>
      </c>
    </row>
    <row r="526" spans="1:14" outlineLevel="1" x14ac:dyDescent="0.35">
      <c r="A526" s="63" t="s">
        <v>33</v>
      </c>
      <c r="B526" s="62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ht="77.5" outlineLevel="2" x14ac:dyDescent="0.35">
      <c r="A527" s="60" t="s">
        <v>185</v>
      </c>
      <c r="B527" s="59" t="s">
        <v>184</v>
      </c>
      <c r="C527" s="58" t="s">
        <v>183</v>
      </c>
      <c r="D527" s="58" t="s">
        <v>182</v>
      </c>
      <c r="E527" s="56" t="s">
        <v>181</v>
      </c>
      <c r="F527" s="56" t="s">
        <v>180</v>
      </c>
      <c r="G527" s="56" t="s">
        <v>179</v>
      </c>
      <c r="H527" s="57" t="s">
        <v>674</v>
      </c>
      <c r="I527" s="55" t="s">
        <v>178</v>
      </c>
      <c r="J527" s="55" t="s">
        <v>177</v>
      </c>
      <c r="K527" s="56" t="s">
        <v>176</v>
      </c>
      <c r="L527" s="55" t="s">
        <v>175</v>
      </c>
      <c r="M527" s="55" t="s">
        <v>174</v>
      </c>
      <c r="N527" s="54" t="s">
        <v>173</v>
      </c>
    </row>
    <row r="528" spans="1:14" outlineLevel="2" x14ac:dyDescent="0.35">
      <c r="A528" s="53" t="s">
        <v>321</v>
      </c>
      <c r="B528" s="66" t="s">
        <v>191</v>
      </c>
      <c r="C528" s="51">
        <v>1507037</v>
      </c>
      <c r="D528" s="51">
        <v>-357052</v>
      </c>
      <c r="E528" s="51">
        <v>0</v>
      </c>
      <c r="F528" s="51">
        <v>0</v>
      </c>
      <c r="G528" s="51">
        <v>0</v>
      </c>
      <c r="H528" s="51">
        <v>1149985</v>
      </c>
      <c r="I528" s="51">
        <v>-1149985</v>
      </c>
      <c r="J528" s="51">
        <v>0</v>
      </c>
      <c r="K528" s="51">
        <v>428568</v>
      </c>
      <c r="L528" s="51">
        <v>-428568</v>
      </c>
      <c r="M528" s="51">
        <v>0</v>
      </c>
      <c r="N528" s="51">
        <v>0</v>
      </c>
    </row>
    <row r="529" spans="1:14" outlineLevel="2" x14ac:dyDescent="0.35">
      <c r="A529" s="82" t="s">
        <v>321</v>
      </c>
      <c r="B529" s="66" t="s">
        <v>190</v>
      </c>
      <c r="C529" s="51">
        <v>3691694</v>
      </c>
      <c r="D529" s="51">
        <v>0</v>
      </c>
      <c r="E529" s="51">
        <v>0</v>
      </c>
      <c r="F529" s="51">
        <v>0</v>
      </c>
      <c r="G529" s="51">
        <v>0</v>
      </c>
      <c r="H529" s="51">
        <v>3691694</v>
      </c>
      <c r="I529" s="51">
        <v>-3691694</v>
      </c>
      <c r="J529" s="51">
        <v>0</v>
      </c>
      <c r="K529" s="51">
        <v>0</v>
      </c>
      <c r="L529" s="51">
        <v>0</v>
      </c>
      <c r="M529" s="51">
        <v>0</v>
      </c>
      <c r="N529" s="51">
        <v>0</v>
      </c>
    </row>
    <row r="530" spans="1:14" outlineLevel="2" x14ac:dyDescent="0.35">
      <c r="A530" s="82" t="s">
        <v>321</v>
      </c>
      <c r="B530" s="66" t="s">
        <v>189</v>
      </c>
      <c r="C530" s="51">
        <v>3291079</v>
      </c>
      <c r="D530" s="51">
        <v>0</v>
      </c>
      <c r="E530" s="51">
        <v>0</v>
      </c>
      <c r="F530" s="51">
        <v>0</v>
      </c>
      <c r="G530" s="51">
        <v>0</v>
      </c>
      <c r="H530" s="51">
        <v>3291079</v>
      </c>
      <c r="I530" s="51">
        <v>-3291079</v>
      </c>
      <c r="J530" s="51">
        <v>0</v>
      </c>
      <c r="K530" s="51">
        <v>7922</v>
      </c>
      <c r="L530" s="51">
        <v>-7922</v>
      </c>
      <c r="M530" s="51">
        <v>0</v>
      </c>
      <c r="N530" s="51">
        <v>0</v>
      </c>
    </row>
    <row r="531" spans="1:14" outlineLevel="2" x14ac:dyDescent="0.35">
      <c r="A531" s="82" t="s">
        <v>321</v>
      </c>
      <c r="B531" s="66" t="s">
        <v>188</v>
      </c>
      <c r="C531" s="51">
        <v>2983166</v>
      </c>
      <c r="D531" s="51">
        <v>-340554</v>
      </c>
      <c r="E531" s="51">
        <v>0</v>
      </c>
      <c r="F531" s="51">
        <v>0</v>
      </c>
      <c r="G531" s="51">
        <v>0</v>
      </c>
      <c r="H531" s="51">
        <v>2642612</v>
      </c>
      <c r="I531" s="51">
        <v>-2642612</v>
      </c>
      <c r="J531" s="51">
        <v>0</v>
      </c>
      <c r="K531" s="51">
        <v>9029</v>
      </c>
      <c r="L531" s="51">
        <v>-9029</v>
      </c>
      <c r="M531" s="51">
        <v>0</v>
      </c>
      <c r="N531" s="51">
        <v>0</v>
      </c>
    </row>
    <row r="532" spans="1:14" outlineLevel="2" x14ac:dyDescent="0.35">
      <c r="A532" s="82" t="s">
        <v>321</v>
      </c>
      <c r="B532" s="66" t="s">
        <v>186</v>
      </c>
      <c r="C532" s="51">
        <v>2914621</v>
      </c>
      <c r="D532" s="51">
        <v>-308531</v>
      </c>
      <c r="E532" s="51">
        <v>0</v>
      </c>
      <c r="F532" s="51">
        <v>0</v>
      </c>
      <c r="G532" s="51">
        <v>0</v>
      </c>
      <c r="H532" s="51">
        <v>2606090</v>
      </c>
      <c r="I532" s="51">
        <v>-2606090</v>
      </c>
      <c r="J532" s="51">
        <v>0</v>
      </c>
      <c r="K532" s="51">
        <v>0</v>
      </c>
      <c r="L532" s="51">
        <v>0</v>
      </c>
      <c r="M532" s="51">
        <v>0</v>
      </c>
      <c r="N532" s="51">
        <v>0</v>
      </c>
    </row>
    <row r="533" spans="1:14" outlineLevel="2" x14ac:dyDescent="0.35">
      <c r="A533" s="82" t="s">
        <v>321</v>
      </c>
      <c r="B533" s="66" t="s">
        <v>227</v>
      </c>
      <c r="C533" s="51">
        <v>78824</v>
      </c>
      <c r="D533" s="51">
        <v>0</v>
      </c>
      <c r="E533" s="51">
        <v>0</v>
      </c>
      <c r="F533" s="51">
        <v>0</v>
      </c>
      <c r="G533" s="51">
        <v>0</v>
      </c>
      <c r="H533" s="51">
        <v>78824</v>
      </c>
      <c r="I533" s="51">
        <v>-78824</v>
      </c>
      <c r="J533" s="51">
        <v>0</v>
      </c>
      <c r="K533" s="51">
        <v>75657</v>
      </c>
      <c r="L533" s="51">
        <v>-75657</v>
      </c>
      <c r="M533" s="51">
        <v>0</v>
      </c>
      <c r="N533" s="51">
        <v>0</v>
      </c>
    </row>
    <row r="534" spans="1:14" outlineLevel="2" x14ac:dyDescent="0.35">
      <c r="A534" s="65" t="s">
        <v>139</v>
      </c>
      <c r="B534" s="81" t="s">
        <v>12</v>
      </c>
      <c r="C534" s="42">
        <f>SUBTOTAL(109,Program16[(C)
Program
Costs])</f>
        <v>14466421</v>
      </c>
      <c r="D534" s="42">
        <f>SUBTOTAL(109,Program16[(D)
Prior Period Adjustments])</f>
        <v>-1006137</v>
      </c>
      <c r="E534" s="42">
        <f>SUBTOTAL(109,Program16[(E)
Current Period Desk 
Reviews])</f>
        <v>0</v>
      </c>
      <c r="F534" s="42">
        <f>SUBTOTAL(109,Program16[(F)
Current Period 
Final 
Audits])</f>
        <v>0</v>
      </c>
      <c r="G534" s="42">
        <f>SUBTOTAL(109,Program16[(G)
Current Period 
Other Adjustments])</f>
        <v>0</v>
      </c>
      <c r="H534" s="42">
        <f>SUBTOTAL(109,Program16[(H)
Net Program Costs
Sum (C through G)])</f>
        <v>13460284</v>
      </c>
      <c r="I534" s="42">
        <f>SUBTOTAL(109,Program16[(I)
Payments
 and Offsets])</f>
        <v>-13460284</v>
      </c>
      <c r="J534" s="42">
        <f>SUBTOTAL(109,Program16[(J)
Accounts Payable Balance
(H + I)])</f>
        <v>0</v>
      </c>
      <c r="K534" s="42">
        <f>SUBTOTAL(109,Program16[(K)
Established 
Accounts Receivable])</f>
        <v>521176</v>
      </c>
      <c r="L534" s="42">
        <f>SUBTOTAL(109,Program16[(L)
Recovered
 Accounts Receivable])</f>
        <v>-521176</v>
      </c>
      <c r="M534" s="42">
        <f>SUBTOTAL(109,Program16[(M)
Accounts Receivable Balance
(K + L)])</f>
        <v>0</v>
      </c>
      <c r="N534" s="42">
        <f>SUBTOTAL(109,Program16[(N)
Net Balance
(J minus M)])</f>
        <v>0</v>
      </c>
    </row>
    <row r="535" spans="1:14" outlineLevel="2" x14ac:dyDescent="0.35">
      <c r="A535" s="63" t="s">
        <v>33</v>
      </c>
      <c r="B535" s="62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ht="77.5" outlineLevel="2" x14ac:dyDescent="0.35">
      <c r="A536" s="60" t="s">
        <v>185</v>
      </c>
      <c r="B536" s="59" t="s">
        <v>184</v>
      </c>
      <c r="C536" s="58" t="s">
        <v>183</v>
      </c>
      <c r="D536" s="58" t="s">
        <v>182</v>
      </c>
      <c r="E536" s="56" t="s">
        <v>181</v>
      </c>
      <c r="F536" s="56" t="s">
        <v>180</v>
      </c>
      <c r="G536" s="56" t="s">
        <v>179</v>
      </c>
      <c r="H536" s="57" t="s">
        <v>674</v>
      </c>
      <c r="I536" s="55" t="s">
        <v>178</v>
      </c>
      <c r="J536" s="55" t="s">
        <v>177</v>
      </c>
      <c r="K536" s="56" t="s">
        <v>176</v>
      </c>
      <c r="L536" s="55" t="s">
        <v>175</v>
      </c>
      <c r="M536" s="55" t="s">
        <v>174</v>
      </c>
      <c r="N536" s="54" t="s">
        <v>173</v>
      </c>
    </row>
    <row r="537" spans="1:14" ht="31" outlineLevel="2" x14ac:dyDescent="0.35">
      <c r="A537" s="70" t="s">
        <v>320</v>
      </c>
      <c r="B537" s="69" t="s">
        <v>192</v>
      </c>
      <c r="C537" s="68">
        <v>1439249</v>
      </c>
      <c r="D537" s="68">
        <v>-240</v>
      </c>
      <c r="E537" s="68">
        <v>0</v>
      </c>
      <c r="F537" s="68">
        <v>0</v>
      </c>
      <c r="G537" s="68">
        <v>0</v>
      </c>
      <c r="H537" s="68">
        <v>1439009</v>
      </c>
      <c r="I537" s="68">
        <v>-1439009</v>
      </c>
      <c r="J537" s="68">
        <v>0</v>
      </c>
      <c r="K537" s="68">
        <v>158</v>
      </c>
      <c r="L537" s="68">
        <v>-158</v>
      </c>
      <c r="M537" s="68">
        <v>0</v>
      </c>
      <c r="N537" s="68">
        <v>0</v>
      </c>
    </row>
    <row r="538" spans="1:14" ht="31" outlineLevel="2" x14ac:dyDescent="0.35">
      <c r="A538" s="83" t="s">
        <v>320</v>
      </c>
      <c r="B538" s="69" t="s">
        <v>191</v>
      </c>
      <c r="C538" s="68">
        <v>1069087</v>
      </c>
      <c r="D538" s="68">
        <v>0</v>
      </c>
      <c r="E538" s="68">
        <v>0</v>
      </c>
      <c r="F538" s="68">
        <v>0</v>
      </c>
      <c r="G538" s="68">
        <v>0</v>
      </c>
      <c r="H538" s="68">
        <v>1069087</v>
      </c>
      <c r="I538" s="68">
        <v>-1069087</v>
      </c>
      <c r="J538" s="68">
        <v>0</v>
      </c>
      <c r="K538" s="68">
        <v>0</v>
      </c>
      <c r="L538" s="68">
        <v>0</v>
      </c>
      <c r="M538" s="68">
        <v>0</v>
      </c>
      <c r="N538" s="68">
        <v>0</v>
      </c>
    </row>
    <row r="539" spans="1:14" outlineLevel="2" x14ac:dyDescent="0.35">
      <c r="A539" s="65" t="s">
        <v>138</v>
      </c>
      <c r="B539" s="81" t="s">
        <v>12</v>
      </c>
      <c r="C539" s="42">
        <f>SUBTOTAL(109,Program159[(C)
Program
Costs])</f>
        <v>2508336</v>
      </c>
      <c r="D539" s="42">
        <f>SUBTOTAL(109,Program159[(D)
Prior Period Adjustments])</f>
        <v>-240</v>
      </c>
      <c r="E539" s="42">
        <f>SUBTOTAL(109,Program159[(E)
Current Period Desk 
Reviews])</f>
        <v>0</v>
      </c>
      <c r="F539" s="42">
        <f>SUBTOTAL(109,Program159[(F)
Current Period 
Final 
Audits])</f>
        <v>0</v>
      </c>
      <c r="G539" s="42">
        <f>SUBTOTAL(109,Program159[(G)
Current Period 
Other Adjustments])</f>
        <v>0</v>
      </c>
      <c r="H539" s="42">
        <f>SUBTOTAL(109,Program159[(H)
Net Program Costs
Sum (C through G)])</f>
        <v>2508096</v>
      </c>
      <c r="I539" s="42">
        <f>SUBTOTAL(109,Program159[(I)
Payments
 and Offsets])</f>
        <v>-2508096</v>
      </c>
      <c r="J539" s="42">
        <f>SUBTOTAL(109,Program159[(J)
Accounts Payable Balance
(H + I)])</f>
        <v>0</v>
      </c>
      <c r="K539" s="42">
        <f>SUBTOTAL(109,Program159[(K)
Established 
Accounts Receivable])</f>
        <v>158</v>
      </c>
      <c r="L539" s="42">
        <f>SUBTOTAL(109,Program159[(L)
Recovered
 Accounts Receivable])</f>
        <v>-158</v>
      </c>
      <c r="M539" s="42">
        <f>SUBTOTAL(109,Program159[(M)
Accounts Receivable Balance
(K + L)])</f>
        <v>0</v>
      </c>
      <c r="N539" s="42">
        <f>SUBTOTAL(109,Program159[(N)
Net Balance
(J minus M)])</f>
        <v>0</v>
      </c>
    </row>
    <row r="540" spans="1:14" outlineLevel="2" x14ac:dyDescent="0.35">
      <c r="A540" s="63" t="s">
        <v>33</v>
      </c>
      <c r="B540" s="62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ht="77.5" outlineLevel="2" x14ac:dyDescent="0.35">
      <c r="A541" s="60" t="s">
        <v>185</v>
      </c>
      <c r="B541" s="59" t="s">
        <v>184</v>
      </c>
      <c r="C541" s="58" t="s">
        <v>183</v>
      </c>
      <c r="D541" s="58" t="s">
        <v>182</v>
      </c>
      <c r="E541" s="56" t="s">
        <v>181</v>
      </c>
      <c r="F541" s="56" t="s">
        <v>180</v>
      </c>
      <c r="G541" s="56" t="s">
        <v>179</v>
      </c>
      <c r="H541" s="57" t="s">
        <v>674</v>
      </c>
      <c r="I541" s="55" t="s">
        <v>178</v>
      </c>
      <c r="J541" s="55" t="s">
        <v>177</v>
      </c>
      <c r="K541" s="56" t="s">
        <v>176</v>
      </c>
      <c r="L541" s="55" t="s">
        <v>175</v>
      </c>
      <c r="M541" s="55" t="s">
        <v>174</v>
      </c>
      <c r="N541" s="54" t="s">
        <v>173</v>
      </c>
    </row>
    <row r="542" spans="1:14" outlineLevel="2" x14ac:dyDescent="0.35">
      <c r="A542" s="53" t="s">
        <v>319</v>
      </c>
      <c r="B542" s="66" t="s">
        <v>194</v>
      </c>
      <c r="C542" s="51">
        <v>1913202</v>
      </c>
      <c r="D542" s="51">
        <v>-5143</v>
      </c>
      <c r="E542" s="51">
        <v>0</v>
      </c>
      <c r="F542" s="51">
        <v>0</v>
      </c>
      <c r="G542" s="51">
        <v>0</v>
      </c>
      <c r="H542" s="51">
        <v>1908059</v>
      </c>
      <c r="I542" s="51">
        <v>-1908059</v>
      </c>
      <c r="J542" s="51">
        <v>0</v>
      </c>
      <c r="K542" s="51">
        <v>0</v>
      </c>
      <c r="L542" s="51">
        <v>0</v>
      </c>
      <c r="M542" s="51">
        <v>0</v>
      </c>
      <c r="N542" s="51">
        <v>0</v>
      </c>
    </row>
    <row r="543" spans="1:14" outlineLevel="2" x14ac:dyDescent="0.35">
      <c r="A543" s="82" t="s">
        <v>319</v>
      </c>
      <c r="B543" s="66" t="s">
        <v>193</v>
      </c>
      <c r="C543" s="51">
        <v>1791992</v>
      </c>
      <c r="D543" s="51">
        <v>-8011</v>
      </c>
      <c r="E543" s="51">
        <v>0</v>
      </c>
      <c r="F543" s="51">
        <v>0</v>
      </c>
      <c r="G543" s="51">
        <v>0</v>
      </c>
      <c r="H543" s="51">
        <v>1783981</v>
      </c>
      <c r="I543" s="51">
        <v>-1783981</v>
      </c>
      <c r="J543" s="51">
        <v>0</v>
      </c>
      <c r="K543" s="51">
        <v>0</v>
      </c>
      <c r="L543" s="51">
        <v>0</v>
      </c>
      <c r="M543" s="51">
        <v>0</v>
      </c>
      <c r="N543" s="51">
        <v>0</v>
      </c>
    </row>
    <row r="544" spans="1:14" outlineLevel="2" x14ac:dyDescent="0.35">
      <c r="A544" s="82" t="s">
        <v>319</v>
      </c>
      <c r="B544" s="66" t="s">
        <v>188</v>
      </c>
      <c r="C544" s="51">
        <v>1555473</v>
      </c>
      <c r="D544" s="51">
        <v>-6772</v>
      </c>
      <c r="E544" s="51">
        <v>0</v>
      </c>
      <c r="F544" s="51">
        <v>0</v>
      </c>
      <c r="G544" s="51">
        <v>0</v>
      </c>
      <c r="H544" s="51">
        <v>1548701</v>
      </c>
      <c r="I544" s="51">
        <v>-1548701</v>
      </c>
      <c r="J544" s="51">
        <v>0</v>
      </c>
      <c r="K544" s="51">
        <v>0</v>
      </c>
      <c r="L544" s="51">
        <v>0</v>
      </c>
      <c r="M544" s="51">
        <v>0</v>
      </c>
      <c r="N544" s="51">
        <v>0</v>
      </c>
    </row>
    <row r="545" spans="1:14" outlineLevel="2" x14ac:dyDescent="0.35">
      <c r="A545" s="82" t="s">
        <v>319</v>
      </c>
      <c r="B545" s="66" t="s">
        <v>186</v>
      </c>
      <c r="C545" s="51">
        <v>7901407</v>
      </c>
      <c r="D545" s="51">
        <v>-311732</v>
      </c>
      <c r="E545" s="51">
        <v>0</v>
      </c>
      <c r="F545" s="51">
        <v>0</v>
      </c>
      <c r="G545" s="51">
        <v>0</v>
      </c>
      <c r="H545" s="51">
        <v>7589675</v>
      </c>
      <c r="I545" s="51">
        <v>-7589675</v>
      </c>
      <c r="J545" s="51">
        <v>0</v>
      </c>
      <c r="K545" s="51">
        <v>290736</v>
      </c>
      <c r="L545" s="51">
        <v>-290736</v>
      </c>
      <c r="M545" s="51">
        <v>0</v>
      </c>
      <c r="N545" s="51">
        <v>0</v>
      </c>
    </row>
    <row r="546" spans="1:14" outlineLevel="2" x14ac:dyDescent="0.35">
      <c r="A546" s="82" t="s">
        <v>319</v>
      </c>
      <c r="B546" s="66" t="s">
        <v>227</v>
      </c>
      <c r="C546" s="51">
        <v>0</v>
      </c>
      <c r="D546" s="51">
        <v>0</v>
      </c>
      <c r="E546" s="51">
        <v>0</v>
      </c>
      <c r="F546" s="51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86053</v>
      </c>
      <c r="L546" s="51">
        <v>-86053</v>
      </c>
      <c r="M546" s="51">
        <v>0</v>
      </c>
      <c r="N546" s="51">
        <v>0</v>
      </c>
    </row>
    <row r="547" spans="1:14" outlineLevel="2" x14ac:dyDescent="0.35">
      <c r="A547" s="82" t="s">
        <v>319</v>
      </c>
      <c r="B547" s="66" t="s">
        <v>225</v>
      </c>
      <c r="C547" s="51">
        <v>0</v>
      </c>
      <c r="D547" s="51">
        <v>0</v>
      </c>
      <c r="E547" s="51">
        <v>0</v>
      </c>
      <c r="F547" s="51">
        <v>0</v>
      </c>
      <c r="G547" s="51">
        <v>0</v>
      </c>
      <c r="H547" s="51">
        <v>0</v>
      </c>
      <c r="I547" s="51">
        <v>0</v>
      </c>
      <c r="J547" s="51">
        <v>0</v>
      </c>
      <c r="K547" s="51">
        <v>2356</v>
      </c>
      <c r="L547" s="51">
        <v>-2356</v>
      </c>
      <c r="M547" s="51">
        <v>0</v>
      </c>
      <c r="N547" s="51">
        <v>0</v>
      </c>
    </row>
    <row r="548" spans="1:14" outlineLevel="1" x14ac:dyDescent="0.35">
      <c r="A548" s="65" t="s">
        <v>137</v>
      </c>
      <c r="B548" s="81" t="s">
        <v>12</v>
      </c>
      <c r="C548" s="42">
        <f>SUBTOTAL(109,Program15[(C)
Program
Costs])</f>
        <v>13162074</v>
      </c>
      <c r="D548" s="42">
        <f>SUBTOTAL(109,Program15[(D)
Prior Period Adjustments])</f>
        <v>-331658</v>
      </c>
      <c r="E548" s="42">
        <f>SUBTOTAL(109,Program15[(E)
Current Period Desk 
Reviews])</f>
        <v>0</v>
      </c>
      <c r="F548" s="42">
        <f>SUBTOTAL(109,Program15[(F)
Current Period 
Final 
Audits])</f>
        <v>0</v>
      </c>
      <c r="G548" s="42">
        <f>SUBTOTAL(109,Program15[(G)
Current Period 
Other Adjustments])</f>
        <v>0</v>
      </c>
      <c r="H548" s="42">
        <f>SUBTOTAL(109,Program15[(H)
Net Program Costs
Sum (C through G)])</f>
        <v>12830416</v>
      </c>
      <c r="I548" s="42">
        <f>SUBTOTAL(109,Program15[(I)
Payments
 and Offsets])</f>
        <v>-12830416</v>
      </c>
      <c r="J548" s="42">
        <f>SUBTOTAL(109,Program15[(J)
Accounts Payable Balance
(H + I)])</f>
        <v>0</v>
      </c>
      <c r="K548" s="42">
        <f>SUBTOTAL(109,Program15[(K)
Established 
Accounts Receivable])</f>
        <v>379145</v>
      </c>
      <c r="L548" s="42">
        <f>SUBTOTAL(109,Program15[(L)
Recovered
 Accounts Receivable])</f>
        <v>-379145</v>
      </c>
      <c r="M548" s="42">
        <f>SUBTOTAL(109,Program15[(M)
Accounts Receivable Balance
(K + L)])</f>
        <v>0</v>
      </c>
      <c r="N548" s="42">
        <f>SUBTOTAL(109,Program15[(N)
Net Balance
(J minus M)])</f>
        <v>0</v>
      </c>
    </row>
    <row r="549" spans="1:14" outlineLevel="1" x14ac:dyDescent="0.35">
      <c r="A549" s="63" t="s">
        <v>33</v>
      </c>
      <c r="B549" s="62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</row>
    <row r="550" spans="1:14" ht="77.5" outlineLevel="1" x14ac:dyDescent="0.35">
      <c r="A550" s="60" t="s">
        <v>185</v>
      </c>
      <c r="B550" s="59" t="s">
        <v>184</v>
      </c>
      <c r="C550" s="58" t="s">
        <v>183</v>
      </c>
      <c r="D550" s="58" t="s">
        <v>182</v>
      </c>
      <c r="E550" s="56" t="s">
        <v>181</v>
      </c>
      <c r="F550" s="56" t="s">
        <v>180</v>
      </c>
      <c r="G550" s="56" t="s">
        <v>179</v>
      </c>
      <c r="H550" s="57" t="s">
        <v>674</v>
      </c>
      <c r="I550" s="55" t="s">
        <v>178</v>
      </c>
      <c r="J550" s="55" t="s">
        <v>177</v>
      </c>
      <c r="K550" s="56" t="s">
        <v>176</v>
      </c>
      <c r="L550" s="55" t="s">
        <v>175</v>
      </c>
      <c r="M550" s="55" t="s">
        <v>174</v>
      </c>
      <c r="N550" s="54" t="s">
        <v>173</v>
      </c>
    </row>
    <row r="551" spans="1:14" outlineLevel="2" x14ac:dyDescent="0.35">
      <c r="A551" s="53" t="s">
        <v>675</v>
      </c>
      <c r="B551" s="66" t="s">
        <v>194</v>
      </c>
      <c r="C551" s="51">
        <v>0</v>
      </c>
      <c r="D551" s="51">
        <v>0</v>
      </c>
      <c r="E551" s="51">
        <v>0</v>
      </c>
      <c r="F551" s="51">
        <v>0</v>
      </c>
      <c r="G551" s="51">
        <v>0</v>
      </c>
      <c r="H551" s="51">
        <v>0</v>
      </c>
      <c r="I551" s="51">
        <v>0</v>
      </c>
      <c r="J551" s="51">
        <v>0</v>
      </c>
      <c r="K551" s="51">
        <v>1900</v>
      </c>
      <c r="L551" s="51">
        <v>-1900</v>
      </c>
      <c r="M551" s="51">
        <v>0</v>
      </c>
      <c r="N551" s="51">
        <v>0</v>
      </c>
    </row>
    <row r="552" spans="1:14" outlineLevel="2" x14ac:dyDescent="0.35">
      <c r="A552" s="82" t="s">
        <v>675</v>
      </c>
      <c r="B552" s="66" t="s">
        <v>193</v>
      </c>
      <c r="C552" s="51">
        <v>4787</v>
      </c>
      <c r="D552" s="51">
        <v>0</v>
      </c>
      <c r="E552" s="51">
        <v>0</v>
      </c>
      <c r="F552" s="51">
        <v>0</v>
      </c>
      <c r="G552" s="51">
        <v>0</v>
      </c>
      <c r="H552" s="51">
        <v>4787</v>
      </c>
      <c r="I552" s="51">
        <v>-4787</v>
      </c>
      <c r="J552" s="51">
        <v>0</v>
      </c>
      <c r="K552" s="51">
        <v>0</v>
      </c>
      <c r="L552" s="51">
        <v>0</v>
      </c>
      <c r="M552" s="51">
        <v>0</v>
      </c>
      <c r="N552" s="51">
        <v>0</v>
      </c>
    </row>
    <row r="553" spans="1:14" outlineLevel="2" x14ac:dyDescent="0.35">
      <c r="A553" s="82" t="s">
        <v>675</v>
      </c>
      <c r="B553" s="66" t="s">
        <v>192</v>
      </c>
      <c r="C553" s="51">
        <v>158451</v>
      </c>
      <c r="D553" s="51">
        <v>-212</v>
      </c>
      <c r="E553" s="51">
        <v>0</v>
      </c>
      <c r="F553" s="51">
        <v>0</v>
      </c>
      <c r="G553" s="51">
        <v>0</v>
      </c>
      <c r="H553" s="51">
        <v>158239</v>
      </c>
      <c r="I553" s="51">
        <v>-158239</v>
      </c>
      <c r="J553" s="51">
        <v>0</v>
      </c>
      <c r="K553" s="51">
        <v>0</v>
      </c>
      <c r="L553" s="51">
        <v>0</v>
      </c>
      <c r="M553" s="51">
        <v>0</v>
      </c>
      <c r="N553" s="51">
        <v>0</v>
      </c>
    </row>
    <row r="554" spans="1:14" outlineLevel="2" x14ac:dyDescent="0.35">
      <c r="A554" s="82" t="s">
        <v>675</v>
      </c>
      <c r="B554" s="66" t="s">
        <v>191</v>
      </c>
      <c r="C554" s="51">
        <v>1553603</v>
      </c>
      <c r="D554" s="51">
        <v>-304160</v>
      </c>
      <c r="E554" s="51">
        <v>0</v>
      </c>
      <c r="F554" s="51">
        <v>0</v>
      </c>
      <c r="G554" s="51">
        <v>0</v>
      </c>
      <c r="H554" s="51">
        <v>1249443</v>
      </c>
      <c r="I554" s="51">
        <v>-1249443</v>
      </c>
      <c r="J554" s="51">
        <v>0</v>
      </c>
      <c r="K554" s="51">
        <v>584912</v>
      </c>
      <c r="L554" s="51">
        <v>-584912</v>
      </c>
      <c r="M554" s="51">
        <v>0</v>
      </c>
      <c r="N554" s="51">
        <v>0</v>
      </c>
    </row>
    <row r="555" spans="1:14" outlineLevel="2" x14ac:dyDescent="0.35">
      <c r="A555" s="82" t="s">
        <v>675</v>
      </c>
      <c r="B555" s="66" t="s">
        <v>190</v>
      </c>
      <c r="C555" s="51">
        <v>923050</v>
      </c>
      <c r="D555" s="51">
        <v>-430656</v>
      </c>
      <c r="E555" s="51">
        <v>0</v>
      </c>
      <c r="F555" s="51">
        <v>0</v>
      </c>
      <c r="G555" s="51">
        <v>0</v>
      </c>
      <c r="H555" s="51">
        <v>492394</v>
      </c>
      <c r="I555" s="51">
        <v>-492394</v>
      </c>
      <c r="J555" s="51">
        <v>0</v>
      </c>
      <c r="K555" s="51">
        <v>294367</v>
      </c>
      <c r="L555" s="51">
        <v>-294367</v>
      </c>
      <c r="M555" s="51">
        <v>0</v>
      </c>
      <c r="N555" s="51">
        <v>0</v>
      </c>
    </row>
    <row r="556" spans="1:14" outlineLevel="2" x14ac:dyDescent="0.35">
      <c r="A556" s="82" t="s">
        <v>675</v>
      </c>
      <c r="B556" s="66" t="s">
        <v>189</v>
      </c>
      <c r="C556" s="51">
        <v>351861</v>
      </c>
      <c r="D556" s="51">
        <v>-21460</v>
      </c>
      <c r="E556" s="51">
        <v>0</v>
      </c>
      <c r="F556" s="51">
        <v>0</v>
      </c>
      <c r="G556" s="51">
        <v>0</v>
      </c>
      <c r="H556" s="51">
        <v>330401</v>
      </c>
      <c r="I556" s="51">
        <v>-330401</v>
      </c>
      <c r="J556" s="51">
        <v>0</v>
      </c>
      <c r="K556" s="51">
        <v>17262</v>
      </c>
      <c r="L556" s="51">
        <v>-17262</v>
      </c>
      <c r="M556" s="51">
        <v>0</v>
      </c>
      <c r="N556" s="51">
        <v>0</v>
      </c>
    </row>
    <row r="557" spans="1:14" outlineLevel="1" x14ac:dyDescent="0.35">
      <c r="A557" s="65" t="s">
        <v>136</v>
      </c>
      <c r="B557" s="81" t="s">
        <v>12</v>
      </c>
      <c r="C557" s="42">
        <f>SUBTOTAL(109,Program142[(C)
Program
Costs])</f>
        <v>2991752</v>
      </c>
      <c r="D557" s="42">
        <f>SUBTOTAL(109,Program142[(D)
Prior Period Adjustments])</f>
        <v>-756488</v>
      </c>
      <c r="E557" s="42">
        <f>SUBTOTAL(109,Program142[(E)
Current Period Desk 
Reviews])</f>
        <v>0</v>
      </c>
      <c r="F557" s="42">
        <f>SUBTOTAL(109,Program142[(F)
Current Period 
Final 
Audits])</f>
        <v>0</v>
      </c>
      <c r="G557" s="42">
        <f>SUBTOTAL(109,Program142[(G)
Current Period 
Other Adjustments])</f>
        <v>0</v>
      </c>
      <c r="H557" s="42">
        <f>SUBTOTAL(109,Program142[(H)
Net Program Costs
Sum (C through G)])</f>
        <v>2235264</v>
      </c>
      <c r="I557" s="42">
        <f>SUBTOTAL(109,Program142[(I)
Payments
 and Offsets])</f>
        <v>-2235264</v>
      </c>
      <c r="J557" s="42">
        <f>SUBTOTAL(109,Program142[(J)
Accounts Payable Balance
(H + I)])</f>
        <v>0</v>
      </c>
      <c r="K557" s="42">
        <f>SUBTOTAL(109,Program142[(K)
Established 
Accounts Receivable])</f>
        <v>898441</v>
      </c>
      <c r="L557" s="42">
        <f>SUBTOTAL(109,Program142[(L)
Recovered
 Accounts Receivable])</f>
        <v>-898441</v>
      </c>
      <c r="M557" s="42">
        <f>SUBTOTAL(109,Program142[(M)
Accounts Receivable Balance
(K + L)])</f>
        <v>0</v>
      </c>
      <c r="N557" s="42">
        <f>SUBTOTAL(109,Program142[(N)
Net Balance
(J minus M)])</f>
        <v>0</v>
      </c>
    </row>
    <row r="558" spans="1:14" outlineLevel="1" x14ac:dyDescent="0.35">
      <c r="A558" s="63" t="s">
        <v>33</v>
      </c>
      <c r="B558" s="62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</row>
    <row r="559" spans="1:14" ht="77.5" outlineLevel="2" x14ac:dyDescent="0.35">
      <c r="A559" s="60" t="s">
        <v>185</v>
      </c>
      <c r="B559" s="59" t="s">
        <v>184</v>
      </c>
      <c r="C559" s="58" t="s">
        <v>183</v>
      </c>
      <c r="D559" s="58" t="s">
        <v>182</v>
      </c>
      <c r="E559" s="56" t="s">
        <v>181</v>
      </c>
      <c r="F559" s="56" t="s">
        <v>180</v>
      </c>
      <c r="G559" s="56" t="s">
        <v>179</v>
      </c>
      <c r="H559" s="57" t="s">
        <v>674</v>
      </c>
      <c r="I559" s="55" t="s">
        <v>178</v>
      </c>
      <c r="J559" s="55" t="s">
        <v>177</v>
      </c>
      <c r="K559" s="56" t="s">
        <v>176</v>
      </c>
      <c r="L559" s="55" t="s">
        <v>175</v>
      </c>
      <c r="M559" s="55" t="s">
        <v>174</v>
      </c>
      <c r="N559" s="54" t="s">
        <v>173</v>
      </c>
    </row>
    <row r="560" spans="1:14" ht="31" outlineLevel="2" x14ac:dyDescent="0.35">
      <c r="A560" s="70" t="s">
        <v>318</v>
      </c>
      <c r="B560" s="69" t="s">
        <v>215</v>
      </c>
      <c r="C560" s="68">
        <v>2297992</v>
      </c>
      <c r="D560" s="68">
        <v>0</v>
      </c>
      <c r="E560" s="68">
        <v>0</v>
      </c>
      <c r="F560" s="68">
        <v>0</v>
      </c>
      <c r="G560" s="68">
        <v>0</v>
      </c>
      <c r="H560" s="68">
        <v>2297992</v>
      </c>
      <c r="I560" s="68">
        <v>0</v>
      </c>
      <c r="J560" s="68">
        <v>2297992</v>
      </c>
      <c r="K560" s="68">
        <v>0</v>
      </c>
      <c r="L560" s="68">
        <v>0</v>
      </c>
      <c r="M560" s="68">
        <v>0</v>
      </c>
      <c r="N560" s="68">
        <v>2297992</v>
      </c>
    </row>
    <row r="561" spans="1:14" ht="31" outlineLevel="1" x14ac:dyDescent="0.35">
      <c r="A561" s="83" t="s">
        <v>318</v>
      </c>
      <c r="B561" s="69" t="s">
        <v>214</v>
      </c>
      <c r="C561" s="68">
        <v>2350602</v>
      </c>
      <c r="D561" s="68">
        <v>0</v>
      </c>
      <c r="E561" s="68">
        <v>0</v>
      </c>
      <c r="F561" s="68">
        <v>0</v>
      </c>
      <c r="G561" s="68">
        <v>-2494</v>
      </c>
      <c r="H561" s="68">
        <v>2348108</v>
      </c>
      <c r="I561" s="68">
        <v>-2325659</v>
      </c>
      <c r="J561" s="68">
        <v>22449</v>
      </c>
      <c r="K561" s="68">
        <v>0</v>
      </c>
      <c r="L561" s="68">
        <v>0</v>
      </c>
      <c r="M561" s="68">
        <v>0</v>
      </c>
      <c r="N561" s="68">
        <v>22449</v>
      </c>
    </row>
    <row r="562" spans="1:14" ht="31" outlineLevel="1" x14ac:dyDescent="0.35">
      <c r="A562" s="83" t="s">
        <v>318</v>
      </c>
      <c r="B562" s="69" t="s">
        <v>212</v>
      </c>
      <c r="C562" s="68">
        <v>3366658</v>
      </c>
      <c r="D562" s="68">
        <v>0</v>
      </c>
      <c r="E562" s="68">
        <v>0</v>
      </c>
      <c r="F562" s="68">
        <v>0</v>
      </c>
      <c r="G562" s="68">
        <v>0</v>
      </c>
      <c r="H562" s="68">
        <v>3366658</v>
      </c>
      <c r="I562" s="68">
        <v>-3366658</v>
      </c>
      <c r="J562" s="68">
        <v>0</v>
      </c>
      <c r="K562" s="68">
        <v>0</v>
      </c>
      <c r="L562" s="68">
        <v>0</v>
      </c>
      <c r="M562" s="68">
        <v>0</v>
      </c>
      <c r="N562" s="68">
        <v>0</v>
      </c>
    </row>
    <row r="563" spans="1:14" ht="31" outlineLevel="1" x14ac:dyDescent="0.35">
      <c r="A563" s="83" t="s">
        <v>318</v>
      </c>
      <c r="B563" s="69" t="s">
        <v>220</v>
      </c>
      <c r="C563" s="68">
        <v>2813293</v>
      </c>
      <c r="D563" s="68">
        <v>-2722</v>
      </c>
      <c r="E563" s="68">
        <v>0</v>
      </c>
      <c r="F563" s="68">
        <v>0</v>
      </c>
      <c r="G563" s="68">
        <v>0</v>
      </c>
      <c r="H563" s="68">
        <v>2810571</v>
      </c>
      <c r="I563" s="68">
        <v>-2810571</v>
      </c>
      <c r="J563" s="68">
        <v>0</v>
      </c>
      <c r="K563" s="68">
        <v>0</v>
      </c>
      <c r="L563" s="68">
        <v>0</v>
      </c>
      <c r="M563" s="68">
        <v>0</v>
      </c>
      <c r="N563" s="68">
        <v>0</v>
      </c>
    </row>
    <row r="564" spans="1:14" ht="31" outlineLevel="2" x14ac:dyDescent="0.35">
      <c r="A564" s="83" t="s">
        <v>318</v>
      </c>
      <c r="B564" s="69" t="s">
        <v>219</v>
      </c>
      <c r="C564" s="68">
        <v>2637676</v>
      </c>
      <c r="D564" s="68">
        <v>290771</v>
      </c>
      <c r="E564" s="68">
        <v>0</v>
      </c>
      <c r="F564" s="68">
        <v>0</v>
      </c>
      <c r="G564" s="68">
        <v>0</v>
      </c>
      <c r="H564" s="68">
        <v>2928447</v>
      </c>
      <c r="I564" s="68">
        <v>-2928447</v>
      </c>
      <c r="J564" s="68">
        <v>0</v>
      </c>
      <c r="K564" s="68">
        <v>0</v>
      </c>
      <c r="L564" s="68">
        <v>0</v>
      </c>
      <c r="M564" s="68">
        <v>0</v>
      </c>
      <c r="N564" s="68">
        <v>0</v>
      </c>
    </row>
    <row r="565" spans="1:14" ht="31" outlineLevel="2" x14ac:dyDescent="0.35">
      <c r="A565" s="83" t="s">
        <v>318</v>
      </c>
      <c r="B565" s="69" t="s">
        <v>218</v>
      </c>
      <c r="C565" s="68">
        <v>2070376</v>
      </c>
      <c r="D565" s="68">
        <v>-10000</v>
      </c>
      <c r="E565" s="68">
        <v>0</v>
      </c>
      <c r="F565" s="68">
        <v>0</v>
      </c>
      <c r="G565" s="68">
        <v>0</v>
      </c>
      <c r="H565" s="68">
        <v>2060376</v>
      </c>
      <c r="I565" s="68">
        <v>-2060376</v>
      </c>
      <c r="J565" s="68">
        <v>0</v>
      </c>
      <c r="K565" s="68">
        <v>0</v>
      </c>
      <c r="L565" s="68">
        <v>0</v>
      </c>
      <c r="M565" s="68">
        <v>0</v>
      </c>
      <c r="N565" s="68">
        <v>0</v>
      </c>
    </row>
    <row r="566" spans="1:14" ht="31" outlineLevel="2" x14ac:dyDescent="0.35">
      <c r="A566" s="83" t="s">
        <v>318</v>
      </c>
      <c r="B566" s="69" t="s">
        <v>209</v>
      </c>
      <c r="C566" s="68">
        <v>2091421</v>
      </c>
      <c r="D566" s="68">
        <v>-4704</v>
      </c>
      <c r="E566" s="68">
        <v>0</v>
      </c>
      <c r="F566" s="68">
        <v>0</v>
      </c>
      <c r="G566" s="68">
        <v>0</v>
      </c>
      <c r="H566" s="68">
        <v>2086717</v>
      </c>
      <c r="I566" s="68">
        <v>-2086717</v>
      </c>
      <c r="J566" s="68">
        <v>0</v>
      </c>
      <c r="K566" s="68">
        <v>2736</v>
      </c>
      <c r="L566" s="68">
        <v>-2736</v>
      </c>
      <c r="M566" s="68">
        <v>0</v>
      </c>
      <c r="N566" s="68">
        <v>0</v>
      </c>
    </row>
    <row r="567" spans="1:14" ht="31" outlineLevel="2" x14ac:dyDescent="0.35">
      <c r="A567" s="83" t="s">
        <v>318</v>
      </c>
      <c r="B567" s="69" t="s">
        <v>208</v>
      </c>
      <c r="C567" s="68">
        <v>1945160</v>
      </c>
      <c r="D567" s="68">
        <v>-29</v>
      </c>
      <c r="E567" s="68">
        <v>0</v>
      </c>
      <c r="F567" s="68">
        <v>0</v>
      </c>
      <c r="G567" s="68">
        <v>0</v>
      </c>
      <c r="H567" s="68">
        <v>1945131</v>
      </c>
      <c r="I567" s="68">
        <v>-1945131</v>
      </c>
      <c r="J567" s="68">
        <v>0</v>
      </c>
      <c r="K567" s="68">
        <v>0</v>
      </c>
      <c r="L567" s="68">
        <v>0</v>
      </c>
      <c r="M567" s="68">
        <v>0</v>
      </c>
      <c r="N567" s="68">
        <v>0</v>
      </c>
    </row>
    <row r="568" spans="1:14" ht="31" outlineLevel="2" x14ac:dyDescent="0.35">
      <c r="A568" s="83" t="s">
        <v>318</v>
      </c>
      <c r="B568" s="69" t="s">
        <v>206</v>
      </c>
      <c r="C568" s="68">
        <v>1999968</v>
      </c>
      <c r="D568" s="68">
        <v>-1292</v>
      </c>
      <c r="E568" s="68">
        <v>0</v>
      </c>
      <c r="F568" s="68">
        <v>0</v>
      </c>
      <c r="G568" s="68">
        <v>0</v>
      </c>
      <c r="H568" s="68">
        <v>1998676</v>
      </c>
      <c r="I568" s="68">
        <v>-1998676</v>
      </c>
      <c r="J568" s="68">
        <v>0</v>
      </c>
      <c r="K568" s="68">
        <v>0</v>
      </c>
      <c r="L568" s="68">
        <v>0</v>
      </c>
      <c r="M568" s="68">
        <v>0</v>
      </c>
      <c r="N568" s="68">
        <v>0</v>
      </c>
    </row>
    <row r="569" spans="1:14" ht="31" outlineLevel="2" x14ac:dyDescent="0.35">
      <c r="A569" s="83" t="s">
        <v>318</v>
      </c>
      <c r="B569" s="69" t="s">
        <v>205</v>
      </c>
      <c r="C569" s="68">
        <v>1850888</v>
      </c>
      <c r="D569" s="68">
        <v>0</v>
      </c>
      <c r="E569" s="68">
        <v>0</v>
      </c>
      <c r="F569" s="68">
        <v>0</v>
      </c>
      <c r="G569" s="68">
        <v>0</v>
      </c>
      <c r="H569" s="68">
        <v>1850888</v>
      </c>
      <c r="I569" s="68">
        <v>-1850888</v>
      </c>
      <c r="J569" s="68">
        <v>0</v>
      </c>
      <c r="K569" s="68">
        <v>0</v>
      </c>
      <c r="L569" s="68">
        <v>0</v>
      </c>
      <c r="M569" s="68">
        <v>0</v>
      </c>
      <c r="N569" s="68">
        <v>0</v>
      </c>
    </row>
    <row r="570" spans="1:14" ht="31" outlineLevel="1" x14ac:dyDescent="0.35">
      <c r="A570" s="83" t="s">
        <v>318</v>
      </c>
      <c r="B570" s="69" t="s">
        <v>204</v>
      </c>
      <c r="C570" s="68">
        <v>2472595</v>
      </c>
      <c r="D570" s="68">
        <v>-298328</v>
      </c>
      <c r="E570" s="68">
        <v>0</v>
      </c>
      <c r="F570" s="68">
        <v>0</v>
      </c>
      <c r="G570" s="68">
        <v>0</v>
      </c>
      <c r="H570" s="68">
        <v>2174267</v>
      </c>
      <c r="I570" s="68">
        <v>-2174267</v>
      </c>
      <c r="J570" s="68">
        <v>0</v>
      </c>
      <c r="K570" s="68">
        <v>298196</v>
      </c>
      <c r="L570" s="68">
        <v>-298196</v>
      </c>
      <c r="M570" s="68">
        <v>0</v>
      </c>
      <c r="N570" s="68">
        <v>0</v>
      </c>
    </row>
    <row r="571" spans="1:14" ht="31" outlineLevel="1" x14ac:dyDescent="0.35">
      <c r="A571" s="83" t="s">
        <v>318</v>
      </c>
      <c r="B571" s="69" t="s">
        <v>203</v>
      </c>
      <c r="C571" s="68">
        <v>2604974</v>
      </c>
      <c r="D571" s="68">
        <v>-121919</v>
      </c>
      <c r="E571" s="68">
        <v>0</v>
      </c>
      <c r="F571" s="68">
        <v>0</v>
      </c>
      <c r="G571" s="68">
        <v>0</v>
      </c>
      <c r="H571" s="68">
        <v>2483055</v>
      </c>
      <c r="I571" s="68">
        <v>-2483055</v>
      </c>
      <c r="J571" s="68">
        <v>0</v>
      </c>
      <c r="K571" s="68">
        <v>121703</v>
      </c>
      <c r="L571" s="68">
        <v>-121703</v>
      </c>
      <c r="M571" s="68">
        <v>0</v>
      </c>
      <c r="N571" s="68">
        <v>0</v>
      </c>
    </row>
    <row r="572" spans="1:14" ht="31" outlineLevel="1" x14ac:dyDescent="0.35">
      <c r="A572" s="83" t="s">
        <v>318</v>
      </c>
      <c r="B572" s="69" t="s">
        <v>202</v>
      </c>
      <c r="C572" s="68">
        <v>2758368</v>
      </c>
      <c r="D572" s="68">
        <v>-21859</v>
      </c>
      <c r="E572" s="68">
        <v>0</v>
      </c>
      <c r="F572" s="68">
        <v>0</v>
      </c>
      <c r="G572" s="68">
        <v>0</v>
      </c>
      <c r="H572" s="68">
        <v>2736509</v>
      </c>
      <c r="I572" s="68">
        <v>-2736509</v>
      </c>
      <c r="J572" s="68">
        <v>0</v>
      </c>
      <c r="K572" s="68">
        <v>87931</v>
      </c>
      <c r="L572" s="68">
        <v>-87931</v>
      </c>
      <c r="M572" s="68">
        <v>0</v>
      </c>
      <c r="N572" s="68">
        <v>0</v>
      </c>
    </row>
    <row r="573" spans="1:14" ht="31" outlineLevel="2" x14ac:dyDescent="0.35">
      <c r="A573" s="83" t="s">
        <v>318</v>
      </c>
      <c r="B573" s="69" t="s">
        <v>201</v>
      </c>
      <c r="C573" s="68">
        <v>2322933</v>
      </c>
      <c r="D573" s="68">
        <v>-25438</v>
      </c>
      <c r="E573" s="68">
        <v>0</v>
      </c>
      <c r="F573" s="68">
        <v>0</v>
      </c>
      <c r="G573" s="68">
        <v>0</v>
      </c>
      <c r="H573" s="68">
        <v>2297495</v>
      </c>
      <c r="I573" s="68">
        <v>-2297495</v>
      </c>
      <c r="J573" s="68">
        <v>0</v>
      </c>
      <c r="K573" s="68">
        <v>25111</v>
      </c>
      <c r="L573" s="68">
        <v>-25111</v>
      </c>
      <c r="M573" s="68">
        <v>0</v>
      </c>
      <c r="N573" s="68">
        <v>0</v>
      </c>
    </row>
    <row r="574" spans="1:14" ht="31" outlineLevel="2" x14ac:dyDescent="0.35">
      <c r="A574" s="83" t="s">
        <v>318</v>
      </c>
      <c r="B574" s="69" t="s">
        <v>200</v>
      </c>
      <c r="C574" s="68">
        <v>2208050</v>
      </c>
      <c r="D574" s="68">
        <v>-55099</v>
      </c>
      <c r="E574" s="68">
        <v>0</v>
      </c>
      <c r="F574" s="68">
        <v>0</v>
      </c>
      <c r="G574" s="68">
        <v>0</v>
      </c>
      <c r="H574" s="68">
        <v>2152951</v>
      </c>
      <c r="I574" s="68">
        <v>-2152951</v>
      </c>
      <c r="J574" s="68">
        <v>0</v>
      </c>
      <c r="K574" s="68">
        <v>351701</v>
      </c>
      <c r="L574" s="68">
        <v>-351701</v>
      </c>
      <c r="M574" s="68">
        <v>0</v>
      </c>
      <c r="N574" s="68">
        <v>0</v>
      </c>
    </row>
    <row r="575" spans="1:14" ht="31" outlineLevel="2" x14ac:dyDescent="0.35">
      <c r="A575" s="83" t="s">
        <v>318</v>
      </c>
      <c r="B575" s="69" t="s">
        <v>199</v>
      </c>
      <c r="C575" s="68">
        <v>2357015</v>
      </c>
      <c r="D575" s="68">
        <v>-195323</v>
      </c>
      <c r="E575" s="68">
        <v>0</v>
      </c>
      <c r="F575" s="68">
        <v>0</v>
      </c>
      <c r="G575" s="68">
        <v>0</v>
      </c>
      <c r="H575" s="68">
        <v>2161692</v>
      </c>
      <c r="I575" s="68">
        <v>-2161692</v>
      </c>
      <c r="J575" s="68">
        <v>0</v>
      </c>
      <c r="K575" s="68">
        <v>0</v>
      </c>
      <c r="L575" s="68">
        <v>0</v>
      </c>
      <c r="M575" s="68">
        <v>0</v>
      </c>
      <c r="N575" s="68">
        <v>0</v>
      </c>
    </row>
    <row r="576" spans="1:14" ht="31" outlineLevel="2" x14ac:dyDescent="0.35">
      <c r="A576" s="83" t="s">
        <v>318</v>
      </c>
      <c r="B576" s="69" t="s">
        <v>198</v>
      </c>
      <c r="C576" s="68">
        <v>2584488</v>
      </c>
      <c r="D576" s="68">
        <v>-79768</v>
      </c>
      <c r="E576" s="68">
        <v>0</v>
      </c>
      <c r="F576" s="68">
        <v>0</v>
      </c>
      <c r="G576" s="68">
        <v>0</v>
      </c>
      <c r="H576" s="68">
        <v>2504720</v>
      </c>
      <c r="I576" s="68">
        <v>-2504720</v>
      </c>
      <c r="J576" s="68">
        <v>0</v>
      </c>
      <c r="K576" s="68">
        <v>1</v>
      </c>
      <c r="L576" s="68">
        <v>-1</v>
      </c>
      <c r="M576" s="68">
        <v>0</v>
      </c>
      <c r="N576" s="68">
        <v>0</v>
      </c>
    </row>
    <row r="577" spans="1:14" ht="31" outlineLevel="2" x14ac:dyDescent="0.35">
      <c r="A577" s="83" t="s">
        <v>318</v>
      </c>
      <c r="B577" s="69" t="s">
        <v>197</v>
      </c>
      <c r="C577" s="68">
        <v>2732040</v>
      </c>
      <c r="D577" s="68">
        <v>-280855</v>
      </c>
      <c r="E577" s="68">
        <v>0</v>
      </c>
      <c r="F577" s="68">
        <v>0</v>
      </c>
      <c r="G577" s="68">
        <v>0</v>
      </c>
      <c r="H577" s="68">
        <v>2451185</v>
      </c>
      <c r="I577" s="68">
        <v>-2451185</v>
      </c>
      <c r="J577" s="68">
        <v>0</v>
      </c>
      <c r="K577" s="68">
        <v>48177</v>
      </c>
      <c r="L577" s="68">
        <v>-48177</v>
      </c>
      <c r="M577" s="68">
        <v>0</v>
      </c>
      <c r="N577" s="68">
        <v>0</v>
      </c>
    </row>
    <row r="578" spans="1:14" ht="31" outlineLevel="2" x14ac:dyDescent="0.35">
      <c r="A578" s="83" t="s">
        <v>318</v>
      </c>
      <c r="B578" s="69" t="s">
        <v>196</v>
      </c>
      <c r="C578" s="68">
        <v>2602010</v>
      </c>
      <c r="D578" s="68">
        <v>-349580</v>
      </c>
      <c r="E578" s="68">
        <v>0</v>
      </c>
      <c r="F578" s="68">
        <v>0</v>
      </c>
      <c r="G578" s="68">
        <v>0</v>
      </c>
      <c r="H578" s="68">
        <v>2252430</v>
      </c>
      <c r="I578" s="68">
        <v>-2252430</v>
      </c>
      <c r="J578" s="68">
        <v>0</v>
      </c>
      <c r="K578" s="68">
        <v>383170</v>
      </c>
      <c r="L578" s="68">
        <v>-383170</v>
      </c>
      <c r="M578" s="68">
        <v>0</v>
      </c>
      <c r="N578" s="68">
        <v>0</v>
      </c>
    </row>
    <row r="579" spans="1:14" ht="31" outlineLevel="2" x14ac:dyDescent="0.35">
      <c r="A579" s="83" t="s">
        <v>318</v>
      </c>
      <c r="B579" s="69" t="s">
        <v>195</v>
      </c>
      <c r="C579" s="68">
        <v>2614806</v>
      </c>
      <c r="D579" s="68">
        <v>-553769</v>
      </c>
      <c r="E579" s="68">
        <v>0</v>
      </c>
      <c r="F579" s="68">
        <v>0</v>
      </c>
      <c r="G579" s="68">
        <v>0</v>
      </c>
      <c r="H579" s="68">
        <v>2061037</v>
      </c>
      <c r="I579" s="68">
        <v>-2061037</v>
      </c>
      <c r="J579" s="68">
        <v>0</v>
      </c>
      <c r="K579" s="68">
        <v>587701</v>
      </c>
      <c r="L579" s="68">
        <v>-587701</v>
      </c>
      <c r="M579" s="68">
        <v>0</v>
      </c>
      <c r="N579" s="68">
        <v>0</v>
      </c>
    </row>
    <row r="580" spans="1:14" ht="31" outlineLevel="2" x14ac:dyDescent="0.35">
      <c r="A580" s="83" t="s">
        <v>318</v>
      </c>
      <c r="B580" s="69" t="s">
        <v>194</v>
      </c>
      <c r="C580" s="68">
        <v>2051096</v>
      </c>
      <c r="D580" s="68">
        <v>-190521</v>
      </c>
      <c r="E580" s="68">
        <v>0</v>
      </c>
      <c r="F580" s="68">
        <v>0</v>
      </c>
      <c r="G580" s="68">
        <v>0</v>
      </c>
      <c r="H580" s="68">
        <v>1860575</v>
      </c>
      <c r="I580" s="68">
        <v>-1860575</v>
      </c>
      <c r="J580" s="68">
        <v>0</v>
      </c>
      <c r="K580" s="68">
        <v>215643</v>
      </c>
      <c r="L580" s="68">
        <v>-215643</v>
      </c>
      <c r="M580" s="68">
        <v>0</v>
      </c>
      <c r="N580" s="68">
        <v>0</v>
      </c>
    </row>
    <row r="581" spans="1:14" ht="31" outlineLevel="2" x14ac:dyDescent="0.35">
      <c r="A581" s="83" t="s">
        <v>318</v>
      </c>
      <c r="B581" s="69" t="s">
        <v>193</v>
      </c>
      <c r="C581" s="68">
        <v>1539002</v>
      </c>
      <c r="D581" s="68">
        <v>-46</v>
      </c>
      <c r="E581" s="68">
        <v>0</v>
      </c>
      <c r="F581" s="68">
        <v>0</v>
      </c>
      <c r="G581" s="68">
        <v>0</v>
      </c>
      <c r="H581" s="68">
        <v>1538956</v>
      </c>
      <c r="I581" s="68">
        <v>-1538956</v>
      </c>
      <c r="J581" s="68">
        <v>0</v>
      </c>
      <c r="K581" s="68">
        <v>0</v>
      </c>
      <c r="L581" s="68">
        <v>0</v>
      </c>
      <c r="M581" s="68">
        <v>0</v>
      </c>
      <c r="N581" s="68">
        <v>0</v>
      </c>
    </row>
    <row r="582" spans="1:14" ht="31" outlineLevel="2" x14ac:dyDescent="0.35">
      <c r="A582" s="83" t="s">
        <v>318</v>
      </c>
      <c r="B582" s="69" t="s">
        <v>192</v>
      </c>
      <c r="C582" s="68">
        <v>873818</v>
      </c>
      <c r="D582" s="68">
        <v>22</v>
      </c>
      <c r="E582" s="68">
        <v>0</v>
      </c>
      <c r="F582" s="68">
        <v>0</v>
      </c>
      <c r="G582" s="68">
        <v>0</v>
      </c>
      <c r="H582" s="68">
        <v>873840</v>
      </c>
      <c r="I582" s="68">
        <v>-873840</v>
      </c>
      <c r="J582" s="68">
        <v>0</v>
      </c>
      <c r="K582" s="68">
        <v>0</v>
      </c>
      <c r="L582" s="68">
        <v>0</v>
      </c>
      <c r="M582" s="68">
        <v>0</v>
      </c>
      <c r="N582" s="68">
        <v>0</v>
      </c>
    </row>
    <row r="583" spans="1:14" ht="31" outlineLevel="1" x14ac:dyDescent="0.35">
      <c r="A583" s="83" t="s">
        <v>318</v>
      </c>
      <c r="B583" s="69" t="s">
        <v>191</v>
      </c>
      <c r="C583" s="68">
        <v>384658</v>
      </c>
      <c r="D583" s="68">
        <v>0</v>
      </c>
      <c r="E583" s="68">
        <v>0</v>
      </c>
      <c r="F583" s="68">
        <v>0</v>
      </c>
      <c r="G583" s="68">
        <v>0</v>
      </c>
      <c r="H583" s="68">
        <v>384658</v>
      </c>
      <c r="I583" s="68">
        <v>-384658</v>
      </c>
      <c r="J583" s="68">
        <v>0</v>
      </c>
      <c r="K583" s="68">
        <v>0</v>
      </c>
      <c r="L583" s="68">
        <v>0</v>
      </c>
      <c r="M583" s="68">
        <v>0</v>
      </c>
      <c r="N583" s="68">
        <v>0</v>
      </c>
    </row>
    <row r="584" spans="1:14" outlineLevel="1" x14ac:dyDescent="0.35">
      <c r="A584" s="65" t="s">
        <v>135</v>
      </c>
      <c r="B584" s="81" t="s">
        <v>12</v>
      </c>
      <c r="C584" s="42">
        <f>SUBTOTAL(109,Program177[(C)
Program
Costs])</f>
        <v>53529887</v>
      </c>
      <c r="D584" s="42">
        <f>SUBTOTAL(109,Program177[(D)
Prior Period Adjustments])</f>
        <v>-1900459</v>
      </c>
      <c r="E584" s="42">
        <f>SUBTOTAL(109,Program177[(E)
Current Period Desk 
Reviews])</f>
        <v>0</v>
      </c>
      <c r="F584" s="42">
        <f>SUBTOTAL(109,Program177[(F)
Current Period 
Final 
Audits])</f>
        <v>0</v>
      </c>
      <c r="G584" s="42">
        <f>SUBTOTAL(109,Program177[(G)
Current Period 
Other Adjustments])</f>
        <v>-2494</v>
      </c>
      <c r="H584" s="42">
        <f>SUBTOTAL(109,Program177[(H)
Net Program Costs
Sum (C through G)])</f>
        <v>51626934</v>
      </c>
      <c r="I584" s="42">
        <f>SUBTOTAL(109,Program177[(I)
Payments
 and Offsets])</f>
        <v>-49306493</v>
      </c>
      <c r="J584" s="42">
        <f>SUBTOTAL(109,Program177[(J)
Accounts Payable Balance
(H + I)])</f>
        <v>2320441</v>
      </c>
      <c r="K584" s="42">
        <f>SUBTOTAL(109,Program177[(K)
Established 
Accounts Receivable])</f>
        <v>2122070</v>
      </c>
      <c r="L584" s="42">
        <f>SUBTOTAL(109,Program177[(L)
Recovered
 Accounts Receivable])</f>
        <v>-2122070</v>
      </c>
      <c r="M584" s="42">
        <f>SUBTOTAL(109,Program177[(M)
Accounts Receivable Balance
(K + L)])</f>
        <v>0</v>
      </c>
      <c r="N584" s="42">
        <f>SUBTOTAL(109,Program177[(N)
Net Balance
(J minus M)])</f>
        <v>2320441</v>
      </c>
    </row>
    <row r="585" spans="1:14" outlineLevel="2" x14ac:dyDescent="0.35">
      <c r="A585" s="63" t="s">
        <v>33</v>
      </c>
      <c r="B585" s="62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</row>
    <row r="586" spans="1:14" ht="77.5" outlineLevel="1" x14ac:dyDescent="0.35">
      <c r="A586" s="60" t="s">
        <v>185</v>
      </c>
      <c r="B586" s="59" t="s">
        <v>184</v>
      </c>
      <c r="C586" s="58" t="s">
        <v>183</v>
      </c>
      <c r="D586" s="58" t="s">
        <v>182</v>
      </c>
      <c r="E586" s="56" t="s">
        <v>181</v>
      </c>
      <c r="F586" s="56" t="s">
        <v>180</v>
      </c>
      <c r="G586" s="56" t="s">
        <v>179</v>
      </c>
      <c r="H586" s="57" t="s">
        <v>674</v>
      </c>
      <c r="I586" s="55" t="s">
        <v>178</v>
      </c>
      <c r="J586" s="55" t="s">
        <v>177</v>
      </c>
      <c r="K586" s="56" t="s">
        <v>176</v>
      </c>
      <c r="L586" s="55" t="s">
        <v>175</v>
      </c>
      <c r="M586" s="55" t="s">
        <v>174</v>
      </c>
      <c r="N586" s="54" t="s">
        <v>173</v>
      </c>
    </row>
    <row r="587" spans="1:14" outlineLevel="1" x14ac:dyDescent="0.35">
      <c r="A587" s="53" t="s">
        <v>317</v>
      </c>
      <c r="B587" s="66" t="s">
        <v>198</v>
      </c>
      <c r="C587" s="51">
        <v>22714</v>
      </c>
      <c r="D587" s="51">
        <v>0</v>
      </c>
      <c r="E587" s="51">
        <v>0</v>
      </c>
      <c r="F587" s="51">
        <v>0</v>
      </c>
      <c r="G587" s="51">
        <v>0</v>
      </c>
      <c r="H587" s="51">
        <v>22714</v>
      </c>
      <c r="I587" s="51">
        <v>-22714</v>
      </c>
      <c r="J587" s="51">
        <v>0</v>
      </c>
      <c r="K587" s="51">
        <v>0</v>
      </c>
      <c r="L587" s="51">
        <v>0</v>
      </c>
      <c r="M587" s="51">
        <v>0</v>
      </c>
      <c r="N587" s="51">
        <v>0</v>
      </c>
    </row>
    <row r="588" spans="1:14" outlineLevel="2" x14ac:dyDescent="0.35">
      <c r="A588" s="82" t="s">
        <v>317</v>
      </c>
      <c r="B588" s="66" t="s">
        <v>197</v>
      </c>
      <c r="C588" s="51">
        <v>67916</v>
      </c>
      <c r="D588" s="51">
        <v>-1275</v>
      </c>
      <c r="E588" s="51">
        <v>0</v>
      </c>
      <c r="F588" s="51">
        <v>0</v>
      </c>
      <c r="G588" s="51">
        <v>0</v>
      </c>
      <c r="H588" s="51">
        <v>66641</v>
      </c>
      <c r="I588" s="51">
        <v>-66641</v>
      </c>
      <c r="J588" s="51">
        <v>0</v>
      </c>
      <c r="K588" s="51">
        <v>0</v>
      </c>
      <c r="L588" s="51">
        <v>0</v>
      </c>
      <c r="M588" s="51">
        <v>0</v>
      </c>
      <c r="N588" s="51">
        <v>0</v>
      </c>
    </row>
    <row r="589" spans="1:14" outlineLevel="2" x14ac:dyDescent="0.35">
      <c r="A589" s="82" t="s">
        <v>317</v>
      </c>
      <c r="B589" s="66" t="s">
        <v>196</v>
      </c>
      <c r="C589" s="51">
        <v>142096</v>
      </c>
      <c r="D589" s="51">
        <v>-185</v>
      </c>
      <c r="E589" s="51">
        <v>0</v>
      </c>
      <c r="F589" s="51">
        <v>0</v>
      </c>
      <c r="G589" s="51">
        <v>0</v>
      </c>
      <c r="H589" s="51">
        <v>141911</v>
      </c>
      <c r="I589" s="51">
        <v>-141911</v>
      </c>
      <c r="J589" s="51">
        <v>0</v>
      </c>
      <c r="K589" s="51">
        <v>0</v>
      </c>
      <c r="L589" s="51">
        <v>0</v>
      </c>
      <c r="M589" s="51">
        <v>0</v>
      </c>
      <c r="N589" s="51">
        <v>0</v>
      </c>
    </row>
    <row r="590" spans="1:14" outlineLevel="1" x14ac:dyDescent="0.35">
      <c r="A590" s="82" t="s">
        <v>317</v>
      </c>
      <c r="B590" s="66" t="s">
        <v>195</v>
      </c>
      <c r="C590" s="51">
        <v>274143</v>
      </c>
      <c r="D590" s="51">
        <v>-2148</v>
      </c>
      <c r="E590" s="51">
        <v>0</v>
      </c>
      <c r="F590" s="51">
        <v>0</v>
      </c>
      <c r="G590" s="51">
        <v>0</v>
      </c>
      <c r="H590" s="51">
        <v>271995</v>
      </c>
      <c r="I590" s="51">
        <v>-271995</v>
      </c>
      <c r="J590" s="51">
        <v>0</v>
      </c>
      <c r="K590" s="51">
        <v>0</v>
      </c>
      <c r="L590" s="51">
        <v>0</v>
      </c>
      <c r="M590" s="51">
        <v>0</v>
      </c>
      <c r="N590" s="51">
        <v>0</v>
      </c>
    </row>
    <row r="591" spans="1:14" outlineLevel="1" x14ac:dyDescent="0.35">
      <c r="A591" s="82" t="s">
        <v>317</v>
      </c>
      <c r="B591" s="66" t="s">
        <v>194</v>
      </c>
      <c r="C591" s="51">
        <v>830171</v>
      </c>
      <c r="D591" s="51">
        <v>-3105</v>
      </c>
      <c r="E591" s="51">
        <v>0</v>
      </c>
      <c r="F591" s="51">
        <v>0</v>
      </c>
      <c r="G591" s="51">
        <v>0</v>
      </c>
      <c r="H591" s="51">
        <v>827066</v>
      </c>
      <c r="I591" s="51">
        <v>-827066</v>
      </c>
      <c r="J591" s="51">
        <v>0</v>
      </c>
      <c r="K591" s="51">
        <v>0</v>
      </c>
      <c r="L591" s="51">
        <v>0</v>
      </c>
      <c r="M591" s="51">
        <v>0</v>
      </c>
      <c r="N591" s="51">
        <v>0</v>
      </c>
    </row>
    <row r="592" spans="1:14" outlineLevel="2" x14ac:dyDescent="0.35">
      <c r="A592" s="82" t="s">
        <v>317</v>
      </c>
      <c r="B592" s="66" t="s">
        <v>193</v>
      </c>
      <c r="C592" s="51">
        <v>376151</v>
      </c>
      <c r="D592" s="51">
        <v>307</v>
      </c>
      <c r="E592" s="51">
        <v>0</v>
      </c>
      <c r="F592" s="51">
        <v>0</v>
      </c>
      <c r="G592" s="51">
        <v>0</v>
      </c>
      <c r="H592" s="51">
        <v>376458</v>
      </c>
      <c r="I592" s="51">
        <v>-376458</v>
      </c>
      <c r="J592" s="51">
        <v>0</v>
      </c>
      <c r="K592" s="51">
        <v>0</v>
      </c>
      <c r="L592" s="51">
        <v>0</v>
      </c>
      <c r="M592" s="51">
        <v>0</v>
      </c>
      <c r="N592" s="51">
        <v>0</v>
      </c>
    </row>
    <row r="593" spans="1:14" outlineLevel="2" x14ac:dyDescent="0.35">
      <c r="A593" s="65" t="s">
        <v>134</v>
      </c>
      <c r="B593" s="81" t="s">
        <v>12</v>
      </c>
      <c r="C593" s="42">
        <f>SUBTOTAL(109,Program205[(C)
Program
Costs])</f>
        <v>1713191</v>
      </c>
      <c r="D593" s="42">
        <f>SUBTOTAL(109,Program205[(D)
Prior Period Adjustments])</f>
        <v>-6406</v>
      </c>
      <c r="E593" s="42">
        <f>SUBTOTAL(109,Program205[(E)
Current Period Desk 
Reviews])</f>
        <v>0</v>
      </c>
      <c r="F593" s="42">
        <f>SUBTOTAL(109,Program205[(F)
Current Period 
Final 
Audits])</f>
        <v>0</v>
      </c>
      <c r="G593" s="42">
        <f>SUBTOTAL(109,Program205[(G)
Current Period 
Other Adjustments])</f>
        <v>0</v>
      </c>
      <c r="H593" s="42">
        <f>SUBTOTAL(109,Program205[(H)
Net Program Costs
Sum (C through G)])</f>
        <v>1706785</v>
      </c>
      <c r="I593" s="42">
        <f>SUBTOTAL(109,Program205[(I)
Payments
 and Offsets])</f>
        <v>-1706785</v>
      </c>
      <c r="J593" s="42">
        <f>SUBTOTAL(109,Program205[(J)
Accounts Payable Balance
(H + I)])</f>
        <v>0</v>
      </c>
      <c r="K593" s="42">
        <f>SUBTOTAL(109,Program205[(K)
Established 
Accounts Receivable])</f>
        <v>0</v>
      </c>
      <c r="L593" s="42">
        <f>SUBTOTAL(109,Program205[(L)
Recovered
 Accounts Receivable])</f>
        <v>0</v>
      </c>
      <c r="M593" s="42">
        <f>SUBTOTAL(109,Program205[(M)
Accounts Receivable Balance
(K + L)])</f>
        <v>0</v>
      </c>
      <c r="N593" s="42">
        <f>SUBTOTAL(109,Program205[(N)
Net Balance
(J minus M)])</f>
        <v>0</v>
      </c>
    </row>
    <row r="594" spans="1:14" outlineLevel="2" x14ac:dyDescent="0.35">
      <c r="A594" s="63" t="s">
        <v>33</v>
      </c>
      <c r="B594" s="62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</row>
    <row r="595" spans="1:14" ht="77.5" outlineLevel="2" x14ac:dyDescent="0.35">
      <c r="A595" s="60" t="s">
        <v>185</v>
      </c>
      <c r="B595" s="59" t="s">
        <v>184</v>
      </c>
      <c r="C595" s="58" t="s">
        <v>183</v>
      </c>
      <c r="D595" s="58" t="s">
        <v>182</v>
      </c>
      <c r="E595" s="56" t="s">
        <v>181</v>
      </c>
      <c r="F595" s="56" t="s">
        <v>180</v>
      </c>
      <c r="G595" s="56" t="s">
        <v>179</v>
      </c>
      <c r="H595" s="57" t="s">
        <v>674</v>
      </c>
      <c r="I595" s="55" t="s">
        <v>178</v>
      </c>
      <c r="J595" s="55" t="s">
        <v>177</v>
      </c>
      <c r="K595" s="56" t="s">
        <v>176</v>
      </c>
      <c r="L595" s="55" t="s">
        <v>175</v>
      </c>
      <c r="M595" s="55" t="s">
        <v>174</v>
      </c>
      <c r="N595" s="54" t="s">
        <v>173</v>
      </c>
    </row>
    <row r="596" spans="1:14" outlineLevel="2" x14ac:dyDescent="0.35">
      <c r="A596" s="53" t="s">
        <v>316</v>
      </c>
      <c r="B596" s="66" t="s">
        <v>188</v>
      </c>
      <c r="C596" s="51">
        <v>3353</v>
      </c>
      <c r="D596" s="51">
        <v>0</v>
      </c>
      <c r="E596" s="51">
        <v>0</v>
      </c>
      <c r="F596" s="51">
        <v>0</v>
      </c>
      <c r="G596" s="51">
        <v>0</v>
      </c>
      <c r="H596" s="51">
        <v>3353</v>
      </c>
      <c r="I596" s="51">
        <v>-3353</v>
      </c>
      <c r="J596" s="51">
        <v>0</v>
      </c>
      <c r="K596" s="51">
        <v>0</v>
      </c>
      <c r="L596" s="51">
        <v>0</v>
      </c>
      <c r="M596" s="51">
        <v>0</v>
      </c>
      <c r="N596" s="51">
        <v>0</v>
      </c>
    </row>
    <row r="597" spans="1:14" outlineLevel="2" x14ac:dyDescent="0.35">
      <c r="A597" s="82" t="s">
        <v>316</v>
      </c>
      <c r="B597" s="66" t="s">
        <v>186</v>
      </c>
      <c r="C597" s="51">
        <v>10817</v>
      </c>
      <c r="D597" s="51">
        <v>-676</v>
      </c>
      <c r="E597" s="51">
        <v>0</v>
      </c>
      <c r="F597" s="51">
        <v>0</v>
      </c>
      <c r="G597" s="51">
        <v>0</v>
      </c>
      <c r="H597" s="51">
        <v>10141</v>
      </c>
      <c r="I597" s="51">
        <v>-10141</v>
      </c>
      <c r="J597" s="51">
        <v>0</v>
      </c>
      <c r="K597" s="51">
        <v>515</v>
      </c>
      <c r="L597" s="51">
        <v>-515</v>
      </c>
      <c r="M597" s="51">
        <v>0</v>
      </c>
      <c r="N597" s="51">
        <v>0</v>
      </c>
    </row>
    <row r="598" spans="1:14" outlineLevel="2" x14ac:dyDescent="0.35">
      <c r="A598" s="65" t="s">
        <v>133</v>
      </c>
      <c r="B598" s="81" t="s">
        <v>12</v>
      </c>
      <c r="C598" s="42">
        <f>SUBTOTAL(109,Program17[(C)
Program
Costs])</f>
        <v>14170</v>
      </c>
      <c r="D598" s="42">
        <f>SUBTOTAL(109,Program17[(D)
Prior Period Adjustments])</f>
        <v>-676</v>
      </c>
      <c r="E598" s="42">
        <f>SUBTOTAL(109,Program17[(E)
Current Period Desk 
Reviews])</f>
        <v>0</v>
      </c>
      <c r="F598" s="42">
        <f>SUBTOTAL(109,Program17[(F)
Current Period 
Final 
Audits])</f>
        <v>0</v>
      </c>
      <c r="G598" s="42">
        <f>SUBTOTAL(109,Program17[(G)
Current Period 
Other Adjustments])</f>
        <v>0</v>
      </c>
      <c r="H598" s="42">
        <f>SUBTOTAL(109,Program17[(H)
Net Program Costs
Sum (C through G)])</f>
        <v>13494</v>
      </c>
      <c r="I598" s="42">
        <f>SUBTOTAL(109,Program17[(I)
Payments
 and Offsets])</f>
        <v>-13494</v>
      </c>
      <c r="J598" s="42">
        <f>SUBTOTAL(109,Program17[(J)
Accounts Payable Balance
(H + I)])</f>
        <v>0</v>
      </c>
      <c r="K598" s="42">
        <f>SUBTOTAL(109,Program17[(K)
Established 
Accounts Receivable])</f>
        <v>515</v>
      </c>
      <c r="L598" s="42">
        <f>SUBTOTAL(109,Program17[(L)
Recovered
 Accounts Receivable])</f>
        <v>-515</v>
      </c>
      <c r="M598" s="42">
        <f>SUBTOTAL(109,Program17[(M)
Accounts Receivable Balance
(K + L)])</f>
        <v>0</v>
      </c>
      <c r="N598" s="42">
        <f>SUBTOTAL(109,Program17[(N)
Net Balance
(J minus M)])</f>
        <v>0</v>
      </c>
    </row>
    <row r="599" spans="1:14" outlineLevel="1" x14ac:dyDescent="0.35">
      <c r="A599" s="63" t="s">
        <v>33</v>
      </c>
      <c r="B599" s="62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</row>
    <row r="600" spans="1:14" ht="77.5" outlineLevel="1" x14ac:dyDescent="0.35">
      <c r="A600" s="60" t="s">
        <v>185</v>
      </c>
      <c r="B600" s="59" t="s">
        <v>184</v>
      </c>
      <c r="C600" s="58" t="s">
        <v>183</v>
      </c>
      <c r="D600" s="58" t="s">
        <v>182</v>
      </c>
      <c r="E600" s="56" t="s">
        <v>181</v>
      </c>
      <c r="F600" s="56" t="s">
        <v>180</v>
      </c>
      <c r="G600" s="56" t="s">
        <v>179</v>
      </c>
      <c r="H600" s="57" t="s">
        <v>674</v>
      </c>
      <c r="I600" s="55" t="s">
        <v>178</v>
      </c>
      <c r="J600" s="55" t="s">
        <v>177</v>
      </c>
      <c r="K600" s="56" t="s">
        <v>176</v>
      </c>
      <c r="L600" s="55" t="s">
        <v>175</v>
      </c>
      <c r="M600" s="55" t="s">
        <v>174</v>
      </c>
      <c r="N600" s="54" t="s">
        <v>173</v>
      </c>
    </row>
    <row r="601" spans="1:14" outlineLevel="2" x14ac:dyDescent="0.35">
      <c r="A601" s="53" t="s">
        <v>315</v>
      </c>
      <c r="B601" s="66" t="s">
        <v>198</v>
      </c>
      <c r="C601" s="51">
        <v>79326</v>
      </c>
      <c r="D601" s="51">
        <v>0</v>
      </c>
      <c r="E601" s="51">
        <v>0</v>
      </c>
      <c r="F601" s="51">
        <v>0</v>
      </c>
      <c r="G601" s="51">
        <v>0</v>
      </c>
      <c r="H601" s="51">
        <v>79326</v>
      </c>
      <c r="I601" s="51">
        <v>-79326</v>
      </c>
      <c r="J601" s="51">
        <v>0</v>
      </c>
      <c r="K601" s="51">
        <v>0</v>
      </c>
      <c r="L601" s="51">
        <v>0</v>
      </c>
      <c r="M601" s="51">
        <v>0</v>
      </c>
      <c r="N601" s="51">
        <v>0</v>
      </c>
    </row>
    <row r="602" spans="1:14" outlineLevel="2" x14ac:dyDescent="0.35">
      <c r="A602" s="82" t="s">
        <v>315</v>
      </c>
      <c r="B602" s="66" t="s">
        <v>197</v>
      </c>
      <c r="C602" s="51">
        <v>109909</v>
      </c>
      <c r="D602" s="51">
        <v>-2822</v>
      </c>
      <c r="E602" s="51">
        <v>0</v>
      </c>
      <c r="F602" s="51">
        <v>0</v>
      </c>
      <c r="G602" s="51">
        <v>0</v>
      </c>
      <c r="H602" s="51">
        <v>107087</v>
      </c>
      <c r="I602" s="51">
        <v>-107087</v>
      </c>
      <c r="J602" s="51">
        <v>0</v>
      </c>
      <c r="K602" s="51">
        <v>0</v>
      </c>
      <c r="L602" s="51">
        <v>0</v>
      </c>
      <c r="M602" s="51">
        <v>0</v>
      </c>
      <c r="N602" s="51">
        <v>0</v>
      </c>
    </row>
    <row r="603" spans="1:14" outlineLevel="2" x14ac:dyDescent="0.35">
      <c r="A603" s="82" t="s">
        <v>315</v>
      </c>
      <c r="B603" s="66" t="s">
        <v>196</v>
      </c>
      <c r="C603" s="51">
        <v>42351</v>
      </c>
      <c r="D603" s="51">
        <v>-1000</v>
      </c>
      <c r="E603" s="51">
        <v>0</v>
      </c>
      <c r="F603" s="51">
        <v>0</v>
      </c>
      <c r="G603" s="51">
        <v>0</v>
      </c>
      <c r="H603" s="51">
        <v>41351</v>
      </c>
      <c r="I603" s="51">
        <v>-41351</v>
      </c>
      <c r="J603" s="51">
        <v>0</v>
      </c>
      <c r="K603" s="51">
        <v>0</v>
      </c>
      <c r="L603" s="51">
        <v>0</v>
      </c>
      <c r="M603" s="51">
        <v>0</v>
      </c>
      <c r="N603" s="51">
        <v>0</v>
      </c>
    </row>
    <row r="604" spans="1:14" outlineLevel="2" x14ac:dyDescent="0.35">
      <c r="A604" s="82" t="s">
        <v>315</v>
      </c>
      <c r="B604" s="66" t="s">
        <v>195</v>
      </c>
      <c r="C604" s="51">
        <v>99324</v>
      </c>
      <c r="D604" s="51">
        <v>-13</v>
      </c>
      <c r="E604" s="51">
        <v>0</v>
      </c>
      <c r="F604" s="51">
        <v>0</v>
      </c>
      <c r="G604" s="51">
        <v>0</v>
      </c>
      <c r="H604" s="51">
        <v>99311</v>
      </c>
      <c r="I604" s="51">
        <v>-99311</v>
      </c>
      <c r="J604" s="51">
        <v>0</v>
      </c>
      <c r="K604" s="51">
        <v>0</v>
      </c>
      <c r="L604" s="51">
        <v>0</v>
      </c>
      <c r="M604" s="51">
        <v>0</v>
      </c>
      <c r="N604" s="51">
        <v>0</v>
      </c>
    </row>
    <row r="605" spans="1:14" outlineLevel="2" x14ac:dyDescent="0.35">
      <c r="A605" s="82" t="s">
        <v>315</v>
      </c>
      <c r="B605" s="66" t="s">
        <v>194</v>
      </c>
      <c r="C605" s="51">
        <v>135440</v>
      </c>
      <c r="D605" s="51">
        <v>-1000</v>
      </c>
      <c r="E605" s="51">
        <v>0</v>
      </c>
      <c r="F605" s="51">
        <v>0</v>
      </c>
      <c r="G605" s="51">
        <v>0</v>
      </c>
      <c r="H605" s="51">
        <v>134440</v>
      </c>
      <c r="I605" s="51">
        <v>-134440</v>
      </c>
      <c r="J605" s="51">
        <v>0</v>
      </c>
      <c r="K605" s="51">
        <v>0</v>
      </c>
      <c r="L605" s="51">
        <v>0</v>
      </c>
      <c r="M605" s="51">
        <v>0</v>
      </c>
      <c r="N605" s="51">
        <v>0</v>
      </c>
    </row>
    <row r="606" spans="1:14" outlineLevel="2" x14ac:dyDescent="0.35">
      <c r="A606" s="82" t="s">
        <v>315</v>
      </c>
      <c r="B606" s="66" t="s">
        <v>193</v>
      </c>
      <c r="C606" s="51">
        <v>19681</v>
      </c>
      <c r="D606" s="51">
        <v>0</v>
      </c>
      <c r="E606" s="51">
        <v>0</v>
      </c>
      <c r="F606" s="51">
        <v>0</v>
      </c>
      <c r="G606" s="51">
        <v>0</v>
      </c>
      <c r="H606" s="51">
        <v>19681</v>
      </c>
      <c r="I606" s="51">
        <v>-19681</v>
      </c>
      <c r="J606" s="51">
        <v>0</v>
      </c>
      <c r="K606" s="51">
        <v>0</v>
      </c>
      <c r="L606" s="51">
        <v>0</v>
      </c>
      <c r="M606" s="51">
        <v>0</v>
      </c>
      <c r="N606" s="51">
        <v>0</v>
      </c>
    </row>
    <row r="607" spans="1:14" outlineLevel="2" x14ac:dyDescent="0.35">
      <c r="A607" s="65" t="s">
        <v>132</v>
      </c>
      <c r="B607" s="81" t="s">
        <v>12</v>
      </c>
      <c r="C607" s="42">
        <f>SUBTOTAL(109,Program204[(C)
Program
Costs])</f>
        <v>486031</v>
      </c>
      <c r="D607" s="42">
        <f>SUBTOTAL(109,Program204[(D)
Prior Period Adjustments])</f>
        <v>-4835</v>
      </c>
      <c r="E607" s="42">
        <f>SUBTOTAL(109,Program204[(E)
Current Period Desk 
Reviews])</f>
        <v>0</v>
      </c>
      <c r="F607" s="42">
        <f>SUBTOTAL(109,Program204[(F)
Current Period 
Final 
Audits])</f>
        <v>0</v>
      </c>
      <c r="G607" s="42">
        <f>SUBTOTAL(109,Program204[(G)
Current Period 
Other Adjustments])</f>
        <v>0</v>
      </c>
      <c r="H607" s="42">
        <f>SUBTOTAL(109,Program204[(H)
Net Program Costs
Sum (C through G)])</f>
        <v>481196</v>
      </c>
      <c r="I607" s="42">
        <f>SUBTOTAL(109,Program204[(I)
Payments
 and Offsets])</f>
        <v>-481196</v>
      </c>
      <c r="J607" s="42">
        <f>SUBTOTAL(109,Program204[(J)
Accounts Payable Balance
(H + I)])</f>
        <v>0</v>
      </c>
      <c r="K607" s="42">
        <f>SUBTOTAL(109,Program204[(K)
Established 
Accounts Receivable])</f>
        <v>0</v>
      </c>
      <c r="L607" s="42">
        <f>SUBTOTAL(109,Program204[(L)
Recovered
 Accounts Receivable])</f>
        <v>0</v>
      </c>
      <c r="M607" s="42">
        <f>SUBTOTAL(109,Program204[(M)
Accounts Receivable Balance
(K + L)])</f>
        <v>0</v>
      </c>
      <c r="N607" s="42">
        <f>SUBTOTAL(109,Program204[(N)
Net Balance
(J minus M)])</f>
        <v>0</v>
      </c>
    </row>
    <row r="608" spans="1:14" outlineLevel="2" x14ac:dyDescent="0.35">
      <c r="A608" s="63" t="s">
        <v>33</v>
      </c>
      <c r="B608" s="62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</row>
    <row r="609" spans="1:14" ht="77.5" outlineLevel="2" x14ac:dyDescent="0.35">
      <c r="A609" s="60" t="s">
        <v>185</v>
      </c>
      <c r="B609" s="59" t="s">
        <v>184</v>
      </c>
      <c r="C609" s="58" t="s">
        <v>183</v>
      </c>
      <c r="D609" s="58" t="s">
        <v>182</v>
      </c>
      <c r="E609" s="56" t="s">
        <v>181</v>
      </c>
      <c r="F609" s="56" t="s">
        <v>180</v>
      </c>
      <c r="G609" s="56" t="s">
        <v>179</v>
      </c>
      <c r="H609" s="57" t="s">
        <v>674</v>
      </c>
      <c r="I609" s="55" t="s">
        <v>178</v>
      </c>
      <c r="J609" s="55" t="s">
        <v>177</v>
      </c>
      <c r="K609" s="56" t="s">
        <v>176</v>
      </c>
      <c r="L609" s="55" t="s">
        <v>175</v>
      </c>
      <c r="M609" s="55" t="s">
        <v>174</v>
      </c>
      <c r="N609" s="54" t="s">
        <v>173</v>
      </c>
    </row>
    <row r="610" spans="1:14" outlineLevel="1" x14ac:dyDescent="0.35">
      <c r="A610" s="53" t="s">
        <v>314</v>
      </c>
      <c r="B610" s="66" t="s">
        <v>204</v>
      </c>
      <c r="C610" s="51">
        <v>4297</v>
      </c>
      <c r="D610" s="51">
        <v>0</v>
      </c>
      <c r="E610" s="51">
        <v>0</v>
      </c>
      <c r="F610" s="51">
        <v>0</v>
      </c>
      <c r="G610" s="51">
        <v>0</v>
      </c>
      <c r="H610" s="51">
        <v>4297</v>
      </c>
      <c r="I610" s="51">
        <v>0</v>
      </c>
      <c r="J610" s="51">
        <v>4297</v>
      </c>
      <c r="K610" s="51">
        <v>0</v>
      </c>
      <c r="L610" s="51">
        <v>0</v>
      </c>
      <c r="M610" s="51">
        <v>0</v>
      </c>
      <c r="N610" s="51">
        <v>4297</v>
      </c>
    </row>
    <row r="611" spans="1:14" outlineLevel="1" x14ac:dyDescent="0.35">
      <c r="A611" s="82" t="s">
        <v>314</v>
      </c>
      <c r="B611" s="66" t="s">
        <v>203</v>
      </c>
      <c r="C611" s="51">
        <v>5788</v>
      </c>
      <c r="D611" s="51">
        <v>0</v>
      </c>
      <c r="E611" s="51">
        <v>0</v>
      </c>
      <c r="F611" s="51">
        <v>0</v>
      </c>
      <c r="G611" s="51">
        <v>0</v>
      </c>
      <c r="H611" s="51">
        <v>5788</v>
      </c>
      <c r="I611" s="51">
        <v>0</v>
      </c>
      <c r="J611" s="51">
        <v>5788</v>
      </c>
      <c r="K611" s="51">
        <v>0</v>
      </c>
      <c r="L611" s="51">
        <v>0</v>
      </c>
      <c r="M611" s="51">
        <v>0</v>
      </c>
      <c r="N611" s="51">
        <v>5788</v>
      </c>
    </row>
    <row r="612" spans="1:14" outlineLevel="2" x14ac:dyDescent="0.35">
      <c r="A612" s="82" t="s">
        <v>314</v>
      </c>
      <c r="B612" s="66" t="s">
        <v>202</v>
      </c>
      <c r="C612" s="51">
        <v>6648</v>
      </c>
      <c r="D612" s="51">
        <v>0</v>
      </c>
      <c r="E612" s="51">
        <v>0</v>
      </c>
      <c r="F612" s="51">
        <v>0</v>
      </c>
      <c r="G612" s="51">
        <v>0</v>
      </c>
      <c r="H612" s="51">
        <v>6648</v>
      </c>
      <c r="I612" s="51">
        <v>-6648</v>
      </c>
      <c r="J612" s="51">
        <v>0</v>
      </c>
      <c r="K612" s="51">
        <v>1371</v>
      </c>
      <c r="L612" s="51">
        <v>-1371</v>
      </c>
      <c r="M612" s="51">
        <v>0</v>
      </c>
      <c r="N612" s="51">
        <v>0</v>
      </c>
    </row>
    <row r="613" spans="1:14" outlineLevel="2" x14ac:dyDescent="0.35">
      <c r="A613" s="82" t="s">
        <v>314</v>
      </c>
      <c r="B613" s="66" t="s">
        <v>201</v>
      </c>
      <c r="C613" s="51">
        <v>15159</v>
      </c>
      <c r="D613" s="51">
        <v>0</v>
      </c>
      <c r="E613" s="51">
        <v>0</v>
      </c>
      <c r="F613" s="51">
        <v>0</v>
      </c>
      <c r="G613" s="51">
        <v>0</v>
      </c>
      <c r="H613" s="51">
        <v>15159</v>
      </c>
      <c r="I613" s="51">
        <v>-15159</v>
      </c>
      <c r="J613" s="51">
        <v>0</v>
      </c>
      <c r="K613" s="51">
        <v>0</v>
      </c>
      <c r="L613" s="51">
        <v>0</v>
      </c>
      <c r="M613" s="51">
        <v>0</v>
      </c>
      <c r="N613" s="51">
        <v>0</v>
      </c>
    </row>
    <row r="614" spans="1:14" outlineLevel="2" x14ac:dyDescent="0.35">
      <c r="A614" s="82" t="s">
        <v>314</v>
      </c>
      <c r="B614" s="66" t="s">
        <v>200</v>
      </c>
      <c r="C614" s="51">
        <v>20132</v>
      </c>
      <c r="D614" s="51">
        <v>-657</v>
      </c>
      <c r="E614" s="51">
        <v>0</v>
      </c>
      <c r="F614" s="51">
        <v>0</v>
      </c>
      <c r="G614" s="51">
        <v>0</v>
      </c>
      <c r="H614" s="51">
        <v>19475</v>
      </c>
      <c r="I614" s="51">
        <v>-19475</v>
      </c>
      <c r="J614" s="51">
        <v>0</v>
      </c>
      <c r="K614" s="51">
        <v>0</v>
      </c>
      <c r="L614" s="51">
        <v>0</v>
      </c>
      <c r="M614" s="51">
        <v>0</v>
      </c>
      <c r="N614" s="51">
        <v>0</v>
      </c>
    </row>
    <row r="615" spans="1:14" outlineLevel="2" x14ac:dyDescent="0.35">
      <c r="A615" s="82" t="s">
        <v>314</v>
      </c>
      <c r="B615" s="66" t="s">
        <v>199</v>
      </c>
      <c r="C615" s="51">
        <v>11175</v>
      </c>
      <c r="D615" s="51">
        <v>0</v>
      </c>
      <c r="E615" s="51">
        <v>0</v>
      </c>
      <c r="F615" s="51">
        <v>0</v>
      </c>
      <c r="G615" s="51">
        <v>0</v>
      </c>
      <c r="H615" s="51">
        <v>11175</v>
      </c>
      <c r="I615" s="51">
        <v>-11175</v>
      </c>
      <c r="J615" s="51">
        <v>0</v>
      </c>
      <c r="K615" s="51">
        <v>0</v>
      </c>
      <c r="L615" s="51">
        <v>0</v>
      </c>
      <c r="M615" s="51">
        <v>0</v>
      </c>
      <c r="N615" s="51">
        <v>0</v>
      </c>
    </row>
    <row r="616" spans="1:14" outlineLevel="2" x14ac:dyDescent="0.35">
      <c r="A616" s="82" t="s">
        <v>314</v>
      </c>
      <c r="B616" s="66" t="s">
        <v>198</v>
      </c>
      <c r="C616" s="51">
        <v>13341</v>
      </c>
      <c r="D616" s="51">
        <v>0</v>
      </c>
      <c r="E616" s="51">
        <v>0</v>
      </c>
      <c r="F616" s="51">
        <v>0</v>
      </c>
      <c r="G616" s="51">
        <v>0</v>
      </c>
      <c r="H616" s="51">
        <v>13341</v>
      </c>
      <c r="I616" s="51">
        <v>-13341</v>
      </c>
      <c r="J616" s="51">
        <v>0</v>
      </c>
      <c r="K616" s="51">
        <v>0</v>
      </c>
      <c r="L616" s="51">
        <v>0</v>
      </c>
      <c r="M616" s="51">
        <v>0</v>
      </c>
      <c r="N616" s="51">
        <v>0</v>
      </c>
    </row>
    <row r="617" spans="1:14" outlineLevel="2" x14ac:dyDescent="0.35">
      <c r="A617" s="82" t="s">
        <v>314</v>
      </c>
      <c r="B617" s="66" t="s">
        <v>197</v>
      </c>
      <c r="C617" s="51">
        <v>15254</v>
      </c>
      <c r="D617" s="51">
        <v>0</v>
      </c>
      <c r="E617" s="51">
        <v>0</v>
      </c>
      <c r="F617" s="51">
        <v>0</v>
      </c>
      <c r="G617" s="51">
        <v>0</v>
      </c>
      <c r="H617" s="51">
        <v>15254</v>
      </c>
      <c r="I617" s="51">
        <v>-15254</v>
      </c>
      <c r="J617" s="51">
        <v>0</v>
      </c>
      <c r="K617" s="51">
        <v>0</v>
      </c>
      <c r="L617" s="51">
        <v>0</v>
      </c>
      <c r="M617" s="51">
        <v>0</v>
      </c>
      <c r="N617" s="51">
        <v>0</v>
      </c>
    </row>
    <row r="618" spans="1:14" outlineLevel="2" x14ac:dyDescent="0.35">
      <c r="A618" s="82" t="s">
        <v>314</v>
      </c>
      <c r="B618" s="66" t="s">
        <v>196</v>
      </c>
      <c r="C618" s="51">
        <v>16797</v>
      </c>
      <c r="D618" s="51">
        <v>0</v>
      </c>
      <c r="E618" s="51">
        <v>0</v>
      </c>
      <c r="F618" s="51">
        <v>0</v>
      </c>
      <c r="G618" s="51">
        <v>0</v>
      </c>
      <c r="H618" s="51">
        <v>16797</v>
      </c>
      <c r="I618" s="51">
        <v>-16797</v>
      </c>
      <c r="J618" s="51">
        <v>0</v>
      </c>
      <c r="K618" s="51">
        <v>0</v>
      </c>
      <c r="L618" s="51">
        <v>0</v>
      </c>
      <c r="M618" s="51">
        <v>0</v>
      </c>
      <c r="N618" s="51">
        <v>0</v>
      </c>
    </row>
    <row r="619" spans="1:14" outlineLevel="2" x14ac:dyDescent="0.35">
      <c r="A619" s="82" t="s">
        <v>314</v>
      </c>
      <c r="B619" s="66" t="s">
        <v>195</v>
      </c>
      <c r="C619" s="51">
        <v>16787</v>
      </c>
      <c r="D619" s="51">
        <v>0</v>
      </c>
      <c r="E619" s="51">
        <v>0</v>
      </c>
      <c r="F619" s="51">
        <v>0</v>
      </c>
      <c r="G619" s="51">
        <v>0</v>
      </c>
      <c r="H619" s="51">
        <v>16787</v>
      </c>
      <c r="I619" s="51">
        <v>-16787</v>
      </c>
      <c r="J619" s="51">
        <v>0</v>
      </c>
      <c r="K619" s="51">
        <v>0</v>
      </c>
      <c r="L619" s="51">
        <v>0</v>
      </c>
      <c r="M619" s="51">
        <v>0</v>
      </c>
      <c r="N619" s="51">
        <v>0</v>
      </c>
    </row>
    <row r="620" spans="1:14" outlineLevel="2" x14ac:dyDescent="0.35">
      <c r="A620" s="65" t="s">
        <v>131</v>
      </c>
      <c r="B620" s="81" t="s">
        <v>12</v>
      </c>
      <c r="C620" s="42">
        <f>SUBTOTAL(109,Program257[(C)
Program
Costs])</f>
        <v>125378</v>
      </c>
      <c r="D620" s="42">
        <f>SUBTOTAL(109,Program257[(D)
Prior Period Adjustments])</f>
        <v>-657</v>
      </c>
      <c r="E620" s="42">
        <f>SUBTOTAL(109,Program257[(E)
Current Period Desk 
Reviews])</f>
        <v>0</v>
      </c>
      <c r="F620" s="42">
        <f>SUBTOTAL(109,Program257[(F)
Current Period 
Final 
Audits])</f>
        <v>0</v>
      </c>
      <c r="G620" s="42">
        <f>SUBTOTAL(109,Program257[(G)
Current Period 
Other Adjustments])</f>
        <v>0</v>
      </c>
      <c r="H620" s="42">
        <f>SUBTOTAL(109,Program257[(H)
Net Program Costs
Sum (C through G)])</f>
        <v>124721</v>
      </c>
      <c r="I620" s="42">
        <f>SUBTOTAL(109,Program257[(I)
Payments
 and Offsets])</f>
        <v>-114636</v>
      </c>
      <c r="J620" s="42">
        <f>SUBTOTAL(109,Program257[(J)
Accounts Payable Balance
(H + I)])</f>
        <v>10085</v>
      </c>
      <c r="K620" s="42">
        <f>SUBTOTAL(109,Program257[(K)
Established 
Accounts Receivable])</f>
        <v>1371</v>
      </c>
      <c r="L620" s="42">
        <f>SUBTOTAL(109,Program257[(L)
Recovered
 Accounts Receivable])</f>
        <v>-1371</v>
      </c>
      <c r="M620" s="42">
        <f>SUBTOTAL(109,Program257[(M)
Accounts Receivable Balance
(K + L)])</f>
        <v>0</v>
      </c>
      <c r="N620" s="42">
        <f>SUBTOTAL(109,Program257[(N)
Net Balance
(J minus M)])</f>
        <v>10085</v>
      </c>
    </row>
    <row r="621" spans="1:14" outlineLevel="2" x14ac:dyDescent="0.35">
      <c r="A621" s="63" t="s">
        <v>33</v>
      </c>
      <c r="B621" s="62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</row>
    <row r="622" spans="1:14" ht="77.5" outlineLevel="2" x14ac:dyDescent="0.35">
      <c r="A622" s="60" t="s">
        <v>185</v>
      </c>
      <c r="B622" s="59" t="s">
        <v>184</v>
      </c>
      <c r="C622" s="58" t="s">
        <v>183</v>
      </c>
      <c r="D622" s="58" t="s">
        <v>182</v>
      </c>
      <c r="E622" s="56" t="s">
        <v>181</v>
      </c>
      <c r="F622" s="56" t="s">
        <v>180</v>
      </c>
      <c r="G622" s="56" t="s">
        <v>179</v>
      </c>
      <c r="H622" s="57" t="s">
        <v>674</v>
      </c>
      <c r="I622" s="55" t="s">
        <v>178</v>
      </c>
      <c r="J622" s="55" t="s">
        <v>177</v>
      </c>
      <c r="K622" s="56" t="s">
        <v>176</v>
      </c>
      <c r="L622" s="55" t="s">
        <v>175</v>
      </c>
      <c r="M622" s="55" t="s">
        <v>174</v>
      </c>
      <c r="N622" s="54" t="s">
        <v>173</v>
      </c>
    </row>
    <row r="623" spans="1:14" outlineLevel="2" x14ac:dyDescent="0.35">
      <c r="A623" s="53" t="s">
        <v>313</v>
      </c>
      <c r="B623" s="66" t="s">
        <v>203</v>
      </c>
      <c r="C623" s="51">
        <v>3493</v>
      </c>
      <c r="D623" s="51">
        <v>-3493</v>
      </c>
      <c r="E623" s="51">
        <v>0</v>
      </c>
      <c r="F623" s="51">
        <v>0</v>
      </c>
      <c r="G623" s="51">
        <v>0</v>
      </c>
      <c r="H623" s="51">
        <v>0</v>
      </c>
      <c r="I623" s="51">
        <v>0</v>
      </c>
      <c r="J623" s="51">
        <v>0</v>
      </c>
      <c r="K623" s="51">
        <v>0</v>
      </c>
      <c r="L623" s="51">
        <v>0</v>
      </c>
      <c r="M623" s="51">
        <v>0</v>
      </c>
      <c r="N623" s="51">
        <v>0</v>
      </c>
    </row>
    <row r="624" spans="1:14" outlineLevel="2" x14ac:dyDescent="0.35">
      <c r="A624" s="65" t="s">
        <v>130</v>
      </c>
      <c r="B624" s="81" t="s">
        <v>12</v>
      </c>
      <c r="C624" s="42">
        <f>SUBTOTAL(109,Program290[(C)
Program
Costs])</f>
        <v>3493</v>
      </c>
      <c r="D624" s="42">
        <f>SUBTOTAL(109,Program290[(D)
Prior Period Adjustments])</f>
        <v>-3493</v>
      </c>
      <c r="E624" s="42">
        <f>SUBTOTAL(109,Program290[(E)
Current Period Desk 
Reviews])</f>
        <v>0</v>
      </c>
      <c r="F624" s="42">
        <f>SUBTOTAL(109,Program290[(F)
Current Period 
Final 
Audits])</f>
        <v>0</v>
      </c>
      <c r="G624" s="42">
        <f>SUBTOTAL(109,Program290[(G)
Current Period 
Other Adjustments])</f>
        <v>0</v>
      </c>
      <c r="H624" s="42">
        <f>SUBTOTAL(109,Program290[(H)
Net Program Costs
Sum (C through G)])</f>
        <v>0</v>
      </c>
      <c r="I624" s="42">
        <f>SUBTOTAL(109,Program290[(I)
Payments
 and Offsets])</f>
        <v>0</v>
      </c>
      <c r="J624" s="42">
        <f>SUBTOTAL(109,Program290[(J)
Accounts Payable Balance
(H + I)])</f>
        <v>0</v>
      </c>
      <c r="K624" s="42">
        <f>SUBTOTAL(109,Program290[(K)
Established 
Accounts Receivable])</f>
        <v>0</v>
      </c>
      <c r="L624" s="42">
        <f>SUBTOTAL(109,Program290[(L)
Recovered
 Accounts Receivable])</f>
        <v>0</v>
      </c>
      <c r="M624" s="42">
        <f>SUBTOTAL(109,Program290[(M)
Accounts Receivable Balance
(K + L)])</f>
        <v>0</v>
      </c>
      <c r="N624" s="42">
        <f>SUBTOTAL(109,Program290[(N)
Net Balance
(J minus M)])</f>
        <v>0</v>
      </c>
    </row>
    <row r="625" spans="1:14" outlineLevel="2" x14ac:dyDescent="0.35">
      <c r="A625" s="63" t="s">
        <v>33</v>
      </c>
      <c r="B625" s="62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</row>
    <row r="626" spans="1:14" ht="77.5" outlineLevel="2" x14ac:dyDescent="0.35">
      <c r="A626" s="60" t="s">
        <v>185</v>
      </c>
      <c r="B626" s="59" t="s">
        <v>184</v>
      </c>
      <c r="C626" s="58" t="s">
        <v>183</v>
      </c>
      <c r="D626" s="58" t="s">
        <v>182</v>
      </c>
      <c r="E626" s="56" t="s">
        <v>181</v>
      </c>
      <c r="F626" s="56" t="s">
        <v>180</v>
      </c>
      <c r="G626" s="56" t="s">
        <v>179</v>
      </c>
      <c r="H626" s="57" t="s">
        <v>674</v>
      </c>
      <c r="I626" s="55" t="s">
        <v>178</v>
      </c>
      <c r="J626" s="55" t="s">
        <v>177</v>
      </c>
      <c r="K626" s="56" t="s">
        <v>176</v>
      </c>
      <c r="L626" s="55" t="s">
        <v>175</v>
      </c>
      <c r="M626" s="55" t="s">
        <v>174</v>
      </c>
      <c r="N626" s="54" t="s">
        <v>173</v>
      </c>
    </row>
    <row r="627" spans="1:14" outlineLevel="2" x14ac:dyDescent="0.35">
      <c r="A627" s="53" t="s">
        <v>312</v>
      </c>
      <c r="B627" s="66" t="s">
        <v>188</v>
      </c>
      <c r="C627" s="51">
        <v>810</v>
      </c>
      <c r="D627" s="51">
        <v>0</v>
      </c>
      <c r="E627" s="51">
        <v>0</v>
      </c>
      <c r="F627" s="51">
        <v>0</v>
      </c>
      <c r="G627" s="51">
        <v>0</v>
      </c>
      <c r="H627" s="51">
        <v>810</v>
      </c>
      <c r="I627" s="51">
        <v>-810</v>
      </c>
      <c r="J627" s="51">
        <v>0</v>
      </c>
      <c r="K627" s="51">
        <v>0</v>
      </c>
      <c r="L627" s="51">
        <v>0</v>
      </c>
      <c r="M627" s="51">
        <v>0</v>
      </c>
      <c r="N627" s="51">
        <v>0</v>
      </c>
    </row>
    <row r="628" spans="1:14" outlineLevel="2" x14ac:dyDescent="0.35">
      <c r="A628" s="53" t="s">
        <v>312</v>
      </c>
      <c r="B628" s="66" t="s">
        <v>186</v>
      </c>
      <c r="C628" s="51">
        <v>4821</v>
      </c>
      <c r="D628" s="51">
        <v>0</v>
      </c>
      <c r="E628" s="51">
        <v>0</v>
      </c>
      <c r="F628" s="51">
        <v>0</v>
      </c>
      <c r="G628" s="51">
        <v>0</v>
      </c>
      <c r="H628" s="51">
        <v>4821</v>
      </c>
      <c r="I628" s="51">
        <v>-4821</v>
      </c>
      <c r="J628" s="51">
        <v>0</v>
      </c>
      <c r="K628" s="51">
        <v>0</v>
      </c>
      <c r="L628" s="51">
        <v>0</v>
      </c>
      <c r="M628" s="51">
        <v>0</v>
      </c>
      <c r="N628" s="51">
        <v>0</v>
      </c>
    </row>
    <row r="629" spans="1:14" s="80" customFormat="1" ht="16" outlineLevel="2" thickBot="1" x14ac:dyDescent="0.4">
      <c r="A629" s="50" t="s">
        <v>129</v>
      </c>
      <c r="B629" s="79" t="s">
        <v>12</v>
      </c>
      <c r="C629" s="48">
        <f>SUBTOTAL(109,Program21[(C)
Program
Costs])</f>
        <v>5631</v>
      </c>
      <c r="D629" s="48">
        <f>SUBTOTAL(109,Program21[(D)
Prior Period Adjustments])</f>
        <v>0</v>
      </c>
      <c r="E629" s="48">
        <f>SUBTOTAL(109,Program21[(E)
Current Period Desk 
Reviews])</f>
        <v>0</v>
      </c>
      <c r="F629" s="48">
        <f>SUBTOTAL(109,Program21[(F)
Current Period 
Final 
Audits])</f>
        <v>0</v>
      </c>
      <c r="G629" s="48">
        <f>SUBTOTAL(109,Program21[(G)
Current Period 
Other Adjustments])</f>
        <v>0</v>
      </c>
      <c r="H629" s="48">
        <f>SUBTOTAL(109,Program21[(H)
Net Program Costs
Sum (C through G)])</f>
        <v>5631</v>
      </c>
      <c r="I629" s="48">
        <f>SUBTOTAL(109,Program21[(I)
Payments
 and Offsets])</f>
        <v>-5631</v>
      </c>
      <c r="J629" s="48">
        <f>SUBTOTAL(109,Program21[(J)
Accounts Payable Balance
(H + I)])</f>
        <v>0</v>
      </c>
      <c r="K629" s="48">
        <f>SUBTOTAL(109,Program21[(K)
Established 
Accounts Receivable])</f>
        <v>0</v>
      </c>
      <c r="L629" s="48">
        <f>SUBTOTAL(109,Program21[(L)
Recovered
 Accounts Receivable])</f>
        <v>0</v>
      </c>
      <c r="M629" s="48">
        <f>SUBTOTAL(109,Program21[(M)
Accounts Receivable Balance
(K + L)])</f>
        <v>0</v>
      </c>
      <c r="N629" s="48">
        <f>SUBTOTAL(109,Program21[(N)
Net Balance
(J minus M)])</f>
        <v>0</v>
      </c>
    </row>
    <row r="630" spans="1:14" outlineLevel="1" x14ac:dyDescent="0.35">
      <c r="A630" s="63" t="s">
        <v>33</v>
      </c>
      <c r="B630" s="62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</row>
    <row r="631" spans="1:14" ht="77.5" outlineLevel="1" x14ac:dyDescent="0.35">
      <c r="A631" s="60" t="s">
        <v>185</v>
      </c>
      <c r="B631" s="59" t="s">
        <v>184</v>
      </c>
      <c r="C631" s="58" t="s">
        <v>183</v>
      </c>
      <c r="D631" s="58" t="s">
        <v>182</v>
      </c>
      <c r="E631" s="56" t="s">
        <v>181</v>
      </c>
      <c r="F631" s="56" t="s">
        <v>180</v>
      </c>
      <c r="G631" s="56" t="s">
        <v>179</v>
      </c>
      <c r="H631" s="57" t="s">
        <v>674</v>
      </c>
      <c r="I631" s="55" t="s">
        <v>178</v>
      </c>
      <c r="J631" s="55" t="s">
        <v>177</v>
      </c>
      <c r="K631" s="56" t="s">
        <v>176</v>
      </c>
      <c r="L631" s="55" t="s">
        <v>175</v>
      </c>
      <c r="M631" s="55" t="s">
        <v>174</v>
      </c>
      <c r="N631" s="54" t="s">
        <v>173</v>
      </c>
    </row>
    <row r="632" spans="1:14" ht="15.5" customHeight="1" outlineLevel="2" x14ac:dyDescent="0.35">
      <c r="A632" s="70" t="s">
        <v>311</v>
      </c>
      <c r="B632" s="66" t="s">
        <v>204</v>
      </c>
      <c r="C632" s="51">
        <v>100886</v>
      </c>
      <c r="D632" s="51">
        <v>0</v>
      </c>
      <c r="E632" s="51">
        <v>0</v>
      </c>
      <c r="F632" s="51">
        <v>0</v>
      </c>
      <c r="G632" s="51">
        <v>0</v>
      </c>
      <c r="H632" s="51">
        <v>100886</v>
      </c>
      <c r="I632" s="51">
        <v>-100886</v>
      </c>
      <c r="J632" s="51">
        <v>0</v>
      </c>
      <c r="K632" s="51">
        <v>0</v>
      </c>
      <c r="L632" s="51">
        <v>0</v>
      </c>
      <c r="M632" s="51">
        <v>0</v>
      </c>
      <c r="N632" s="51">
        <v>0</v>
      </c>
    </row>
    <row r="633" spans="1:14" ht="15.5" customHeight="1" outlineLevel="2" x14ac:dyDescent="0.35">
      <c r="A633" s="70" t="s">
        <v>311</v>
      </c>
      <c r="B633" s="66" t="s">
        <v>203</v>
      </c>
      <c r="C633" s="51">
        <v>146297</v>
      </c>
      <c r="D633" s="51">
        <v>-297</v>
      </c>
      <c r="E633" s="51">
        <v>0</v>
      </c>
      <c r="F633" s="51">
        <v>0</v>
      </c>
      <c r="G633" s="51">
        <v>0</v>
      </c>
      <c r="H633" s="51">
        <v>146000</v>
      </c>
      <c r="I633" s="51">
        <v>-146000</v>
      </c>
      <c r="J633" s="51">
        <v>0</v>
      </c>
      <c r="K633" s="51">
        <v>0</v>
      </c>
      <c r="L633" s="51">
        <v>0</v>
      </c>
      <c r="M633" s="51">
        <v>0</v>
      </c>
      <c r="N633" s="51">
        <v>0</v>
      </c>
    </row>
    <row r="634" spans="1:14" ht="15.5" customHeight="1" outlineLevel="2" x14ac:dyDescent="0.35">
      <c r="A634" s="70" t="s">
        <v>311</v>
      </c>
      <c r="B634" s="66" t="s">
        <v>202</v>
      </c>
      <c r="C634" s="51">
        <v>100881</v>
      </c>
      <c r="D634" s="51">
        <v>-1365</v>
      </c>
      <c r="E634" s="51">
        <v>0</v>
      </c>
      <c r="F634" s="51">
        <v>0</v>
      </c>
      <c r="G634" s="51">
        <v>0</v>
      </c>
      <c r="H634" s="51">
        <v>99516</v>
      </c>
      <c r="I634" s="51">
        <v>-99516</v>
      </c>
      <c r="J634" s="51">
        <v>0</v>
      </c>
      <c r="K634" s="51">
        <v>0</v>
      </c>
      <c r="L634" s="51">
        <v>0</v>
      </c>
      <c r="M634" s="51">
        <v>0</v>
      </c>
      <c r="N634" s="51">
        <v>0</v>
      </c>
    </row>
    <row r="635" spans="1:14" ht="15.5" customHeight="1" outlineLevel="2" x14ac:dyDescent="0.35">
      <c r="A635" s="70" t="s">
        <v>311</v>
      </c>
      <c r="B635" s="66" t="s">
        <v>201</v>
      </c>
      <c r="C635" s="51">
        <v>79611</v>
      </c>
      <c r="D635" s="51">
        <v>-4617</v>
      </c>
      <c r="E635" s="51">
        <v>0</v>
      </c>
      <c r="F635" s="51">
        <v>0</v>
      </c>
      <c r="G635" s="51">
        <v>0</v>
      </c>
      <c r="H635" s="51">
        <v>74994</v>
      </c>
      <c r="I635" s="51">
        <v>-74994</v>
      </c>
      <c r="J635" s="51">
        <v>0</v>
      </c>
      <c r="K635" s="51">
        <v>0</v>
      </c>
      <c r="L635" s="51">
        <v>0</v>
      </c>
      <c r="M635" s="51">
        <v>0</v>
      </c>
      <c r="N635" s="51">
        <v>0</v>
      </c>
    </row>
    <row r="636" spans="1:14" ht="15.5" customHeight="1" outlineLevel="2" x14ac:dyDescent="0.35">
      <c r="A636" s="70" t="s">
        <v>311</v>
      </c>
      <c r="B636" s="66" t="s">
        <v>200</v>
      </c>
      <c r="C636" s="51">
        <v>85115</v>
      </c>
      <c r="D636" s="51">
        <v>-1445</v>
      </c>
      <c r="E636" s="51">
        <v>0</v>
      </c>
      <c r="F636" s="51">
        <v>0</v>
      </c>
      <c r="G636" s="51">
        <v>0</v>
      </c>
      <c r="H636" s="51">
        <v>83670</v>
      </c>
      <c r="I636" s="51">
        <v>-83670</v>
      </c>
      <c r="J636" s="51">
        <v>0</v>
      </c>
      <c r="K636" s="51">
        <v>0</v>
      </c>
      <c r="L636" s="51">
        <v>0</v>
      </c>
      <c r="M636" s="51">
        <v>0</v>
      </c>
      <c r="N636" s="51">
        <v>0</v>
      </c>
    </row>
    <row r="637" spans="1:14" ht="15.5" customHeight="1" outlineLevel="2" x14ac:dyDescent="0.35">
      <c r="A637" s="70" t="s">
        <v>311</v>
      </c>
      <c r="B637" s="66" t="s">
        <v>199</v>
      </c>
      <c r="C637" s="51">
        <v>70665</v>
      </c>
      <c r="D637" s="51">
        <v>-1497</v>
      </c>
      <c r="E637" s="51">
        <v>0</v>
      </c>
      <c r="F637" s="51">
        <v>0</v>
      </c>
      <c r="G637" s="51">
        <v>0</v>
      </c>
      <c r="H637" s="51">
        <v>69168</v>
      </c>
      <c r="I637" s="51">
        <v>-69168</v>
      </c>
      <c r="J637" s="51">
        <v>0</v>
      </c>
      <c r="K637" s="51">
        <v>0</v>
      </c>
      <c r="L637" s="51">
        <v>0</v>
      </c>
      <c r="M637" s="51">
        <v>0</v>
      </c>
      <c r="N637" s="51">
        <v>0</v>
      </c>
    </row>
    <row r="638" spans="1:14" ht="15.5" customHeight="1" outlineLevel="2" x14ac:dyDescent="0.35">
      <c r="A638" s="70" t="s">
        <v>311</v>
      </c>
      <c r="B638" s="66" t="s">
        <v>198</v>
      </c>
      <c r="C638" s="51">
        <v>61150</v>
      </c>
      <c r="D638" s="51">
        <v>-1649</v>
      </c>
      <c r="E638" s="51">
        <v>0</v>
      </c>
      <c r="F638" s="51">
        <v>0</v>
      </c>
      <c r="G638" s="51">
        <v>0</v>
      </c>
      <c r="H638" s="51">
        <v>59501</v>
      </c>
      <c r="I638" s="51">
        <v>-59501</v>
      </c>
      <c r="J638" s="51">
        <v>0</v>
      </c>
      <c r="K638" s="51">
        <v>0</v>
      </c>
      <c r="L638" s="51">
        <v>0</v>
      </c>
      <c r="M638" s="51">
        <v>0</v>
      </c>
      <c r="N638" s="51">
        <v>0</v>
      </c>
    </row>
    <row r="639" spans="1:14" ht="15.5" customHeight="1" outlineLevel="2" x14ac:dyDescent="0.35">
      <c r="A639" s="70" t="s">
        <v>311</v>
      </c>
      <c r="B639" s="66" t="s">
        <v>197</v>
      </c>
      <c r="C639" s="51">
        <v>76627</v>
      </c>
      <c r="D639" s="51">
        <v>-1571</v>
      </c>
      <c r="E639" s="51">
        <v>0</v>
      </c>
      <c r="F639" s="51">
        <v>0</v>
      </c>
      <c r="G639" s="51">
        <v>0</v>
      </c>
      <c r="H639" s="51">
        <v>75056</v>
      </c>
      <c r="I639" s="51">
        <v>-75056</v>
      </c>
      <c r="J639" s="51">
        <v>0</v>
      </c>
      <c r="K639" s="51">
        <v>0</v>
      </c>
      <c r="L639" s="51">
        <v>0</v>
      </c>
      <c r="M639" s="51">
        <v>0</v>
      </c>
      <c r="N639" s="51">
        <v>0</v>
      </c>
    </row>
    <row r="640" spans="1:14" ht="15.5" customHeight="1" outlineLevel="1" x14ac:dyDescent="0.35">
      <c r="A640" s="70" t="s">
        <v>311</v>
      </c>
      <c r="B640" s="66" t="s">
        <v>196</v>
      </c>
      <c r="C640" s="51">
        <v>57912</v>
      </c>
      <c r="D640" s="51">
        <v>-1910</v>
      </c>
      <c r="E640" s="51">
        <v>0</v>
      </c>
      <c r="F640" s="51">
        <v>0</v>
      </c>
      <c r="G640" s="51">
        <v>0</v>
      </c>
      <c r="H640" s="51">
        <v>56002</v>
      </c>
      <c r="I640" s="51">
        <v>-56002</v>
      </c>
      <c r="J640" s="51">
        <v>0</v>
      </c>
      <c r="K640" s="51">
        <v>0</v>
      </c>
      <c r="L640" s="51">
        <v>0</v>
      </c>
      <c r="M640" s="51">
        <v>0</v>
      </c>
      <c r="N640" s="51">
        <v>0</v>
      </c>
    </row>
    <row r="641" spans="1:14" ht="16" outlineLevel="1" thickBot="1" x14ac:dyDescent="0.4">
      <c r="A641" s="50" t="s">
        <v>128</v>
      </c>
      <c r="B641" s="79" t="s">
        <v>12</v>
      </c>
      <c r="C641" s="48">
        <f>SUBTOTAL(109,Program283[(C)
Program
Costs])</f>
        <v>779144</v>
      </c>
      <c r="D641" s="48">
        <f>SUBTOTAL(109,Program283[(D)
Prior Period Adjustments])</f>
        <v>-14351</v>
      </c>
      <c r="E641" s="48">
        <f>SUBTOTAL(109,Program283[(E)
Current Period Desk 
Reviews])</f>
        <v>0</v>
      </c>
      <c r="F641" s="48">
        <f>SUBTOTAL(109,Program283[(F)
Current Period 
Final 
Audits])</f>
        <v>0</v>
      </c>
      <c r="G641" s="48">
        <f>SUBTOTAL(109,Program283[(G)
Current Period 
Other Adjustments])</f>
        <v>0</v>
      </c>
      <c r="H641" s="48">
        <f>SUBTOTAL(109,Program283[(H)
Net Program Costs
Sum (C through G)])</f>
        <v>764793</v>
      </c>
      <c r="I641" s="48">
        <f>SUBTOTAL(109,Program283[(I)
Payments
 and Offsets])</f>
        <v>-764793</v>
      </c>
      <c r="J641" s="48">
        <f>SUBTOTAL(109,Program283[(J)
Accounts Payable Balance
(H + I)])</f>
        <v>0</v>
      </c>
      <c r="K641" s="48">
        <f>SUBTOTAL(109,Program283[(K)
Established 
Accounts Receivable])</f>
        <v>0</v>
      </c>
      <c r="L641" s="48">
        <f>SUBTOTAL(109,Program283[(L)
Recovered
 Accounts Receivable])</f>
        <v>0</v>
      </c>
      <c r="M641" s="48">
        <f>SUBTOTAL(109,Program283[(M)
Accounts Receivable Balance
(K + L)])</f>
        <v>0</v>
      </c>
      <c r="N641" s="48">
        <f>SUBTOTAL(109,Program283[(N)
Net Balance
(J minus M)])</f>
        <v>0</v>
      </c>
    </row>
    <row r="642" spans="1:14" outlineLevel="2" x14ac:dyDescent="0.35">
      <c r="A642" s="63" t="s">
        <v>33</v>
      </c>
      <c r="B642" s="62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</row>
    <row r="643" spans="1:14" ht="77.5" outlineLevel="2" x14ac:dyDescent="0.35">
      <c r="A643" s="60" t="s">
        <v>185</v>
      </c>
      <c r="B643" s="59" t="s">
        <v>184</v>
      </c>
      <c r="C643" s="58" t="s">
        <v>183</v>
      </c>
      <c r="D643" s="58" t="s">
        <v>182</v>
      </c>
      <c r="E643" s="56" t="s">
        <v>181</v>
      </c>
      <c r="F643" s="56" t="s">
        <v>180</v>
      </c>
      <c r="G643" s="56" t="s">
        <v>179</v>
      </c>
      <c r="H643" s="57" t="s">
        <v>674</v>
      </c>
      <c r="I643" s="55" t="s">
        <v>178</v>
      </c>
      <c r="J643" s="55" t="s">
        <v>177</v>
      </c>
      <c r="K643" s="56" t="s">
        <v>176</v>
      </c>
      <c r="L643" s="55" t="s">
        <v>175</v>
      </c>
      <c r="M643" s="55" t="s">
        <v>174</v>
      </c>
      <c r="N643" s="54" t="s">
        <v>173</v>
      </c>
    </row>
    <row r="644" spans="1:14" ht="31" outlineLevel="2" x14ac:dyDescent="0.35">
      <c r="A644" s="70" t="s">
        <v>310</v>
      </c>
      <c r="B644" s="69" t="s">
        <v>205</v>
      </c>
      <c r="C644" s="68">
        <v>4732</v>
      </c>
      <c r="D644" s="68">
        <v>0</v>
      </c>
      <c r="E644" s="68">
        <v>0</v>
      </c>
      <c r="F644" s="68">
        <v>0</v>
      </c>
      <c r="G644" s="68">
        <v>0</v>
      </c>
      <c r="H644" s="68">
        <v>4732</v>
      </c>
      <c r="I644" s="68">
        <v>0</v>
      </c>
      <c r="J644" s="68">
        <v>4732</v>
      </c>
      <c r="K644" s="68">
        <v>0</v>
      </c>
      <c r="L644" s="68">
        <v>0</v>
      </c>
      <c r="M644" s="68">
        <v>0</v>
      </c>
      <c r="N644" s="68">
        <v>4732</v>
      </c>
    </row>
    <row r="645" spans="1:14" ht="31" outlineLevel="2" x14ac:dyDescent="0.35">
      <c r="A645" s="70" t="s">
        <v>310</v>
      </c>
      <c r="B645" s="69" t="s">
        <v>204</v>
      </c>
      <c r="C645" s="68">
        <v>31906</v>
      </c>
      <c r="D645" s="68">
        <v>0</v>
      </c>
      <c r="E645" s="68">
        <v>0</v>
      </c>
      <c r="F645" s="68">
        <v>0</v>
      </c>
      <c r="G645" s="68">
        <v>0</v>
      </c>
      <c r="H645" s="68">
        <v>31906</v>
      </c>
      <c r="I645" s="68">
        <v>0</v>
      </c>
      <c r="J645" s="68">
        <v>31906</v>
      </c>
      <c r="K645" s="68">
        <v>0</v>
      </c>
      <c r="L645" s="68">
        <v>0</v>
      </c>
      <c r="M645" s="68">
        <v>0</v>
      </c>
      <c r="N645" s="68">
        <v>31906</v>
      </c>
    </row>
    <row r="646" spans="1:14" ht="31" outlineLevel="2" x14ac:dyDescent="0.35">
      <c r="A646" s="70" t="s">
        <v>310</v>
      </c>
      <c r="B646" s="69" t="s">
        <v>203</v>
      </c>
      <c r="C646" s="68">
        <v>30213</v>
      </c>
      <c r="D646" s="68">
        <v>-2438</v>
      </c>
      <c r="E646" s="68">
        <v>0</v>
      </c>
      <c r="F646" s="68">
        <v>0</v>
      </c>
      <c r="G646" s="68">
        <v>0</v>
      </c>
      <c r="H646" s="68">
        <v>27775</v>
      </c>
      <c r="I646" s="68">
        <v>0</v>
      </c>
      <c r="J646" s="68">
        <v>27775</v>
      </c>
      <c r="K646" s="68">
        <v>0</v>
      </c>
      <c r="L646" s="68">
        <v>0</v>
      </c>
      <c r="M646" s="68">
        <v>0</v>
      </c>
      <c r="N646" s="68">
        <v>27775</v>
      </c>
    </row>
    <row r="647" spans="1:14" ht="31" outlineLevel="2" x14ac:dyDescent="0.35">
      <c r="A647" s="70" t="s">
        <v>310</v>
      </c>
      <c r="B647" s="69" t="s">
        <v>202</v>
      </c>
      <c r="C647" s="68">
        <v>19076</v>
      </c>
      <c r="D647" s="68">
        <v>-1733</v>
      </c>
      <c r="E647" s="68">
        <v>0</v>
      </c>
      <c r="F647" s="68">
        <v>0</v>
      </c>
      <c r="G647" s="68">
        <v>0</v>
      </c>
      <c r="H647" s="68">
        <v>17343</v>
      </c>
      <c r="I647" s="68">
        <v>0</v>
      </c>
      <c r="J647" s="68">
        <v>17343</v>
      </c>
      <c r="K647" s="68">
        <v>0</v>
      </c>
      <c r="L647" s="68">
        <v>0</v>
      </c>
      <c r="M647" s="68">
        <v>0</v>
      </c>
      <c r="N647" s="68">
        <v>17343</v>
      </c>
    </row>
    <row r="648" spans="1:14" ht="31" outlineLevel="2" x14ac:dyDescent="0.35">
      <c r="A648" s="70" t="s">
        <v>310</v>
      </c>
      <c r="B648" s="69" t="s">
        <v>201</v>
      </c>
      <c r="C648" s="68">
        <v>16259</v>
      </c>
      <c r="D648" s="68">
        <v>-1441</v>
      </c>
      <c r="E648" s="68">
        <v>0</v>
      </c>
      <c r="F648" s="68">
        <v>0</v>
      </c>
      <c r="G648" s="68">
        <v>0</v>
      </c>
      <c r="H648" s="68">
        <v>14818</v>
      </c>
      <c r="I648" s="68">
        <v>0</v>
      </c>
      <c r="J648" s="68">
        <v>14818</v>
      </c>
      <c r="K648" s="68">
        <v>0</v>
      </c>
      <c r="L648" s="68">
        <v>0</v>
      </c>
      <c r="M648" s="68">
        <v>0</v>
      </c>
      <c r="N648" s="68">
        <v>14818</v>
      </c>
    </row>
    <row r="649" spans="1:14" ht="31" outlineLevel="1" x14ac:dyDescent="0.35">
      <c r="A649" s="70" t="s">
        <v>310</v>
      </c>
      <c r="B649" s="69" t="s">
        <v>200</v>
      </c>
      <c r="C649" s="68">
        <v>10428</v>
      </c>
      <c r="D649" s="68">
        <v>-1043</v>
      </c>
      <c r="E649" s="68">
        <v>0</v>
      </c>
      <c r="F649" s="68">
        <v>0</v>
      </c>
      <c r="G649" s="68">
        <v>0</v>
      </c>
      <c r="H649" s="68">
        <v>9385</v>
      </c>
      <c r="I649" s="68">
        <v>0</v>
      </c>
      <c r="J649" s="68">
        <v>9385</v>
      </c>
      <c r="K649" s="68">
        <v>0</v>
      </c>
      <c r="L649" s="68">
        <v>0</v>
      </c>
      <c r="M649" s="68">
        <v>0</v>
      </c>
      <c r="N649" s="68">
        <v>9385</v>
      </c>
    </row>
    <row r="650" spans="1:14" ht="31" outlineLevel="1" x14ac:dyDescent="0.35">
      <c r="A650" s="70" t="s">
        <v>310</v>
      </c>
      <c r="B650" s="69" t="s">
        <v>199</v>
      </c>
      <c r="C650" s="68">
        <v>11468</v>
      </c>
      <c r="D650" s="68">
        <v>-1037</v>
      </c>
      <c r="E650" s="68">
        <v>0</v>
      </c>
      <c r="F650" s="68">
        <v>0</v>
      </c>
      <c r="G650" s="68">
        <v>0</v>
      </c>
      <c r="H650" s="68">
        <v>10431</v>
      </c>
      <c r="I650" s="68">
        <v>0</v>
      </c>
      <c r="J650" s="68">
        <v>10431</v>
      </c>
      <c r="K650" s="68">
        <v>0</v>
      </c>
      <c r="L650" s="68">
        <v>0</v>
      </c>
      <c r="M650" s="68">
        <v>0</v>
      </c>
      <c r="N650" s="68">
        <v>10431</v>
      </c>
    </row>
    <row r="651" spans="1:14" ht="31" outlineLevel="2" x14ac:dyDescent="0.35">
      <c r="A651" s="70" t="s">
        <v>310</v>
      </c>
      <c r="B651" s="69" t="s">
        <v>198</v>
      </c>
      <c r="C651" s="68">
        <v>13552</v>
      </c>
      <c r="D651" s="68">
        <v>-1142</v>
      </c>
      <c r="E651" s="68">
        <v>0</v>
      </c>
      <c r="F651" s="68">
        <v>0</v>
      </c>
      <c r="G651" s="68">
        <v>0</v>
      </c>
      <c r="H651" s="68">
        <v>12410</v>
      </c>
      <c r="I651" s="68">
        <v>0</v>
      </c>
      <c r="J651" s="68">
        <v>12410</v>
      </c>
      <c r="K651" s="68">
        <v>0</v>
      </c>
      <c r="L651" s="68">
        <v>0</v>
      </c>
      <c r="M651" s="68">
        <v>0</v>
      </c>
      <c r="N651" s="68">
        <v>12410</v>
      </c>
    </row>
    <row r="652" spans="1:14" ht="31" outlineLevel="2" x14ac:dyDescent="0.35">
      <c r="A652" s="70" t="s">
        <v>310</v>
      </c>
      <c r="B652" s="69" t="s">
        <v>197</v>
      </c>
      <c r="C652" s="68">
        <v>16677</v>
      </c>
      <c r="D652" s="68">
        <v>-1469</v>
      </c>
      <c r="E652" s="68">
        <v>0</v>
      </c>
      <c r="F652" s="68">
        <v>0</v>
      </c>
      <c r="G652" s="68">
        <v>0</v>
      </c>
      <c r="H652" s="68">
        <v>15208</v>
      </c>
      <c r="I652" s="68">
        <v>0</v>
      </c>
      <c r="J652" s="68">
        <v>15208</v>
      </c>
      <c r="K652" s="68">
        <v>0</v>
      </c>
      <c r="L652" s="68">
        <v>0</v>
      </c>
      <c r="M652" s="68">
        <v>0</v>
      </c>
      <c r="N652" s="68">
        <v>15208</v>
      </c>
    </row>
    <row r="653" spans="1:14" ht="31" outlineLevel="1" x14ac:dyDescent="0.35">
      <c r="A653" s="70" t="s">
        <v>310</v>
      </c>
      <c r="B653" s="69" t="s">
        <v>196</v>
      </c>
      <c r="C653" s="68">
        <v>14720</v>
      </c>
      <c r="D653" s="68">
        <v>-1472</v>
      </c>
      <c r="E653" s="68">
        <v>0</v>
      </c>
      <c r="F653" s="68">
        <v>0</v>
      </c>
      <c r="G653" s="68">
        <v>0</v>
      </c>
      <c r="H653" s="68">
        <v>13248</v>
      </c>
      <c r="I653" s="68">
        <v>0</v>
      </c>
      <c r="J653" s="68">
        <v>13248</v>
      </c>
      <c r="K653" s="68">
        <v>0</v>
      </c>
      <c r="L653" s="68">
        <v>0</v>
      </c>
      <c r="M653" s="68">
        <v>0</v>
      </c>
      <c r="N653" s="68">
        <v>13248</v>
      </c>
    </row>
    <row r="654" spans="1:14" ht="16" outlineLevel="2" thickBot="1" x14ac:dyDescent="0.4">
      <c r="A654" s="50" t="s">
        <v>127</v>
      </c>
      <c r="B654" s="67" t="s">
        <v>12</v>
      </c>
      <c r="C654" s="48">
        <f>SUBTOTAL(109,Program293[(C)
Program
Costs])</f>
        <v>169031</v>
      </c>
      <c r="D654" s="48">
        <f>SUBTOTAL(109,Program293[(D)
Prior Period Adjustments])</f>
        <v>-11775</v>
      </c>
      <c r="E654" s="48">
        <f>SUBTOTAL(109,Program293[(E)
Current Period Desk 
Reviews])</f>
        <v>0</v>
      </c>
      <c r="F654" s="48">
        <f>SUBTOTAL(109,Program293[(F)
Current Period 
Final 
Audits])</f>
        <v>0</v>
      </c>
      <c r="G654" s="48">
        <f>SUBTOTAL(105,Program293[(G)
Current Period 
Other Adjustments])</f>
        <v>0</v>
      </c>
      <c r="H654" s="48">
        <f>SUBTOTAL(109,Program293[(H)
Net Program Costs
Sum (C through G)])</f>
        <v>157256</v>
      </c>
      <c r="I654" s="48">
        <f>SUBTOTAL(109,Program293[(I)
Payments
 and Offsets])</f>
        <v>0</v>
      </c>
      <c r="J654" s="48">
        <f>SUBTOTAL(109,Program293[(J)
Accounts Payable Balance
(H + I)])</f>
        <v>157256</v>
      </c>
      <c r="K654" s="48">
        <f>SUBTOTAL(109,Program293[(K)
Established 
Accounts Receivable])</f>
        <v>0</v>
      </c>
      <c r="L654" s="48">
        <f>SUBTOTAL(109,Program293[(L)
Recovered
 Accounts Receivable])</f>
        <v>0</v>
      </c>
      <c r="M654" s="48">
        <f>SUBTOTAL(109,Program293[(M)
Accounts Receivable Balance
(K + L)])</f>
        <v>0</v>
      </c>
      <c r="N654" s="48">
        <f>SUBTOTAL(109,Program293[(N)
Net Balance
(J minus M)])</f>
        <v>157256</v>
      </c>
    </row>
    <row r="655" spans="1:14" outlineLevel="2" x14ac:dyDescent="0.35">
      <c r="A655" s="63" t="s">
        <v>33</v>
      </c>
      <c r="B655" s="62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</row>
    <row r="656" spans="1:14" ht="77.5" outlineLevel="2" x14ac:dyDescent="0.35">
      <c r="A656" s="60" t="s">
        <v>185</v>
      </c>
      <c r="B656" s="59" t="s">
        <v>184</v>
      </c>
      <c r="C656" s="58" t="s">
        <v>183</v>
      </c>
      <c r="D656" s="58" t="s">
        <v>182</v>
      </c>
      <c r="E656" s="56" t="s">
        <v>181</v>
      </c>
      <c r="F656" s="56" t="s">
        <v>180</v>
      </c>
      <c r="G656" s="56" t="s">
        <v>179</v>
      </c>
      <c r="H656" s="57" t="s">
        <v>674</v>
      </c>
      <c r="I656" s="55" t="s">
        <v>178</v>
      </c>
      <c r="J656" s="55" t="s">
        <v>177</v>
      </c>
      <c r="K656" s="56" t="s">
        <v>176</v>
      </c>
      <c r="L656" s="55" t="s">
        <v>175</v>
      </c>
      <c r="M656" s="55" t="s">
        <v>174</v>
      </c>
      <c r="N656" s="54" t="s">
        <v>173</v>
      </c>
    </row>
    <row r="657" spans="1:14" outlineLevel="2" x14ac:dyDescent="0.35">
      <c r="A657" s="53" t="s">
        <v>309</v>
      </c>
      <c r="B657" s="66" t="s">
        <v>203</v>
      </c>
      <c r="C657" s="51">
        <v>7437561</v>
      </c>
      <c r="D657" s="51">
        <v>-1575770</v>
      </c>
      <c r="E657" s="51">
        <v>0</v>
      </c>
      <c r="F657" s="51">
        <v>0</v>
      </c>
      <c r="G657" s="51">
        <v>0</v>
      </c>
      <c r="H657" s="51">
        <v>5861791</v>
      </c>
      <c r="I657" s="51">
        <v>0</v>
      </c>
      <c r="J657" s="51">
        <v>5861791</v>
      </c>
      <c r="K657" s="51">
        <v>0</v>
      </c>
      <c r="L657" s="51">
        <v>0</v>
      </c>
      <c r="M657" s="51">
        <v>0</v>
      </c>
      <c r="N657" s="51">
        <v>5861791</v>
      </c>
    </row>
    <row r="658" spans="1:14" outlineLevel="2" x14ac:dyDescent="0.35">
      <c r="A658" s="53" t="s">
        <v>309</v>
      </c>
      <c r="B658" s="66" t="s">
        <v>202</v>
      </c>
      <c r="C658" s="51">
        <v>5259183</v>
      </c>
      <c r="D658" s="51">
        <v>-332712</v>
      </c>
      <c r="E658" s="51">
        <v>0</v>
      </c>
      <c r="F658" s="51">
        <v>0</v>
      </c>
      <c r="G658" s="51">
        <v>0</v>
      </c>
      <c r="H658" s="51">
        <v>4926471</v>
      </c>
      <c r="I658" s="51">
        <v>-4901214</v>
      </c>
      <c r="J658" s="51">
        <v>25257</v>
      </c>
      <c r="K658" s="51">
        <v>319599</v>
      </c>
      <c r="L658" s="51">
        <v>-262355</v>
      </c>
      <c r="M658" s="51">
        <v>57244</v>
      </c>
      <c r="N658" s="51">
        <v>-31987</v>
      </c>
    </row>
    <row r="659" spans="1:14" outlineLevel="2" x14ac:dyDescent="0.35">
      <c r="A659" s="53" t="s">
        <v>309</v>
      </c>
      <c r="B659" s="66" t="s">
        <v>201</v>
      </c>
      <c r="C659" s="51">
        <v>4313389</v>
      </c>
      <c r="D659" s="51">
        <v>-219569</v>
      </c>
      <c r="E659" s="51">
        <v>0</v>
      </c>
      <c r="F659" s="51">
        <v>0</v>
      </c>
      <c r="G659" s="51">
        <v>0</v>
      </c>
      <c r="H659" s="51">
        <v>4093820</v>
      </c>
      <c r="I659" s="51">
        <v>-4093820</v>
      </c>
      <c r="J659" s="51">
        <v>0</v>
      </c>
      <c r="K659" s="51">
        <v>29493</v>
      </c>
      <c r="L659" s="51">
        <v>-29493</v>
      </c>
      <c r="M659" s="51">
        <v>0</v>
      </c>
      <c r="N659" s="51">
        <v>0</v>
      </c>
    </row>
    <row r="660" spans="1:14" outlineLevel="2" x14ac:dyDescent="0.35">
      <c r="A660" s="53" t="s">
        <v>309</v>
      </c>
      <c r="B660" s="66" t="s">
        <v>200</v>
      </c>
      <c r="C660" s="51">
        <v>3512794</v>
      </c>
      <c r="D660" s="51">
        <v>-528371</v>
      </c>
      <c r="E660" s="51">
        <v>0</v>
      </c>
      <c r="F660" s="51">
        <v>0</v>
      </c>
      <c r="G660" s="51">
        <v>0</v>
      </c>
      <c r="H660" s="51">
        <v>2984423</v>
      </c>
      <c r="I660" s="51">
        <v>-2984423</v>
      </c>
      <c r="J660" s="51">
        <v>0</v>
      </c>
      <c r="K660" s="51">
        <v>863730</v>
      </c>
      <c r="L660" s="51">
        <v>-863730</v>
      </c>
      <c r="M660" s="51">
        <v>0</v>
      </c>
      <c r="N660" s="51">
        <v>0</v>
      </c>
    </row>
    <row r="661" spans="1:14" outlineLevel="2" x14ac:dyDescent="0.35">
      <c r="A661" s="53" t="s">
        <v>309</v>
      </c>
      <c r="B661" s="66" t="s">
        <v>199</v>
      </c>
      <c r="C661" s="51">
        <v>3873436</v>
      </c>
      <c r="D661" s="51">
        <v>-803425</v>
      </c>
      <c r="E661" s="51">
        <v>0</v>
      </c>
      <c r="F661" s="51">
        <v>0</v>
      </c>
      <c r="G661" s="51">
        <v>0</v>
      </c>
      <c r="H661" s="51">
        <v>3070011</v>
      </c>
      <c r="I661" s="51">
        <v>-3070011</v>
      </c>
      <c r="J661" s="51">
        <v>0</v>
      </c>
      <c r="K661" s="51">
        <v>0</v>
      </c>
      <c r="L661" s="51">
        <v>0</v>
      </c>
      <c r="M661" s="51">
        <v>0</v>
      </c>
      <c r="N661" s="51">
        <v>0</v>
      </c>
    </row>
    <row r="662" spans="1:14" outlineLevel="2" x14ac:dyDescent="0.35">
      <c r="A662" s="53" t="s">
        <v>309</v>
      </c>
      <c r="B662" s="66" t="s">
        <v>198</v>
      </c>
      <c r="C662" s="51">
        <v>4485420</v>
      </c>
      <c r="D662" s="51">
        <v>-755485</v>
      </c>
      <c r="E662" s="51">
        <v>0</v>
      </c>
      <c r="F662" s="51">
        <v>0</v>
      </c>
      <c r="G662" s="51">
        <v>0</v>
      </c>
      <c r="H662" s="51">
        <v>3729935</v>
      </c>
      <c r="I662" s="51">
        <v>-3729935</v>
      </c>
      <c r="J662" s="51">
        <v>0</v>
      </c>
      <c r="K662" s="51">
        <v>7</v>
      </c>
      <c r="L662" s="51">
        <v>-7</v>
      </c>
      <c r="M662" s="51">
        <v>0</v>
      </c>
      <c r="N662" s="51">
        <v>0</v>
      </c>
    </row>
    <row r="663" spans="1:14" outlineLevel="2" x14ac:dyDescent="0.35">
      <c r="A663" s="53" t="s">
        <v>309</v>
      </c>
      <c r="B663" s="66" t="s">
        <v>197</v>
      </c>
      <c r="C663" s="51">
        <v>3695604</v>
      </c>
      <c r="D663" s="51">
        <v>-672861</v>
      </c>
      <c r="E663" s="51">
        <v>0</v>
      </c>
      <c r="F663" s="51">
        <v>0</v>
      </c>
      <c r="G663" s="51">
        <v>0</v>
      </c>
      <c r="H663" s="51">
        <v>3022743</v>
      </c>
      <c r="I663" s="51">
        <v>-3022743</v>
      </c>
      <c r="J663" s="51">
        <v>0</v>
      </c>
      <c r="K663" s="51">
        <v>6927</v>
      </c>
      <c r="L663" s="51">
        <v>-6927</v>
      </c>
      <c r="M663" s="51">
        <v>0</v>
      </c>
      <c r="N663" s="51">
        <v>0</v>
      </c>
    </row>
    <row r="664" spans="1:14" outlineLevel="2" x14ac:dyDescent="0.35">
      <c r="A664" s="53" t="s">
        <v>309</v>
      </c>
      <c r="B664" s="66" t="s">
        <v>196</v>
      </c>
      <c r="C664" s="51">
        <v>1479438</v>
      </c>
      <c r="D664" s="51">
        <v>-228827</v>
      </c>
      <c r="E664" s="51">
        <v>0</v>
      </c>
      <c r="F664" s="51">
        <v>0</v>
      </c>
      <c r="G664" s="51">
        <v>0</v>
      </c>
      <c r="H664" s="51">
        <v>1250611</v>
      </c>
      <c r="I664" s="51">
        <v>-1250611</v>
      </c>
      <c r="J664" s="51">
        <v>0</v>
      </c>
      <c r="K664" s="51">
        <v>512013</v>
      </c>
      <c r="L664" s="51">
        <v>-512013</v>
      </c>
      <c r="M664" s="51">
        <v>0</v>
      </c>
      <c r="N664" s="51">
        <v>0</v>
      </c>
    </row>
    <row r="665" spans="1:14" outlineLevel="2" x14ac:dyDescent="0.35">
      <c r="A665" s="53" t="s">
        <v>309</v>
      </c>
      <c r="B665" s="66" t="s">
        <v>195</v>
      </c>
      <c r="C665" s="51">
        <v>1191770</v>
      </c>
      <c r="D665" s="51">
        <v>-99807</v>
      </c>
      <c r="E665" s="51">
        <v>0</v>
      </c>
      <c r="F665" s="51">
        <v>0</v>
      </c>
      <c r="G665" s="51">
        <v>0</v>
      </c>
      <c r="H665" s="51">
        <v>1091963</v>
      </c>
      <c r="I665" s="51">
        <v>-1091963</v>
      </c>
      <c r="J665" s="51">
        <v>0</v>
      </c>
      <c r="K665" s="51">
        <v>136139</v>
      </c>
      <c r="L665" s="51">
        <v>-136139</v>
      </c>
      <c r="M665" s="51">
        <v>0</v>
      </c>
      <c r="N665" s="51">
        <v>0</v>
      </c>
    </row>
    <row r="666" spans="1:14" outlineLevel="2" x14ac:dyDescent="0.35">
      <c r="A666" s="53" t="s">
        <v>309</v>
      </c>
      <c r="B666" s="66" t="s">
        <v>194</v>
      </c>
      <c r="C666" s="51">
        <v>1103353</v>
      </c>
      <c r="D666" s="51">
        <v>-50124</v>
      </c>
      <c r="E666" s="51">
        <v>0</v>
      </c>
      <c r="F666" s="51">
        <v>0</v>
      </c>
      <c r="G666" s="51">
        <v>0</v>
      </c>
      <c r="H666" s="51">
        <v>1053229</v>
      </c>
      <c r="I666" s="51">
        <v>-1053229</v>
      </c>
      <c r="J666" s="51">
        <v>0</v>
      </c>
      <c r="K666" s="51">
        <v>39896</v>
      </c>
      <c r="L666" s="51">
        <v>-39896</v>
      </c>
      <c r="M666" s="51">
        <v>0</v>
      </c>
      <c r="N666" s="51">
        <v>0</v>
      </c>
    </row>
    <row r="667" spans="1:14" outlineLevel="2" x14ac:dyDescent="0.35">
      <c r="A667" s="53" t="s">
        <v>309</v>
      </c>
      <c r="B667" s="66" t="s">
        <v>193</v>
      </c>
      <c r="C667" s="51">
        <v>796971</v>
      </c>
      <c r="D667" s="51">
        <v>-828</v>
      </c>
      <c r="E667" s="51">
        <v>0</v>
      </c>
      <c r="F667" s="51">
        <v>0</v>
      </c>
      <c r="G667" s="51">
        <v>0</v>
      </c>
      <c r="H667" s="51">
        <v>796143</v>
      </c>
      <c r="I667" s="51">
        <v>-796143</v>
      </c>
      <c r="J667" s="51">
        <v>0</v>
      </c>
      <c r="K667" s="51">
        <v>9085</v>
      </c>
      <c r="L667" s="51">
        <v>-9085</v>
      </c>
      <c r="M667" s="51">
        <v>0</v>
      </c>
      <c r="N667" s="51">
        <v>0</v>
      </c>
    </row>
    <row r="668" spans="1:14" outlineLevel="2" x14ac:dyDescent="0.35">
      <c r="A668" s="53" t="s">
        <v>309</v>
      </c>
      <c r="B668" s="66" t="s">
        <v>192</v>
      </c>
      <c r="C668" s="51">
        <v>663222</v>
      </c>
      <c r="D668" s="51">
        <v>0</v>
      </c>
      <c r="E668" s="51">
        <v>0</v>
      </c>
      <c r="F668" s="51">
        <v>0</v>
      </c>
      <c r="G668" s="51">
        <v>0</v>
      </c>
      <c r="H668" s="51">
        <v>663222</v>
      </c>
      <c r="I668" s="51">
        <v>-663222</v>
      </c>
      <c r="J668" s="51">
        <v>0</v>
      </c>
      <c r="K668" s="51">
        <v>100325</v>
      </c>
      <c r="L668" s="51">
        <v>-100325</v>
      </c>
      <c r="M668" s="51">
        <v>0</v>
      </c>
      <c r="N668" s="51">
        <v>0</v>
      </c>
    </row>
    <row r="669" spans="1:14" outlineLevel="2" x14ac:dyDescent="0.35">
      <c r="A669" s="53" t="s">
        <v>309</v>
      </c>
      <c r="B669" s="66" t="s">
        <v>191</v>
      </c>
      <c r="C669" s="51">
        <v>583868</v>
      </c>
      <c r="D669" s="51">
        <v>-44354</v>
      </c>
      <c r="E669" s="51">
        <v>0</v>
      </c>
      <c r="F669" s="51">
        <v>0</v>
      </c>
      <c r="G669" s="51">
        <v>0</v>
      </c>
      <c r="H669" s="51">
        <v>539514</v>
      </c>
      <c r="I669" s="51">
        <v>-539514</v>
      </c>
      <c r="J669" s="51">
        <v>0</v>
      </c>
      <c r="K669" s="51">
        <v>118096</v>
      </c>
      <c r="L669" s="51">
        <v>-118096</v>
      </c>
      <c r="M669" s="51">
        <v>0</v>
      </c>
      <c r="N669" s="51">
        <v>0</v>
      </c>
    </row>
    <row r="670" spans="1:14" outlineLevel="2" x14ac:dyDescent="0.35">
      <c r="A670" s="53" t="s">
        <v>309</v>
      </c>
      <c r="B670" s="66" t="s">
        <v>190</v>
      </c>
      <c r="C670" s="51">
        <v>446475</v>
      </c>
      <c r="D670" s="51">
        <v>-44819</v>
      </c>
      <c r="E670" s="51">
        <v>0</v>
      </c>
      <c r="F670" s="51">
        <v>0</v>
      </c>
      <c r="G670" s="51">
        <v>0</v>
      </c>
      <c r="H670" s="51">
        <v>401656</v>
      </c>
      <c r="I670" s="51">
        <v>-401656</v>
      </c>
      <c r="J670" s="51">
        <v>0</v>
      </c>
      <c r="K670" s="51">
        <v>70329</v>
      </c>
      <c r="L670" s="51">
        <v>-70329</v>
      </c>
      <c r="M670" s="51">
        <v>0</v>
      </c>
      <c r="N670" s="51">
        <v>0</v>
      </c>
    </row>
    <row r="671" spans="1:14" outlineLevel="1" x14ac:dyDescent="0.35">
      <c r="A671" s="53" t="s">
        <v>309</v>
      </c>
      <c r="B671" s="66" t="s">
        <v>189</v>
      </c>
      <c r="C671" s="51">
        <v>639569</v>
      </c>
      <c r="D671" s="51">
        <v>-75182</v>
      </c>
      <c r="E671" s="51">
        <v>0</v>
      </c>
      <c r="F671" s="51">
        <v>0</v>
      </c>
      <c r="G671" s="51">
        <v>0</v>
      </c>
      <c r="H671" s="51">
        <v>564387</v>
      </c>
      <c r="I671" s="51">
        <v>-564387</v>
      </c>
      <c r="J671" s="51">
        <v>0</v>
      </c>
      <c r="K671" s="51">
        <v>104446</v>
      </c>
      <c r="L671" s="51">
        <v>-104446</v>
      </c>
      <c r="M671" s="51">
        <v>0</v>
      </c>
      <c r="N671" s="51">
        <v>0</v>
      </c>
    </row>
    <row r="672" spans="1:14" outlineLevel="1" x14ac:dyDescent="0.35">
      <c r="A672" s="53" t="s">
        <v>309</v>
      </c>
      <c r="B672" s="66" t="s">
        <v>188</v>
      </c>
      <c r="C672" s="51">
        <v>1730501</v>
      </c>
      <c r="D672" s="51">
        <v>-1238034</v>
      </c>
      <c r="E672" s="51">
        <v>0</v>
      </c>
      <c r="F672" s="51">
        <v>0</v>
      </c>
      <c r="G672" s="51">
        <v>0</v>
      </c>
      <c r="H672" s="51">
        <v>492467</v>
      </c>
      <c r="I672" s="51">
        <v>-492467</v>
      </c>
      <c r="J672" s="51">
        <v>0</v>
      </c>
      <c r="K672" s="51">
        <v>48175</v>
      </c>
      <c r="L672" s="51">
        <v>-48175</v>
      </c>
      <c r="M672" s="51">
        <v>0</v>
      </c>
      <c r="N672" s="51">
        <v>0</v>
      </c>
    </row>
    <row r="673" spans="1:14" outlineLevel="2" x14ac:dyDescent="0.35">
      <c r="A673" s="53" t="s">
        <v>309</v>
      </c>
      <c r="B673" s="66" t="s">
        <v>186</v>
      </c>
      <c r="C673" s="51">
        <v>627907</v>
      </c>
      <c r="D673" s="51">
        <v>-125496</v>
      </c>
      <c r="E673" s="51">
        <v>0</v>
      </c>
      <c r="F673" s="51">
        <v>0</v>
      </c>
      <c r="G673" s="51">
        <v>0</v>
      </c>
      <c r="H673" s="51">
        <v>502411</v>
      </c>
      <c r="I673" s="51">
        <v>-502411</v>
      </c>
      <c r="J673" s="51">
        <v>0</v>
      </c>
      <c r="K673" s="51">
        <v>176729</v>
      </c>
      <c r="L673" s="51">
        <v>-176729</v>
      </c>
      <c r="M673" s="51">
        <v>0</v>
      </c>
      <c r="N673" s="51">
        <v>0</v>
      </c>
    </row>
    <row r="674" spans="1:14" outlineLevel="1" x14ac:dyDescent="0.35">
      <c r="A674" s="53" t="s">
        <v>309</v>
      </c>
      <c r="B674" s="66" t="s">
        <v>227</v>
      </c>
      <c r="C674" s="51">
        <v>0</v>
      </c>
      <c r="D674" s="51">
        <v>0</v>
      </c>
      <c r="E674" s="51">
        <v>0</v>
      </c>
      <c r="F674" s="51">
        <v>0</v>
      </c>
      <c r="G674" s="51">
        <v>0</v>
      </c>
      <c r="H674" s="51">
        <v>0</v>
      </c>
      <c r="I674" s="51">
        <v>0</v>
      </c>
      <c r="J674" s="51">
        <v>0</v>
      </c>
      <c r="K674" s="51">
        <v>83926</v>
      </c>
      <c r="L674" s="51">
        <v>-83926</v>
      </c>
      <c r="M674" s="51">
        <v>0</v>
      </c>
      <c r="N674" s="51">
        <v>0</v>
      </c>
    </row>
    <row r="675" spans="1:14" outlineLevel="2" x14ac:dyDescent="0.35">
      <c r="A675" s="53" t="s">
        <v>309</v>
      </c>
      <c r="B675" s="66" t="s">
        <v>226</v>
      </c>
      <c r="C675" s="51">
        <v>0</v>
      </c>
      <c r="D675" s="51">
        <v>0</v>
      </c>
      <c r="E675" s="51">
        <v>0</v>
      </c>
      <c r="F675" s="51">
        <v>0</v>
      </c>
      <c r="G675" s="51">
        <v>0</v>
      </c>
      <c r="H675" s="51">
        <v>0</v>
      </c>
      <c r="I675" s="51">
        <v>0</v>
      </c>
      <c r="J675" s="51">
        <v>0</v>
      </c>
      <c r="K675" s="51">
        <v>7501</v>
      </c>
      <c r="L675" s="51">
        <v>-7501</v>
      </c>
      <c r="M675" s="51">
        <v>0</v>
      </c>
      <c r="N675" s="51">
        <v>0</v>
      </c>
    </row>
    <row r="676" spans="1:14" ht="16" outlineLevel="2" thickBot="1" x14ac:dyDescent="0.4">
      <c r="A676" s="50" t="s">
        <v>126</v>
      </c>
      <c r="B676" s="67" t="s">
        <v>12</v>
      </c>
      <c r="C676" s="48">
        <f>SUBTOTAL(109,Program23[(C)
Program
Costs])</f>
        <v>41840461</v>
      </c>
      <c r="D676" s="48">
        <f>SUBTOTAL(109,Program23[(D)
Prior Period Adjustments])</f>
        <v>-6795664</v>
      </c>
      <c r="E676" s="48">
        <f>SUBTOTAL(107,Program23[(E)
Current Period Desk 
Reviews])</f>
        <v>0</v>
      </c>
      <c r="F676" s="48">
        <f>SUBTOTAL(109,Program23[(F)
Current Period 
Final 
Audits])</f>
        <v>0</v>
      </c>
      <c r="G676" s="48">
        <f>SUBTOTAL(109,Program23[(G)
Current Period 
Other Adjustments])</f>
        <v>0</v>
      </c>
      <c r="H676" s="48">
        <f>SUBTOTAL(109,Program23[(H)
Net Program Costs
Sum (C through G)])</f>
        <v>35044797</v>
      </c>
      <c r="I676" s="48">
        <f>SUBTOTAL(109,Program23[(I)
Payments
 and Offsets])</f>
        <v>-29157749</v>
      </c>
      <c r="J676" s="48">
        <f>SUBTOTAL(109,Program23[(J)
Accounts Payable Balance
(H + I)])</f>
        <v>5887048</v>
      </c>
      <c r="K676" s="48">
        <f>SUBTOTAL(109,Program23[(K)
Established 
Accounts Receivable])</f>
        <v>2626416</v>
      </c>
      <c r="L676" s="48">
        <f>SUBTOTAL(109,Program23[(L)
Recovered
 Accounts Receivable])</f>
        <v>-2569172</v>
      </c>
      <c r="M676" s="48">
        <f>SUBTOTAL(109,Program23[(M)
Accounts Receivable Balance
(K + L)])</f>
        <v>57244</v>
      </c>
      <c r="N676" s="48">
        <f>SUBTOTAL(109,Program23[(N)
Net Balance
(J minus M)])</f>
        <v>5829804</v>
      </c>
    </row>
    <row r="677" spans="1:14" outlineLevel="2" x14ac:dyDescent="0.35">
      <c r="A677" s="63" t="s">
        <v>33</v>
      </c>
      <c r="B677" s="62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</row>
    <row r="678" spans="1:14" ht="77.5" outlineLevel="1" x14ac:dyDescent="0.35">
      <c r="A678" s="60" t="s">
        <v>185</v>
      </c>
      <c r="B678" s="59" t="s">
        <v>184</v>
      </c>
      <c r="C678" s="58" t="s">
        <v>183</v>
      </c>
      <c r="D678" s="58" t="s">
        <v>182</v>
      </c>
      <c r="E678" s="56" t="s">
        <v>181</v>
      </c>
      <c r="F678" s="56" t="s">
        <v>180</v>
      </c>
      <c r="G678" s="56" t="s">
        <v>179</v>
      </c>
      <c r="H678" s="57" t="s">
        <v>674</v>
      </c>
      <c r="I678" s="55" t="s">
        <v>178</v>
      </c>
      <c r="J678" s="55" t="s">
        <v>177</v>
      </c>
      <c r="K678" s="56" t="s">
        <v>176</v>
      </c>
      <c r="L678" s="55" t="s">
        <v>175</v>
      </c>
      <c r="M678" s="55" t="s">
        <v>174</v>
      </c>
      <c r="N678" s="54" t="s">
        <v>173</v>
      </c>
    </row>
    <row r="679" spans="1:14" outlineLevel="1" x14ac:dyDescent="0.35">
      <c r="A679" s="53" t="s">
        <v>308</v>
      </c>
      <c r="B679" s="66" t="s">
        <v>200</v>
      </c>
      <c r="C679" s="51">
        <v>2977723</v>
      </c>
      <c r="D679" s="51">
        <v>-4152</v>
      </c>
      <c r="E679" s="51">
        <v>0</v>
      </c>
      <c r="F679" s="51">
        <v>0</v>
      </c>
      <c r="G679" s="51">
        <v>0</v>
      </c>
      <c r="H679" s="51">
        <v>2973571</v>
      </c>
      <c r="I679" s="51">
        <v>-2973571</v>
      </c>
      <c r="J679" s="51">
        <v>0</v>
      </c>
      <c r="K679" s="51">
        <v>2431</v>
      </c>
      <c r="L679" s="51">
        <v>-2431</v>
      </c>
      <c r="M679" s="51">
        <v>0</v>
      </c>
      <c r="N679" s="51">
        <v>0</v>
      </c>
    </row>
    <row r="680" spans="1:14" outlineLevel="2" x14ac:dyDescent="0.35">
      <c r="A680" s="53" t="s">
        <v>308</v>
      </c>
      <c r="B680" s="66" t="s">
        <v>199</v>
      </c>
      <c r="C680" s="51">
        <v>2815916</v>
      </c>
      <c r="D680" s="51">
        <v>-34065</v>
      </c>
      <c r="E680" s="51">
        <v>0</v>
      </c>
      <c r="F680" s="51">
        <v>0</v>
      </c>
      <c r="G680" s="51">
        <v>0</v>
      </c>
      <c r="H680" s="51">
        <v>2781851</v>
      </c>
      <c r="I680" s="51">
        <v>-2781851</v>
      </c>
      <c r="J680" s="51">
        <v>0</v>
      </c>
      <c r="K680" s="51">
        <v>0</v>
      </c>
      <c r="L680" s="51">
        <v>0</v>
      </c>
      <c r="M680" s="51">
        <v>0</v>
      </c>
      <c r="N680" s="51">
        <v>0</v>
      </c>
    </row>
    <row r="681" spans="1:14" outlineLevel="2" x14ac:dyDescent="0.35">
      <c r="A681" s="53" t="s">
        <v>308</v>
      </c>
      <c r="B681" s="66" t="s">
        <v>198</v>
      </c>
      <c r="C681" s="51">
        <v>2107200</v>
      </c>
      <c r="D681" s="51">
        <v>-46319</v>
      </c>
      <c r="E681" s="51">
        <v>0</v>
      </c>
      <c r="F681" s="51">
        <v>0</v>
      </c>
      <c r="G681" s="51">
        <v>0</v>
      </c>
      <c r="H681" s="51">
        <v>2060881</v>
      </c>
      <c r="I681" s="51">
        <v>-2060881</v>
      </c>
      <c r="J681" s="51">
        <v>0</v>
      </c>
      <c r="K681" s="51">
        <v>0</v>
      </c>
      <c r="L681" s="51">
        <v>0</v>
      </c>
      <c r="M681" s="51">
        <v>0</v>
      </c>
      <c r="N681" s="51">
        <v>0</v>
      </c>
    </row>
    <row r="682" spans="1:14" outlineLevel="2" x14ac:dyDescent="0.35">
      <c r="A682" s="53" t="s">
        <v>308</v>
      </c>
      <c r="B682" s="66" t="s">
        <v>197</v>
      </c>
      <c r="C682" s="51">
        <v>1875153</v>
      </c>
      <c r="D682" s="51">
        <v>-32065</v>
      </c>
      <c r="E682" s="51">
        <v>0</v>
      </c>
      <c r="F682" s="51">
        <v>0</v>
      </c>
      <c r="G682" s="51">
        <v>0</v>
      </c>
      <c r="H682" s="51">
        <v>1843088</v>
      </c>
      <c r="I682" s="51">
        <v>-1843088</v>
      </c>
      <c r="J682" s="51">
        <v>0</v>
      </c>
      <c r="K682" s="51">
        <v>0</v>
      </c>
      <c r="L682" s="51">
        <v>0</v>
      </c>
      <c r="M682" s="51">
        <v>0</v>
      </c>
      <c r="N682" s="51">
        <v>0</v>
      </c>
    </row>
    <row r="683" spans="1:14" outlineLevel="2" x14ac:dyDescent="0.35">
      <c r="A683" s="53" t="s">
        <v>308</v>
      </c>
      <c r="B683" s="66" t="s">
        <v>196</v>
      </c>
      <c r="C683" s="51">
        <v>1838638</v>
      </c>
      <c r="D683" s="51">
        <v>-26543</v>
      </c>
      <c r="E683" s="51">
        <v>0</v>
      </c>
      <c r="F683" s="51">
        <v>0</v>
      </c>
      <c r="G683" s="51">
        <v>0</v>
      </c>
      <c r="H683" s="51">
        <v>1812095</v>
      </c>
      <c r="I683" s="51">
        <v>-1812095</v>
      </c>
      <c r="J683" s="51">
        <v>0</v>
      </c>
      <c r="K683" s="51">
        <v>0</v>
      </c>
      <c r="L683" s="51">
        <v>0</v>
      </c>
      <c r="M683" s="51">
        <v>0</v>
      </c>
      <c r="N683" s="51">
        <v>0</v>
      </c>
    </row>
    <row r="684" spans="1:14" outlineLevel="1" x14ac:dyDescent="0.35">
      <c r="A684" s="53" t="s">
        <v>308</v>
      </c>
      <c r="B684" s="66" t="s">
        <v>195</v>
      </c>
      <c r="C684" s="51">
        <v>1623033</v>
      </c>
      <c r="D684" s="51">
        <v>-27708</v>
      </c>
      <c r="E684" s="51">
        <v>0</v>
      </c>
      <c r="F684" s="51">
        <v>0</v>
      </c>
      <c r="G684" s="51">
        <v>0</v>
      </c>
      <c r="H684" s="51">
        <v>1595325</v>
      </c>
      <c r="I684" s="51">
        <v>-1595325</v>
      </c>
      <c r="J684" s="51">
        <v>0</v>
      </c>
      <c r="K684" s="51">
        <v>0</v>
      </c>
      <c r="L684" s="51">
        <v>0</v>
      </c>
      <c r="M684" s="51">
        <v>0</v>
      </c>
      <c r="N684" s="51">
        <v>0</v>
      </c>
    </row>
    <row r="685" spans="1:14" outlineLevel="1" x14ac:dyDescent="0.35">
      <c r="A685" s="53" t="s">
        <v>308</v>
      </c>
      <c r="B685" s="66" t="s">
        <v>194</v>
      </c>
      <c r="C685" s="51">
        <v>1407963</v>
      </c>
      <c r="D685" s="51">
        <v>-20017</v>
      </c>
      <c r="E685" s="51">
        <v>0</v>
      </c>
      <c r="F685" s="51">
        <v>0</v>
      </c>
      <c r="G685" s="51">
        <v>0</v>
      </c>
      <c r="H685" s="51">
        <v>1387946</v>
      </c>
      <c r="I685" s="51">
        <v>-1387946</v>
      </c>
      <c r="J685" s="51">
        <v>0</v>
      </c>
      <c r="K685" s="51">
        <v>0</v>
      </c>
      <c r="L685" s="51">
        <v>0</v>
      </c>
      <c r="M685" s="51">
        <v>0</v>
      </c>
      <c r="N685" s="51">
        <v>0</v>
      </c>
    </row>
    <row r="686" spans="1:14" outlineLevel="1" x14ac:dyDescent="0.35">
      <c r="A686" s="53" t="s">
        <v>308</v>
      </c>
      <c r="B686" s="66" t="s">
        <v>193</v>
      </c>
      <c r="C686" s="51">
        <v>821027</v>
      </c>
      <c r="D686" s="51">
        <v>-10266</v>
      </c>
      <c r="E686" s="51">
        <v>0</v>
      </c>
      <c r="F686" s="51">
        <v>0</v>
      </c>
      <c r="G686" s="51">
        <v>0</v>
      </c>
      <c r="H686" s="51">
        <v>810761</v>
      </c>
      <c r="I686" s="51">
        <v>-810761</v>
      </c>
      <c r="J686" s="51">
        <v>0</v>
      </c>
      <c r="K686" s="51">
        <v>0</v>
      </c>
      <c r="L686" s="51">
        <v>0</v>
      </c>
      <c r="M686" s="51">
        <v>0</v>
      </c>
      <c r="N686" s="51">
        <v>0</v>
      </c>
    </row>
    <row r="687" spans="1:14" ht="16" outlineLevel="2" thickBot="1" x14ac:dyDescent="0.4">
      <c r="A687" s="50" t="s">
        <v>125</v>
      </c>
      <c r="B687" s="67" t="s">
        <v>12</v>
      </c>
      <c r="C687" s="48">
        <f>SUBTOTAL(109,Program227[(C)
Program
Costs])</f>
        <v>15466653</v>
      </c>
      <c r="D687" s="48">
        <f>SUBTOTAL(109,Program227[(D)
Prior Period Adjustments])</f>
        <v>-201135</v>
      </c>
      <c r="E687" s="48">
        <f>SUBTOTAL(109,Program227[(E)
Current Period Desk 
Reviews])</f>
        <v>0</v>
      </c>
      <c r="F687" s="48">
        <f>SUBTOTAL(109,Program227[(F)
Current Period 
Final 
Audits])</f>
        <v>0</v>
      </c>
      <c r="G687" s="48">
        <f>SUBTOTAL(109,Program227[(G)
Current Period 
Other Adjustments])</f>
        <v>0</v>
      </c>
      <c r="H687" s="48">
        <f>SUBTOTAL(109,Program227[(H)
Net Program Costs
Sum (C through G)])</f>
        <v>15265518</v>
      </c>
      <c r="I687" s="48">
        <f>SUBTOTAL(109,Program227[(I)
Payments
 and Offsets])</f>
        <v>-15265518</v>
      </c>
      <c r="J687" s="48">
        <f>SUBTOTAL(109,Program227[(J)
Accounts Payable Balance
(H + I)])</f>
        <v>0</v>
      </c>
      <c r="K687" s="48">
        <f>SUBTOTAL(109,Program227[(K)
Established 
Accounts Receivable])</f>
        <v>2431</v>
      </c>
      <c r="L687" s="48">
        <f>SUBTOTAL(109,Program227[(L)
Recovered
 Accounts Receivable])</f>
        <v>-2431</v>
      </c>
      <c r="M687" s="48">
        <f>SUBTOTAL(109,Program227[(M)
Accounts Receivable Balance
(K + L)])</f>
        <v>0</v>
      </c>
      <c r="N687" s="48">
        <f>SUBTOTAL(109,Program227[(N)
Net Balance
(J minus M)])</f>
        <v>0</v>
      </c>
    </row>
    <row r="688" spans="1:14" outlineLevel="2" x14ac:dyDescent="0.35">
      <c r="A688" s="63" t="s">
        <v>33</v>
      </c>
      <c r="B688" s="62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</row>
    <row r="689" spans="1:14" ht="77.5" outlineLevel="2" x14ac:dyDescent="0.35">
      <c r="A689" s="60" t="s">
        <v>185</v>
      </c>
      <c r="B689" s="59" t="s">
        <v>184</v>
      </c>
      <c r="C689" s="58" t="s">
        <v>183</v>
      </c>
      <c r="D689" s="58" t="s">
        <v>182</v>
      </c>
      <c r="E689" s="56" t="s">
        <v>181</v>
      </c>
      <c r="F689" s="56" t="s">
        <v>180</v>
      </c>
      <c r="G689" s="56" t="s">
        <v>179</v>
      </c>
      <c r="H689" s="57" t="s">
        <v>674</v>
      </c>
      <c r="I689" s="55" t="s">
        <v>178</v>
      </c>
      <c r="J689" s="55" t="s">
        <v>177</v>
      </c>
      <c r="K689" s="56" t="s">
        <v>176</v>
      </c>
      <c r="L689" s="55" t="s">
        <v>175</v>
      </c>
      <c r="M689" s="55" t="s">
        <v>174</v>
      </c>
      <c r="N689" s="54" t="s">
        <v>173</v>
      </c>
    </row>
    <row r="690" spans="1:14" outlineLevel="2" x14ac:dyDescent="0.35">
      <c r="A690" s="53" t="s">
        <v>307</v>
      </c>
      <c r="B690" s="66" t="s">
        <v>194</v>
      </c>
      <c r="C690" s="51">
        <v>85238</v>
      </c>
      <c r="D690" s="51">
        <v>0</v>
      </c>
      <c r="E690" s="51">
        <v>0</v>
      </c>
      <c r="F690" s="51">
        <v>0</v>
      </c>
      <c r="G690" s="51">
        <v>0</v>
      </c>
      <c r="H690" s="51">
        <v>85238</v>
      </c>
      <c r="I690" s="51">
        <v>-85238</v>
      </c>
      <c r="J690" s="51">
        <v>0</v>
      </c>
      <c r="K690" s="51">
        <v>0</v>
      </c>
      <c r="L690" s="51">
        <v>0</v>
      </c>
      <c r="M690" s="51">
        <v>0</v>
      </c>
      <c r="N690" s="51">
        <v>0</v>
      </c>
    </row>
    <row r="691" spans="1:14" outlineLevel="2" x14ac:dyDescent="0.35">
      <c r="A691" s="53" t="s">
        <v>307</v>
      </c>
      <c r="B691" s="66" t="s">
        <v>193</v>
      </c>
      <c r="C691" s="51">
        <v>85057</v>
      </c>
      <c r="D691" s="51">
        <v>-1000</v>
      </c>
      <c r="E691" s="51">
        <v>0</v>
      </c>
      <c r="F691" s="51">
        <v>0</v>
      </c>
      <c r="G691" s="51">
        <v>0</v>
      </c>
      <c r="H691" s="51">
        <v>84057</v>
      </c>
      <c r="I691" s="51">
        <v>-84057</v>
      </c>
      <c r="J691" s="51">
        <v>0</v>
      </c>
      <c r="K691" s="51">
        <v>0</v>
      </c>
      <c r="L691" s="51">
        <v>0</v>
      </c>
      <c r="M691" s="51">
        <v>0</v>
      </c>
      <c r="N691" s="51">
        <v>0</v>
      </c>
    </row>
    <row r="692" spans="1:14" outlineLevel="2" x14ac:dyDescent="0.35">
      <c r="A692" s="53" t="s">
        <v>307</v>
      </c>
      <c r="B692" s="66" t="s">
        <v>188</v>
      </c>
      <c r="C692" s="51">
        <v>162788</v>
      </c>
      <c r="D692" s="51">
        <v>0</v>
      </c>
      <c r="E692" s="51">
        <v>0</v>
      </c>
      <c r="F692" s="51">
        <v>0</v>
      </c>
      <c r="G692" s="51">
        <v>0</v>
      </c>
      <c r="H692" s="51">
        <v>162788</v>
      </c>
      <c r="I692" s="51">
        <v>-162788</v>
      </c>
      <c r="J692" s="51">
        <v>0</v>
      </c>
      <c r="K692" s="51">
        <v>0</v>
      </c>
      <c r="L692" s="51">
        <v>0</v>
      </c>
      <c r="M692" s="51">
        <v>0</v>
      </c>
      <c r="N692" s="51">
        <v>0</v>
      </c>
    </row>
    <row r="693" spans="1:14" outlineLevel="1" x14ac:dyDescent="0.35">
      <c r="A693" s="53" t="s">
        <v>307</v>
      </c>
      <c r="B693" s="66" t="s">
        <v>186</v>
      </c>
      <c r="C693" s="51">
        <v>1276025</v>
      </c>
      <c r="D693" s="51">
        <v>-77667</v>
      </c>
      <c r="E693" s="51">
        <v>0</v>
      </c>
      <c r="F693" s="51">
        <v>0</v>
      </c>
      <c r="G693" s="51">
        <v>0</v>
      </c>
      <c r="H693" s="51">
        <v>1198358</v>
      </c>
      <c r="I693" s="51">
        <v>-1198358</v>
      </c>
      <c r="J693" s="51">
        <v>0</v>
      </c>
      <c r="K693" s="51">
        <v>620</v>
      </c>
      <c r="L693" s="51">
        <v>-620</v>
      </c>
      <c r="M693" s="51">
        <v>0</v>
      </c>
      <c r="N693" s="51">
        <v>0</v>
      </c>
    </row>
    <row r="694" spans="1:14" outlineLevel="2" x14ac:dyDescent="0.35">
      <c r="A694" s="53" t="s">
        <v>307</v>
      </c>
      <c r="B694" s="66" t="s">
        <v>227</v>
      </c>
      <c r="C694" s="51">
        <v>152017</v>
      </c>
      <c r="D694" s="51">
        <v>0</v>
      </c>
      <c r="E694" s="51">
        <v>0</v>
      </c>
      <c r="F694" s="51">
        <v>0</v>
      </c>
      <c r="G694" s="51">
        <v>0</v>
      </c>
      <c r="H694" s="51">
        <v>152017</v>
      </c>
      <c r="I694" s="51">
        <v>-152017</v>
      </c>
      <c r="J694" s="51">
        <v>0</v>
      </c>
      <c r="K694" s="51">
        <v>292892</v>
      </c>
      <c r="L694" s="51">
        <v>-292892</v>
      </c>
      <c r="M694" s="51">
        <v>0</v>
      </c>
      <c r="N694" s="51">
        <v>0</v>
      </c>
    </row>
    <row r="695" spans="1:14" outlineLevel="2" x14ac:dyDescent="0.35">
      <c r="A695" s="53" t="s">
        <v>307</v>
      </c>
      <c r="B695" s="66" t="s">
        <v>226</v>
      </c>
      <c r="C695" s="51">
        <v>0</v>
      </c>
      <c r="D695" s="51">
        <v>0</v>
      </c>
      <c r="E695" s="51">
        <v>0</v>
      </c>
      <c r="F695" s="51">
        <v>0</v>
      </c>
      <c r="G695" s="51">
        <v>0</v>
      </c>
      <c r="H695" s="51">
        <v>0</v>
      </c>
      <c r="I695" s="51">
        <v>0</v>
      </c>
      <c r="J695" s="51">
        <v>0</v>
      </c>
      <c r="K695" s="51">
        <v>7440</v>
      </c>
      <c r="L695" s="51">
        <v>-7440</v>
      </c>
      <c r="M695" s="51">
        <v>0</v>
      </c>
      <c r="N695" s="51">
        <v>0</v>
      </c>
    </row>
    <row r="696" spans="1:14" outlineLevel="2" x14ac:dyDescent="0.35">
      <c r="A696" s="53" t="s">
        <v>307</v>
      </c>
      <c r="B696" s="66" t="s">
        <v>255</v>
      </c>
      <c r="C696" s="51">
        <v>204632</v>
      </c>
      <c r="D696" s="51">
        <v>-9411</v>
      </c>
      <c r="E696" s="51">
        <v>0</v>
      </c>
      <c r="F696" s="51">
        <v>0</v>
      </c>
      <c r="G696" s="51">
        <v>0</v>
      </c>
      <c r="H696" s="51">
        <v>195221</v>
      </c>
      <c r="I696" s="51">
        <v>-195221</v>
      </c>
      <c r="J696" s="51">
        <v>0</v>
      </c>
      <c r="K696" s="51">
        <v>0</v>
      </c>
      <c r="L696" s="51">
        <v>0</v>
      </c>
      <c r="M696" s="51">
        <v>0</v>
      </c>
      <c r="N696" s="51">
        <v>0</v>
      </c>
    </row>
    <row r="697" spans="1:14" ht="16" outlineLevel="2" thickBot="1" x14ac:dyDescent="0.4">
      <c r="A697" s="50" t="s">
        <v>124</v>
      </c>
      <c r="B697" s="67" t="s">
        <v>12</v>
      </c>
      <c r="C697" s="48">
        <f>SUBTOTAL(109,Program27[(C)
Program
Costs])</f>
        <v>1965757</v>
      </c>
      <c r="D697" s="48">
        <f>SUBTOTAL(109,Program27[(D)
Prior Period Adjustments])</f>
        <v>-88078</v>
      </c>
      <c r="E697" s="48">
        <f>SUBTOTAL(109,Program27[(E)
Current Period Desk 
Reviews])</f>
        <v>0</v>
      </c>
      <c r="F697" s="48">
        <f>SUBTOTAL(109,Program27[(F)
Current Period 
Final 
Audits])</f>
        <v>0</v>
      </c>
      <c r="G697" s="48">
        <f>SUBTOTAL(109,Program27[(G)
Current Period 
Other Adjustments])</f>
        <v>0</v>
      </c>
      <c r="H697" s="48">
        <f>SUBTOTAL(109,Program27[(H)
Net Program Costs
Sum (C through G)])</f>
        <v>1877679</v>
      </c>
      <c r="I697" s="48">
        <f>SUBTOTAL(109,Program27[(I)
Payments
 and Offsets])</f>
        <v>-1877679</v>
      </c>
      <c r="J697" s="48">
        <f>SUBTOTAL(109,Program27[(J)
Accounts Payable Balance
(H + I)])</f>
        <v>0</v>
      </c>
      <c r="K697" s="48">
        <f>SUBTOTAL(109,Program27[(K)
Established 
Accounts Receivable])</f>
        <v>300952</v>
      </c>
      <c r="L697" s="48">
        <f>SUBTOTAL(109,Program27[(L)
Recovered
 Accounts Receivable])</f>
        <v>-300952</v>
      </c>
      <c r="M697" s="48">
        <f>SUBTOTAL(109,Program27[(M)
Accounts Receivable Balance
(K + L)])</f>
        <v>0</v>
      </c>
      <c r="N697" s="48">
        <f>SUBTOTAL(109,Program27[(N)
Net Balance
(J minus M)])</f>
        <v>0</v>
      </c>
    </row>
    <row r="698" spans="1:14" outlineLevel="2" x14ac:dyDescent="0.35">
      <c r="A698" s="63" t="s">
        <v>33</v>
      </c>
      <c r="B698" s="62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</row>
    <row r="699" spans="1:14" ht="77.5" outlineLevel="2" x14ac:dyDescent="0.35">
      <c r="A699" s="60" t="s">
        <v>185</v>
      </c>
      <c r="B699" s="59" t="s">
        <v>184</v>
      </c>
      <c r="C699" s="58" t="s">
        <v>183</v>
      </c>
      <c r="D699" s="58" t="s">
        <v>182</v>
      </c>
      <c r="E699" s="56" t="s">
        <v>181</v>
      </c>
      <c r="F699" s="56" t="s">
        <v>180</v>
      </c>
      <c r="G699" s="56" t="s">
        <v>179</v>
      </c>
      <c r="H699" s="57" t="s">
        <v>674</v>
      </c>
      <c r="I699" s="55" t="s">
        <v>178</v>
      </c>
      <c r="J699" s="55" t="s">
        <v>177</v>
      </c>
      <c r="K699" s="56" t="s">
        <v>176</v>
      </c>
      <c r="L699" s="55" t="s">
        <v>175</v>
      </c>
      <c r="M699" s="55" t="s">
        <v>174</v>
      </c>
      <c r="N699" s="54" t="s">
        <v>173</v>
      </c>
    </row>
    <row r="700" spans="1:14" outlineLevel="2" x14ac:dyDescent="0.35">
      <c r="A700" s="53" t="s">
        <v>306</v>
      </c>
      <c r="B700" s="66" t="s">
        <v>201</v>
      </c>
      <c r="C700" s="51">
        <v>65114857</v>
      </c>
      <c r="D700" s="51">
        <v>-14835543</v>
      </c>
      <c r="E700" s="51">
        <v>0</v>
      </c>
      <c r="F700" s="51">
        <v>0</v>
      </c>
      <c r="G700" s="51">
        <v>0</v>
      </c>
      <c r="H700" s="51">
        <v>50279314</v>
      </c>
      <c r="I700" s="51">
        <v>-50279314</v>
      </c>
      <c r="J700" s="51">
        <v>0</v>
      </c>
      <c r="K700" s="51">
        <v>21340451</v>
      </c>
      <c r="L700" s="51">
        <v>-21340451</v>
      </c>
      <c r="M700" s="51">
        <v>0</v>
      </c>
      <c r="N700" s="51">
        <v>0</v>
      </c>
    </row>
    <row r="701" spans="1:14" outlineLevel="2" x14ac:dyDescent="0.35">
      <c r="A701" s="53" t="s">
        <v>306</v>
      </c>
      <c r="B701" s="66" t="s">
        <v>200</v>
      </c>
      <c r="C701" s="51">
        <v>66942199</v>
      </c>
      <c r="D701" s="51">
        <v>-16314508</v>
      </c>
      <c r="E701" s="51">
        <v>0</v>
      </c>
      <c r="F701" s="51">
        <v>0</v>
      </c>
      <c r="G701" s="51">
        <v>0</v>
      </c>
      <c r="H701" s="51">
        <v>50627691</v>
      </c>
      <c r="I701" s="51">
        <v>-50627691</v>
      </c>
      <c r="J701" s="51">
        <v>0</v>
      </c>
      <c r="K701" s="51">
        <v>21902662</v>
      </c>
      <c r="L701" s="51">
        <v>-21902662</v>
      </c>
      <c r="M701" s="51">
        <v>0</v>
      </c>
      <c r="N701" s="51">
        <v>0</v>
      </c>
    </row>
    <row r="702" spans="1:14" outlineLevel="2" x14ac:dyDescent="0.35">
      <c r="A702" s="53" t="s">
        <v>306</v>
      </c>
      <c r="B702" s="66" t="s">
        <v>199</v>
      </c>
      <c r="C702" s="51">
        <v>62213036</v>
      </c>
      <c r="D702" s="51">
        <v>-19581674</v>
      </c>
      <c r="E702" s="51">
        <v>0</v>
      </c>
      <c r="F702" s="51">
        <v>0</v>
      </c>
      <c r="G702" s="51">
        <v>0</v>
      </c>
      <c r="H702" s="51">
        <v>42631362</v>
      </c>
      <c r="I702" s="51">
        <v>-42631362</v>
      </c>
      <c r="J702" s="51">
        <v>0</v>
      </c>
      <c r="K702" s="51">
        <v>0</v>
      </c>
      <c r="L702" s="51">
        <v>0</v>
      </c>
      <c r="M702" s="51">
        <v>0</v>
      </c>
      <c r="N702" s="51">
        <v>0</v>
      </c>
    </row>
    <row r="703" spans="1:14" outlineLevel="2" x14ac:dyDescent="0.35">
      <c r="A703" s="53" t="s">
        <v>306</v>
      </c>
      <c r="B703" s="66" t="s">
        <v>198</v>
      </c>
      <c r="C703" s="51">
        <v>125750537</v>
      </c>
      <c r="D703" s="51">
        <v>-4043787</v>
      </c>
      <c r="E703" s="51">
        <v>0</v>
      </c>
      <c r="F703" s="51">
        <v>0</v>
      </c>
      <c r="G703" s="51">
        <v>0</v>
      </c>
      <c r="H703" s="51">
        <v>121706750</v>
      </c>
      <c r="I703" s="51">
        <v>-121706750</v>
      </c>
      <c r="J703" s="51">
        <v>0</v>
      </c>
      <c r="K703" s="51">
        <v>0</v>
      </c>
      <c r="L703" s="51">
        <v>0</v>
      </c>
      <c r="M703" s="51">
        <v>0</v>
      </c>
      <c r="N703" s="51">
        <v>0</v>
      </c>
    </row>
    <row r="704" spans="1:14" outlineLevel="2" x14ac:dyDescent="0.35">
      <c r="A704" s="53" t="s">
        <v>306</v>
      </c>
      <c r="B704" s="66" t="s">
        <v>197</v>
      </c>
      <c r="C704" s="51">
        <v>111407131</v>
      </c>
      <c r="D704" s="51">
        <v>-10159391</v>
      </c>
      <c r="E704" s="51">
        <v>0</v>
      </c>
      <c r="F704" s="51">
        <v>0</v>
      </c>
      <c r="G704" s="51">
        <v>0</v>
      </c>
      <c r="H704" s="51">
        <v>101247740</v>
      </c>
      <c r="I704" s="51">
        <v>-101247740</v>
      </c>
      <c r="J704" s="51">
        <v>0</v>
      </c>
      <c r="K704" s="51">
        <v>67076</v>
      </c>
      <c r="L704" s="51">
        <v>-67076</v>
      </c>
      <c r="M704" s="51">
        <v>0</v>
      </c>
      <c r="N704" s="51">
        <v>0</v>
      </c>
    </row>
    <row r="705" spans="1:14" outlineLevel="2" x14ac:dyDescent="0.35">
      <c r="A705" s="53" t="s">
        <v>306</v>
      </c>
      <c r="B705" s="66" t="s">
        <v>196</v>
      </c>
      <c r="C705" s="51">
        <v>86746557</v>
      </c>
      <c r="D705" s="51">
        <v>-18555329</v>
      </c>
      <c r="E705" s="51">
        <v>0</v>
      </c>
      <c r="F705" s="51">
        <v>0</v>
      </c>
      <c r="G705" s="51">
        <v>0</v>
      </c>
      <c r="H705" s="51">
        <v>68191228</v>
      </c>
      <c r="I705" s="51">
        <v>-68191228</v>
      </c>
      <c r="J705" s="51">
        <v>0</v>
      </c>
      <c r="K705" s="51">
        <v>3793011</v>
      </c>
      <c r="L705" s="51">
        <v>-3793011</v>
      </c>
      <c r="M705" s="51">
        <v>0</v>
      </c>
      <c r="N705" s="51">
        <v>0</v>
      </c>
    </row>
    <row r="706" spans="1:14" outlineLevel="2" x14ac:dyDescent="0.35">
      <c r="A706" s="53" t="s">
        <v>306</v>
      </c>
      <c r="B706" s="66" t="s">
        <v>195</v>
      </c>
      <c r="C706" s="51">
        <v>68880483</v>
      </c>
      <c r="D706" s="51">
        <v>-7578797</v>
      </c>
      <c r="E706" s="51">
        <v>0</v>
      </c>
      <c r="F706" s="51">
        <v>0</v>
      </c>
      <c r="G706" s="51">
        <v>0</v>
      </c>
      <c r="H706" s="51">
        <v>61301686</v>
      </c>
      <c r="I706" s="51">
        <v>-61301686</v>
      </c>
      <c r="J706" s="51">
        <v>0</v>
      </c>
      <c r="K706" s="51">
        <v>2924952</v>
      </c>
      <c r="L706" s="51">
        <v>-2924952</v>
      </c>
      <c r="M706" s="51">
        <v>0</v>
      </c>
      <c r="N706" s="51">
        <v>0</v>
      </c>
    </row>
    <row r="707" spans="1:14" outlineLevel="2" x14ac:dyDescent="0.35">
      <c r="A707" s="53" t="s">
        <v>306</v>
      </c>
      <c r="B707" s="66" t="s">
        <v>194</v>
      </c>
      <c r="C707" s="51">
        <v>53304358</v>
      </c>
      <c r="D707" s="51">
        <v>-6985156</v>
      </c>
      <c r="E707" s="51">
        <v>0</v>
      </c>
      <c r="F707" s="51">
        <v>0</v>
      </c>
      <c r="G707" s="51">
        <v>0</v>
      </c>
      <c r="H707" s="51">
        <v>46319202</v>
      </c>
      <c r="I707" s="51">
        <v>-46319202</v>
      </c>
      <c r="J707" s="51">
        <v>0</v>
      </c>
      <c r="K707" s="51">
        <v>12772679</v>
      </c>
      <c r="L707" s="51">
        <v>-12772679</v>
      </c>
      <c r="M707" s="51">
        <v>0</v>
      </c>
      <c r="N707" s="51">
        <v>0</v>
      </c>
    </row>
    <row r="708" spans="1:14" outlineLevel="2" x14ac:dyDescent="0.35">
      <c r="A708" s="53" t="s">
        <v>306</v>
      </c>
      <c r="B708" s="66" t="s">
        <v>193</v>
      </c>
      <c r="C708" s="51">
        <v>45619769</v>
      </c>
      <c r="D708" s="51">
        <v>-2252181</v>
      </c>
      <c r="E708" s="51">
        <v>0</v>
      </c>
      <c r="F708" s="51">
        <v>0</v>
      </c>
      <c r="G708" s="51">
        <v>0</v>
      </c>
      <c r="H708" s="51">
        <v>43367588</v>
      </c>
      <c r="I708" s="51">
        <v>-43367588</v>
      </c>
      <c r="J708" s="51">
        <v>0</v>
      </c>
      <c r="K708" s="51">
        <v>3127851</v>
      </c>
      <c r="L708" s="51">
        <v>-3127851</v>
      </c>
      <c r="M708" s="51">
        <v>0</v>
      </c>
      <c r="N708" s="51">
        <v>0</v>
      </c>
    </row>
    <row r="709" spans="1:14" outlineLevel="1" x14ac:dyDescent="0.35">
      <c r="A709" s="53" t="s">
        <v>306</v>
      </c>
      <c r="B709" s="66" t="s">
        <v>192</v>
      </c>
      <c r="C709" s="51">
        <v>38476003</v>
      </c>
      <c r="D709" s="51">
        <v>-1256588</v>
      </c>
      <c r="E709" s="51">
        <v>0</v>
      </c>
      <c r="F709" s="51">
        <v>0</v>
      </c>
      <c r="G709" s="51">
        <v>0</v>
      </c>
      <c r="H709" s="51">
        <v>37219415</v>
      </c>
      <c r="I709" s="51">
        <v>-37219415</v>
      </c>
      <c r="J709" s="51">
        <v>0</v>
      </c>
      <c r="K709" s="51">
        <v>1597436</v>
      </c>
      <c r="L709" s="51">
        <v>-1597436</v>
      </c>
      <c r="M709" s="51">
        <v>0</v>
      </c>
      <c r="N709" s="51">
        <v>0</v>
      </c>
    </row>
    <row r="710" spans="1:14" outlineLevel="1" x14ac:dyDescent="0.35">
      <c r="A710" s="53" t="s">
        <v>306</v>
      </c>
      <c r="B710" s="66" t="s">
        <v>191</v>
      </c>
      <c r="C710" s="51">
        <v>28964649</v>
      </c>
      <c r="D710" s="51">
        <v>-388234</v>
      </c>
      <c r="E710" s="51">
        <v>0</v>
      </c>
      <c r="F710" s="51">
        <v>0</v>
      </c>
      <c r="G710" s="51">
        <v>0</v>
      </c>
      <c r="H710" s="51">
        <v>28576415</v>
      </c>
      <c r="I710" s="51">
        <v>-28576415</v>
      </c>
      <c r="J710" s="51">
        <v>0</v>
      </c>
      <c r="K710" s="51">
        <v>676179</v>
      </c>
      <c r="L710" s="51">
        <v>-676179</v>
      </c>
      <c r="M710" s="51">
        <v>0</v>
      </c>
      <c r="N710" s="51">
        <v>0</v>
      </c>
    </row>
    <row r="711" spans="1:14" outlineLevel="2" x14ac:dyDescent="0.35">
      <c r="A711" s="53" t="s">
        <v>306</v>
      </c>
      <c r="B711" s="66" t="s">
        <v>190</v>
      </c>
      <c r="C711" s="51">
        <v>28919316</v>
      </c>
      <c r="D711" s="51">
        <v>3750010</v>
      </c>
      <c r="E711" s="51">
        <v>0</v>
      </c>
      <c r="F711" s="51">
        <v>0</v>
      </c>
      <c r="G711" s="51">
        <v>0</v>
      </c>
      <c r="H711" s="51">
        <v>32669326</v>
      </c>
      <c r="I711" s="51">
        <v>-32669326</v>
      </c>
      <c r="J711" s="51">
        <v>0</v>
      </c>
      <c r="K711" s="51">
        <v>668033</v>
      </c>
      <c r="L711" s="51">
        <v>-668033</v>
      </c>
      <c r="M711" s="51">
        <v>0</v>
      </c>
      <c r="N711" s="51">
        <v>0</v>
      </c>
    </row>
    <row r="712" spans="1:14" outlineLevel="2" x14ac:dyDescent="0.35">
      <c r="A712" s="53" t="s">
        <v>306</v>
      </c>
      <c r="B712" s="66" t="s">
        <v>189</v>
      </c>
      <c r="C712" s="51">
        <v>33804401</v>
      </c>
      <c r="D712" s="51">
        <v>-5040977</v>
      </c>
      <c r="E712" s="51">
        <v>0</v>
      </c>
      <c r="F712" s="51">
        <v>0</v>
      </c>
      <c r="G712" s="51">
        <v>0</v>
      </c>
      <c r="H712" s="51">
        <v>28763424</v>
      </c>
      <c r="I712" s="51">
        <v>-28763424</v>
      </c>
      <c r="J712" s="51">
        <v>0</v>
      </c>
      <c r="K712" s="51">
        <v>1367503</v>
      </c>
      <c r="L712" s="51">
        <v>-1367503</v>
      </c>
      <c r="M712" s="51">
        <v>0</v>
      </c>
      <c r="N712" s="51">
        <v>0</v>
      </c>
    </row>
    <row r="713" spans="1:14" outlineLevel="2" x14ac:dyDescent="0.35">
      <c r="A713" s="53" t="s">
        <v>306</v>
      </c>
      <c r="B713" s="66" t="s">
        <v>188</v>
      </c>
      <c r="C713" s="51">
        <v>28751523</v>
      </c>
      <c r="D713" s="51">
        <v>-3725736</v>
      </c>
      <c r="E713" s="51">
        <v>0</v>
      </c>
      <c r="F713" s="51">
        <v>0</v>
      </c>
      <c r="G713" s="51">
        <v>0</v>
      </c>
      <c r="H713" s="51">
        <v>25025787</v>
      </c>
      <c r="I713" s="51">
        <v>-25025787</v>
      </c>
      <c r="J713" s="51">
        <v>0</v>
      </c>
      <c r="K713" s="51">
        <v>199172</v>
      </c>
      <c r="L713" s="51">
        <v>-199172</v>
      </c>
      <c r="M713" s="51">
        <v>0</v>
      </c>
      <c r="N713" s="51">
        <v>0</v>
      </c>
    </row>
    <row r="714" spans="1:14" outlineLevel="2" x14ac:dyDescent="0.35">
      <c r="A714" s="53" t="s">
        <v>306</v>
      </c>
      <c r="B714" s="66" t="s">
        <v>186</v>
      </c>
      <c r="C714" s="51">
        <v>30568026</v>
      </c>
      <c r="D714" s="51">
        <v>-3981248</v>
      </c>
      <c r="E714" s="51">
        <v>0</v>
      </c>
      <c r="F714" s="51">
        <v>0</v>
      </c>
      <c r="G714" s="51">
        <v>0</v>
      </c>
      <c r="H714" s="51">
        <v>26586778</v>
      </c>
      <c r="I714" s="51">
        <v>-26586778</v>
      </c>
      <c r="J714" s="51">
        <v>0</v>
      </c>
      <c r="K714" s="51">
        <v>202340</v>
      </c>
      <c r="L714" s="51">
        <v>-202340</v>
      </c>
      <c r="M714" s="51">
        <v>0</v>
      </c>
      <c r="N714" s="51">
        <v>0</v>
      </c>
    </row>
    <row r="715" spans="1:14" outlineLevel="1" x14ac:dyDescent="0.35">
      <c r="A715" s="53" t="s">
        <v>306</v>
      </c>
      <c r="B715" s="66" t="s">
        <v>227</v>
      </c>
      <c r="C715" s="51">
        <v>20649819</v>
      </c>
      <c r="D715" s="51">
        <v>-5697133</v>
      </c>
      <c r="E715" s="51">
        <v>0</v>
      </c>
      <c r="F715" s="51">
        <v>0</v>
      </c>
      <c r="G715" s="51">
        <v>0</v>
      </c>
      <c r="H715" s="51">
        <v>14952686</v>
      </c>
      <c r="I715" s="51">
        <v>-14952686</v>
      </c>
      <c r="J715" s="51">
        <v>0</v>
      </c>
      <c r="K715" s="51">
        <v>3649063</v>
      </c>
      <c r="L715" s="51">
        <v>-3649063</v>
      </c>
      <c r="M715" s="51">
        <v>0</v>
      </c>
      <c r="N715" s="51">
        <v>0</v>
      </c>
    </row>
    <row r="716" spans="1:14" outlineLevel="2" x14ac:dyDescent="0.35">
      <c r="A716" s="53" t="s">
        <v>306</v>
      </c>
      <c r="B716" s="66" t="s">
        <v>226</v>
      </c>
      <c r="C716" s="51">
        <v>13635322</v>
      </c>
      <c r="D716" s="51">
        <v>-4783488</v>
      </c>
      <c r="E716" s="51">
        <v>0</v>
      </c>
      <c r="F716" s="51">
        <v>0</v>
      </c>
      <c r="G716" s="51">
        <v>0</v>
      </c>
      <c r="H716" s="51">
        <v>8851834</v>
      </c>
      <c r="I716" s="51">
        <v>-8851834</v>
      </c>
      <c r="J716" s="51">
        <v>0</v>
      </c>
      <c r="K716" s="51">
        <v>3233713</v>
      </c>
      <c r="L716" s="51">
        <v>-3233713</v>
      </c>
      <c r="M716" s="51">
        <v>0</v>
      </c>
      <c r="N716" s="51">
        <v>0</v>
      </c>
    </row>
    <row r="717" spans="1:14" outlineLevel="2" x14ac:dyDescent="0.35">
      <c r="A717" s="53" t="s">
        <v>306</v>
      </c>
      <c r="B717" s="66" t="s">
        <v>225</v>
      </c>
      <c r="C717" s="51">
        <v>11993713</v>
      </c>
      <c r="D717" s="51">
        <v>-2949320</v>
      </c>
      <c r="E717" s="51">
        <v>0</v>
      </c>
      <c r="F717" s="51">
        <v>0</v>
      </c>
      <c r="G717" s="51">
        <v>0</v>
      </c>
      <c r="H717" s="51">
        <v>9044393</v>
      </c>
      <c r="I717" s="51">
        <v>-9044393</v>
      </c>
      <c r="J717" s="51">
        <v>0</v>
      </c>
      <c r="K717" s="51">
        <v>1639255</v>
      </c>
      <c r="L717" s="51">
        <v>-1639255</v>
      </c>
      <c r="M717" s="51">
        <v>0</v>
      </c>
      <c r="N717" s="51">
        <v>0</v>
      </c>
    </row>
    <row r="718" spans="1:14" outlineLevel="2" x14ac:dyDescent="0.35">
      <c r="A718" s="53" t="s">
        <v>306</v>
      </c>
      <c r="B718" s="66" t="s">
        <v>223</v>
      </c>
      <c r="C718" s="51">
        <v>5592284</v>
      </c>
      <c r="D718" s="51">
        <v>-1502349</v>
      </c>
      <c r="E718" s="51">
        <v>0</v>
      </c>
      <c r="F718" s="51">
        <v>0</v>
      </c>
      <c r="G718" s="51">
        <v>0</v>
      </c>
      <c r="H718" s="51">
        <v>4089935</v>
      </c>
      <c r="I718" s="51">
        <v>-4089935</v>
      </c>
      <c r="J718" s="51">
        <v>0</v>
      </c>
      <c r="K718" s="51">
        <v>758582</v>
      </c>
      <c r="L718" s="51">
        <v>-758582</v>
      </c>
      <c r="M718" s="51">
        <v>0</v>
      </c>
      <c r="N718" s="51">
        <v>0</v>
      </c>
    </row>
    <row r="719" spans="1:14" outlineLevel="2" x14ac:dyDescent="0.35">
      <c r="A719" s="53" t="s">
        <v>306</v>
      </c>
      <c r="B719" s="66" t="s">
        <v>257</v>
      </c>
      <c r="C719" s="51">
        <v>4097735</v>
      </c>
      <c r="D719" s="51">
        <v>-787522</v>
      </c>
      <c r="E719" s="51">
        <v>0</v>
      </c>
      <c r="F719" s="51">
        <v>0</v>
      </c>
      <c r="G719" s="51">
        <v>0</v>
      </c>
      <c r="H719" s="51">
        <v>3310213</v>
      </c>
      <c r="I719" s="51">
        <v>-3310213</v>
      </c>
      <c r="J719" s="51">
        <v>0</v>
      </c>
      <c r="K719" s="51">
        <v>476537</v>
      </c>
      <c r="L719" s="51">
        <v>-476537</v>
      </c>
      <c r="M719" s="51">
        <v>0</v>
      </c>
      <c r="N719" s="51">
        <v>0</v>
      </c>
    </row>
    <row r="720" spans="1:14" ht="16" outlineLevel="2" thickBot="1" x14ac:dyDescent="0.4">
      <c r="A720" s="50" t="s">
        <v>123</v>
      </c>
      <c r="B720" s="67" t="s">
        <v>12</v>
      </c>
      <c r="C720" s="48">
        <f>SUBTOTAL(109,Program111[(C)
Program
Costs])</f>
        <v>931431718</v>
      </c>
      <c r="D720" s="48">
        <f>SUBTOTAL(109,Program111[(D)
Prior Period Adjustments])</f>
        <v>-126668951</v>
      </c>
      <c r="E720" s="48">
        <f>SUBTOTAL(109,Program111[(E)
Current Period Desk 
Reviews])</f>
        <v>0</v>
      </c>
      <c r="F720" s="48">
        <f>SUBTOTAL(109,Program111[(F)
Current Period 
Final 
Audits])</f>
        <v>0</v>
      </c>
      <c r="G720" s="48">
        <f>SUBTOTAL(109,Program111[(G)
Current Period 
Other Adjustments])</f>
        <v>0</v>
      </c>
      <c r="H720" s="48">
        <f>SUBTOTAL(109,Program111[(H)
Net Program Costs
Sum (C through G)])</f>
        <v>804762767</v>
      </c>
      <c r="I720" s="48">
        <f>SUBTOTAL(109,Program111[(I)
Payments
 and Offsets])</f>
        <v>-804762767</v>
      </c>
      <c r="J720" s="48">
        <f>SUBTOTAL(109,Program111[(J)
Accounts Payable Balance
(H + I)])</f>
        <v>0</v>
      </c>
      <c r="K720" s="48">
        <f>SUBTOTAL(109,Program111[(K)
Established 
Accounts Receivable])</f>
        <v>80396495</v>
      </c>
      <c r="L720" s="48">
        <f>SUBTOTAL(109,Program111[(L)
Recovered
 Accounts Receivable])</f>
        <v>-80396495</v>
      </c>
      <c r="M720" s="48">
        <f>SUBTOTAL(109,Program111[(M)
Accounts Receivable Balance
(K + L)])</f>
        <v>0</v>
      </c>
      <c r="N720" s="48">
        <f>SUBTOTAL(109,Program111[(N)
Net Balance
(J minus M)])</f>
        <v>0</v>
      </c>
    </row>
    <row r="721" spans="1:14" outlineLevel="2" x14ac:dyDescent="0.35">
      <c r="A721" s="63" t="s">
        <v>33</v>
      </c>
      <c r="B721" s="62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</row>
    <row r="722" spans="1:14" ht="77.5" outlineLevel="1" x14ac:dyDescent="0.35">
      <c r="A722" s="60" t="s">
        <v>185</v>
      </c>
      <c r="B722" s="59" t="s">
        <v>184</v>
      </c>
      <c r="C722" s="58" t="s">
        <v>183</v>
      </c>
      <c r="D722" s="58" t="s">
        <v>182</v>
      </c>
      <c r="E722" s="56" t="s">
        <v>181</v>
      </c>
      <c r="F722" s="56" t="s">
        <v>180</v>
      </c>
      <c r="G722" s="56" t="s">
        <v>179</v>
      </c>
      <c r="H722" s="57" t="s">
        <v>674</v>
      </c>
      <c r="I722" s="55" t="s">
        <v>178</v>
      </c>
      <c r="J722" s="55" t="s">
        <v>177</v>
      </c>
      <c r="K722" s="56" t="s">
        <v>176</v>
      </c>
      <c r="L722" s="55" t="s">
        <v>175</v>
      </c>
      <c r="M722" s="55" t="s">
        <v>174</v>
      </c>
      <c r="N722" s="54" t="s">
        <v>173</v>
      </c>
    </row>
    <row r="723" spans="1:14" outlineLevel="1" x14ac:dyDescent="0.35">
      <c r="A723" s="53" t="s">
        <v>305</v>
      </c>
      <c r="B723" s="66" t="s">
        <v>201</v>
      </c>
      <c r="C723" s="51">
        <v>1436252</v>
      </c>
      <c r="D723" s="51">
        <v>-22940</v>
      </c>
      <c r="E723" s="51">
        <v>0</v>
      </c>
      <c r="F723" s="51">
        <v>0</v>
      </c>
      <c r="G723" s="51">
        <v>0</v>
      </c>
      <c r="H723" s="51">
        <v>1413312</v>
      </c>
      <c r="I723" s="51">
        <v>-1413312</v>
      </c>
      <c r="J723" s="51">
        <v>0</v>
      </c>
      <c r="K723" s="51">
        <v>0</v>
      </c>
      <c r="L723" s="51">
        <v>0</v>
      </c>
      <c r="M723" s="51">
        <v>0</v>
      </c>
      <c r="N723" s="51">
        <v>0</v>
      </c>
    </row>
    <row r="724" spans="1:14" outlineLevel="2" x14ac:dyDescent="0.35">
      <c r="A724" s="53" t="s">
        <v>305</v>
      </c>
      <c r="B724" s="66" t="s">
        <v>200</v>
      </c>
      <c r="C724" s="51">
        <v>2027657</v>
      </c>
      <c r="D724" s="51">
        <v>-1905004</v>
      </c>
      <c r="E724" s="51">
        <v>0</v>
      </c>
      <c r="F724" s="51">
        <v>0</v>
      </c>
      <c r="G724" s="51">
        <v>0</v>
      </c>
      <c r="H724" s="51">
        <v>122653</v>
      </c>
      <c r="I724" s="51">
        <v>-122653</v>
      </c>
      <c r="J724" s="51">
        <v>0</v>
      </c>
      <c r="K724" s="51">
        <v>0</v>
      </c>
      <c r="L724" s="51">
        <v>0</v>
      </c>
      <c r="M724" s="51">
        <v>0</v>
      </c>
      <c r="N724" s="51">
        <v>0</v>
      </c>
    </row>
    <row r="725" spans="1:14" outlineLevel="2" x14ac:dyDescent="0.35">
      <c r="A725" s="53" t="s">
        <v>305</v>
      </c>
      <c r="B725" s="66" t="s">
        <v>199</v>
      </c>
      <c r="C725" s="51">
        <v>2504848</v>
      </c>
      <c r="D725" s="51">
        <v>-1321153</v>
      </c>
      <c r="E725" s="51">
        <v>0</v>
      </c>
      <c r="F725" s="51">
        <v>0</v>
      </c>
      <c r="G725" s="51">
        <v>0</v>
      </c>
      <c r="H725" s="51">
        <v>1183695</v>
      </c>
      <c r="I725" s="51">
        <v>-1183695</v>
      </c>
      <c r="J725" s="51">
        <v>0</v>
      </c>
      <c r="K725" s="51">
        <v>0</v>
      </c>
      <c r="L725" s="51">
        <v>0</v>
      </c>
      <c r="M725" s="51">
        <v>0</v>
      </c>
      <c r="N725" s="51">
        <v>0</v>
      </c>
    </row>
    <row r="726" spans="1:14" outlineLevel="2" x14ac:dyDescent="0.35">
      <c r="A726" s="53" t="s">
        <v>305</v>
      </c>
      <c r="B726" s="66" t="s">
        <v>198</v>
      </c>
      <c r="C726" s="51">
        <v>4619233</v>
      </c>
      <c r="D726" s="51">
        <v>-1660556</v>
      </c>
      <c r="E726" s="51">
        <v>0</v>
      </c>
      <c r="F726" s="51">
        <v>0</v>
      </c>
      <c r="G726" s="51">
        <v>0</v>
      </c>
      <c r="H726" s="51">
        <v>2958677</v>
      </c>
      <c r="I726" s="51">
        <v>-2958677</v>
      </c>
      <c r="J726" s="51">
        <v>0</v>
      </c>
      <c r="K726" s="51">
        <v>0</v>
      </c>
      <c r="L726" s="51">
        <v>0</v>
      </c>
      <c r="M726" s="51">
        <v>0</v>
      </c>
      <c r="N726" s="51">
        <v>0</v>
      </c>
    </row>
    <row r="727" spans="1:14" outlineLevel="2" x14ac:dyDescent="0.35">
      <c r="A727" s="53" t="s">
        <v>305</v>
      </c>
      <c r="B727" s="66" t="s">
        <v>197</v>
      </c>
      <c r="C727" s="51">
        <v>3030306</v>
      </c>
      <c r="D727" s="51">
        <v>-686884</v>
      </c>
      <c r="E727" s="51">
        <v>0</v>
      </c>
      <c r="F727" s="51">
        <v>0</v>
      </c>
      <c r="G727" s="51">
        <v>0</v>
      </c>
      <c r="H727" s="51">
        <v>2343422</v>
      </c>
      <c r="I727" s="51">
        <v>-2343422</v>
      </c>
      <c r="J727" s="51">
        <v>0</v>
      </c>
      <c r="K727" s="51">
        <v>0</v>
      </c>
      <c r="L727" s="51">
        <v>0</v>
      </c>
      <c r="M727" s="51">
        <v>0</v>
      </c>
      <c r="N727" s="51">
        <v>0</v>
      </c>
    </row>
    <row r="728" spans="1:14" ht="16" outlineLevel="2" thickBot="1" x14ac:dyDescent="0.4">
      <c r="A728" s="50" t="s">
        <v>122</v>
      </c>
      <c r="B728" s="67" t="s">
        <v>12</v>
      </c>
      <c r="C728" s="48">
        <f>SUBTOTAL(109,Program263[(C)
Program
Costs])</f>
        <v>13618296</v>
      </c>
      <c r="D728" s="48">
        <f>SUBTOTAL(109,Program263[(D)
Prior Period Adjustments])</f>
        <v>-5596537</v>
      </c>
      <c r="E728" s="48">
        <f>SUBTOTAL(109,Program263[(E)
Current Period Desk 
Reviews])</f>
        <v>0</v>
      </c>
      <c r="F728" s="48">
        <f>SUBTOTAL(109,Program263[(F)
Current Period 
Final 
Audits])</f>
        <v>0</v>
      </c>
      <c r="G728" s="48">
        <f>SUBTOTAL(109,Program263[(G)
Current Period 
Other Adjustments])</f>
        <v>0</v>
      </c>
      <c r="H728" s="48">
        <f>SUBTOTAL(109,Program263[(H)
Net Program Costs
Sum (C through G)])</f>
        <v>8021759</v>
      </c>
      <c r="I728" s="48">
        <f>SUBTOTAL(109,Program263[(I)
Payments
 and Offsets])</f>
        <v>-8021759</v>
      </c>
      <c r="J728" s="48">
        <f>SUBTOTAL(109,Program263[(J)
Accounts Payable Balance
(H + I)])</f>
        <v>0</v>
      </c>
      <c r="K728" s="48">
        <f>SUBTOTAL(109,Program263[(K)
Established 
Accounts Receivable])</f>
        <v>0</v>
      </c>
      <c r="L728" s="48">
        <f>SUBTOTAL(109,Program263[(L)
Recovered
 Accounts Receivable])</f>
        <v>0</v>
      </c>
      <c r="M728" s="48">
        <f>SUBTOTAL(109,Program263[(M)
Accounts Receivable Balance
(K + L)])</f>
        <v>0</v>
      </c>
      <c r="N728" s="48">
        <f>SUBTOTAL(109,Program263[(N)
Net Balance
(J minus M)])</f>
        <v>0</v>
      </c>
    </row>
    <row r="729" spans="1:14" outlineLevel="1" x14ac:dyDescent="0.35">
      <c r="A729" s="63" t="s">
        <v>33</v>
      </c>
      <c r="B729" s="62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</row>
    <row r="730" spans="1:14" ht="77.5" outlineLevel="2" x14ac:dyDescent="0.35">
      <c r="A730" s="60" t="s">
        <v>185</v>
      </c>
      <c r="B730" s="59" t="s">
        <v>184</v>
      </c>
      <c r="C730" s="58" t="s">
        <v>183</v>
      </c>
      <c r="D730" s="58" t="s">
        <v>182</v>
      </c>
      <c r="E730" s="56" t="s">
        <v>181</v>
      </c>
      <c r="F730" s="56" t="s">
        <v>180</v>
      </c>
      <c r="G730" s="56" t="s">
        <v>179</v>
      </c>
      <c r="H730" s="57" t="s">
        <v>674</v>
      </c>
      <c r="I730" s="55" t="s">
        <v>178</v>
      </c>
      <c r="J730" s="55" t="s">
        <v>177</v>
      </c>
      <c r="K730" s="56" t="s">
        <v>176</v>
      </c>
      <c r="L730" s="55" t="s">
        <v>175</v>
      </c>
      <c r="M730" s="55" t="s">
        <v>174</v>
      </c>
      <c r="N730" s="54" t="s">
        <v>173</v>
      </c>
    </row>
    <row r="731" spans="1:14" ht="62" outlineLevel="2" x14ac:dyDescent="0.35">
      <c r="A731" s="70" t="s">
        <v>304</v>
      </c>
      <c r="B731" s="69" t="s">
        <v>206</v>
      </c>
      <c r="C731" s="68">
        <v>36734731</v>
      </c>
      <c r="D731" s="68">
        <v>-20000</v>
      </c>
      <c r="E731" s="68">
        <v>0</v>
      </c>
      <c r="F731" s="68">
        <v>0</v>
      </c>
      <c r="G731" s="68">
        <v>0</v>
      </c>
      <c r="H731" s="68">
        <v>36714731</v>
      </c>
      <c r="I731" s="68">
        <v>-36714731</v>
      </c>
      <c r="J731" s="68">
        <v>0</v>
      </c>
      <c r="K731" s="68">
        <v>0</v>
      </c>
      <c r="L731" s="68">
        <v>0</v>
      </c>
      <c r="M731" s="68">
        <v>0</v>
      </c>
      <c r="N731" s="68">
        <v>0</v>
      </c>
    </row>
    <row r="732" spans="1:14" ht="62" outlineLevel="2" x14ac:dyDescent="0.35">
      <c r="A732" s="70" t="s">
        <v>304</v>
      </c>
      <c r="B732" s="69" t="s">
        <v>205</v>
      </c>
      <c r="C732" s="68">
        <v>134538785</v>
      </c>
      <c r="D732" s="68">
        <v>-17414209</v>
      </c>
      <c r="E732" s="68">
        <v>0</v>
      </c>
      <c r="F732" s="68">
        <v>0</v>
      </c>
      <c r="G732" s="68">
        <v>0</v>
      </c>
      <c r="H732" s="68">
        <v>117124576</v>
      </c>
      <c r="I732" s="68">
        <v>-117124576</v>
      </c>
      <c r="J732" s="68">
        <v>0</v>
      </c>
      <c r="K732" s="68">
        <v>2030971</v>
      </c>
      <c r="L732" s="68">
        <v>-1898602</v>
      </c>
      <c r="M732" s="68">
        <v>132369</v>
      </c>
      <c r="N732" s="68">
        <v>-132369</v>
      </c>
    </row>
    <row r="733" spans="1:14" ht="62" outlineLevel="2" x14ac:dyDescent="0.35">
      <c r="A733" s="70" t="s">
        <v>304</v>
      </c>
      <c r="B733" s="69" t="s">
        <v>204</v>
      </c>
      <c r="C733" s="68">
        <v>45838892</v>
      </c>
      <c r="D733" s="68">
        <v>-19877572</v>
      </c>
      <c r="E733" s="68">
        <v>0</v>
      </c>
      <c r="F733" s="68">
        <v>0</v>
      </c>
      <c r="G733" s="68">
        <v>0</v>
      </c>
      <c r="H733" s="68">
        <v>25961320</v>
      </c>
      <c r="I733" s="68">
        <v>-25961320</v>
      </c>
      <c r="J733" s="68">
        <v>0</v>
      </c>
      <c r="K733" s="68">
        <v>1157294</v>
      </c>
      <c r="L733" s="68">
        <v>-1157294</v>
      </c>
      <c r="M733" s="68">
        <v>0</v>
      </c>
      <c r="N733" s="68">
        <v>0</v>
      </c>
    </row>
    <row r="734" spans="1:14" ht="62" outlineLevel="2" x14ac:dyDescent="0.35">
      <c r="A734" s="70" t="s">
        <v>304</v>
      </c>
      <c r="B734" s="69" t="s">
        <v>203</v>
      </c>
      <c r="C734" s="68">
        <v>83722137</v>
      </c>
      <c r="D734" s="68">
        <v>-26274457</v>
      </c>
      <c r="E734" s="68">
        <v>0</v>
      </c>
      <c r="F734" s="68">
        <v>0</v>
      </c>
      <c r="G734" s="68">
        <v>0</v>
      </c>
      <c r="H734" s="68">
        <v>57447680</v>
      </c>
      <c r="I734" s="68">
        <v>-57447680</v>
      </c>
      <c r="J734" s="68">
        <v>0</v>
      </c>
      <c r="K734" s="68">
        <v>1348669</v>
      </c>
      <c r="L734" s="68">
        <v>-1348669</v>
      </c>
      <c r="M734" s="68">
        <v>0</v>
      </c>
      <c r="N734" s="68">
        <v>0</v>
      </c>
    </row>
    <row r="735" spans="1:14" ht="62" outlineLevel="2" x14ac:dyDescent="0.35">
      <c r="A735" s="70" t="s">
        <v>304</v>
      </c>
      <c r="B735" s="69" t="s">
        <v>202</v>
      </c>
      <c r="C735" s="68">
        <v>61029832</v>
      </c>
      <c r="D735" s="68">
        <v>-25320479</v>
      </c>
      <c r="E735" s="68">
        <v>0</v>
      </c>
      <c r="F735" s="68">
        <v>0</v>
      </c>
      <c r="G735" s="68">
        <v>0</v>
      </c>
      <c r="H735" s="68">
        <v>35709353</v>
      </c>
      <c r="I735" s="68">
        <v>-35709353</v>
      </c>
      <c r="J735" s="68">
        <v>0</v>
      </c>
      <c r="K735" s="68">
        <v>16800367</v>
      </c>
      <c r="L735" s="68">
        <v>-16800367</v>
      </c>
      <c r="M735" s="68">
        <v>0</v>
      </c>
      <c r="N735" s="68">
        <v>0</v>
      </c>
    </row>
    <row r="736" spans="1:14" ht="16" outlineLevel="1" thickBot="1" x14ac:dyDescent="0.4">
      <c r="A736" s="50" t="s">
        <v>121</v>
      </c>
      <c r="B736" s="67" t="s">
        <v>12</v>
      </c>
      <c r="C736" s="48">
        <f>SUBTOTAL(109,Program273[(C)
Program
Costs])</f>
        <v>361864377</v>
      </c>
      <c r="D736" s="48">
        <f>SUBTOTAL(109,Program273[(D)
Prior Period Adjustments])</f>
        <v>-88906717</v>
      </c>
      <c r="E736" s="48">
        <f>SUBTOTAL(109,Program273[(E)
Current Period Desk 
Reviews])</f>
        <v>0</v>
      </c>
      <c r="F736" s="48">
        <f>SUBTOTAL(109,Program273[(F)
Current Period 
Final 
Audits])</f>
        <v>0</v>
      </c>
      <c r="G736" s="48">
        <f>SUBTOTAL(109,Program273[(G)
Current Period 
Other Adjustments])</f>
        <v>0</v>
      </c>
      <c r="H736" s="48">
        <f>SUBTOTAL(109,Program273[(H)
Net Program Costs
Sum (C through G)])</f>
        <v>272957660</v>
      </c>
      <c r="I736" s="48">
        <f>SUBTOTAL(109,Program273[(I)
Payments
 and Offsets])</f>
        <v>-272957660</v>
      </c>
      <c r="J736" s="48">
        <f>SUBTOTAL(109,Program273[(J)
Accounts Payable Balance
(H + I)])</f>
        <v>0</v>
      </c>
      <c r="K736" s="48">
        <f>SUBTOTAL(109,Program273[(K)
Established 
Accounts Receivable])</f>
        <v>21337301</v>
      </c>
      <c r="L736" s="48">
        <f>SUBTOTAL(109,Program273[(L)
Recovered
 Accounts Receivable])</f>
        <v>-21204932</v>
      </c>
      <c r="M736" s="48">
        <f>SUBTOTAL(109,Program273[(M)
Accounts Receivable Balance
(K + L)])</f>
        <v>132369</v>
      </c>
      <c r="N736" s="48">
        <f>SUBTOTAL(109,Program273[(N)
Net Balance
(J minus M)])</f>
        <v>-132369</v>
      </c>
    </row>
    <row r="737" spans="1:14" outlineLevel="1" x14ac:dyDescent="0.35">
      <c r="A737" s="63" t="s">
        <v>33</v>
      </c>
      <c r="B737" s="62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</row>
    <row r="738" spans="1:14" ht="77.5" outlineLevel="2" x14ac:dyDescent="0.35">
      <c r="A738" s="60" t="s">
        <v>185</v>
      </c>
      <c r="B738" s="59" t="s">
        <v>184</v>
      </c>
      <c r="C738" s="58" t="s">
        <v>183</v>
      </c>
      <c r="D738" s="58" t="s">
        <v>182</v>
      </c>
      <c r="E738" s="56" t="s">
        <v>181</v>
      </c>
      <c r="F738" s="56" t="s">
        <v>180</v>
      </c>
      <c r="G738" s="56" t="s">
        <v>179</v>
      </c>
      <c r="H738" s="57" t="s">
        <v>674</v>
      </c>
      <c r="I738" s="55" t="s">
        <v>178</v>
      </c>
      <c r="J738" s="55" t="s">
        <v>177</v>
      </c>
      <c r="K738" s="56" t="s">
        <v>176</v>
      </c>
      <c r="L738" s="55" t="s">
        <v>175</v>
      </c>
      <c r="M738" s="55" t="s">
        <v>174</v>
      </c>
      <c r="N738" s="54" t="s">
        <v>173</v>
      </c>
    </row>
    <row r="739" spans="1:14" ht="31" outlineLevel="2" x14ac:dyDescent="0.35">
      <c r="A739" s="77" t="s">
        <v>303</v>
      </c>
      <c r="B739" s="69" t="s">
        <v>215</v>
      </c>
      <c r="C739" s="68">
        <v>2661102</v>
      </c>
      <c r="D739" s="68">
        <v>0</v>
      </c>
      <c r="E739" s="68">
        <v>0</v>
      </c>
      <c r="F739" s="68">
        <v>0</v>
      </c>
      <c r="G739" s="68">
        <v>0</v>
      </c>
      <c r="H739" s="68">
        <v>2661102</v>
      </c>
      <c r="I739" s="68">
        <v>0</v>
      </c>
      <c r="J739" s="68">
        <v>2661102</v>
      </c>
      <c r="K739" s="68">
        <v>0</v>
      </c>
      <c r="L739" s="68">
        <v>0</v>
      </c>
      <c r="M739" s="68">
        <v>0</v>
      </c>
      <c r="N739" s="68">
        <v>2661102</v>
      </c>
    </row>
    <row r="740" spans="1:14" ht="31" outlineLevel="2" x14ac:dyDescent="0.35">
      <c r="A740" s="77" t="s">
        <v>303</v>
      </c>
      <c r="B740" s="69" t="s">
        <v>214</v>
      </c>
      <c r="C740" s="68">
        <v>2658151</v>
      </c>
      <c r="D740" s="68">
        <v>0</v>
      </c>
      <c r="E740" s="68">
        <v>-16127</v>
      </c>
      <c r="F740" s="68">
        <v>0</v>
      </c>
      <c r="G740" s="68">
        <v>-8912</v>
      </c>
      <c r="H740" s="68">
        <v>2633112</v>
      </c>
      <c r="I740" s="68">
        <v>-2604505</v>
      </c>
      <c r="J740" s="68">
        <v>28607</v>
      </c>
      <c r="K740" s="68">
        <v>0</v>
      </c>
      <c r="L740" s="68">
        <v>0</v>
      </c>
      <c r="M740" s="68">
        <v>0</v>
      </c>
      <c r="N740" s="68">
        <v>28607</v>
      </c>
    </row>
    <row r="741" spans="1:14" ht="31" outlineLevel="2" x14ac:dyDescent="0.35">
      <c r="A741" s="77" t="s">
        <v>303</v>
      </c>
      <c r="B741" s="69" t="s">
        <v>212</v>
      </c>
      <c r="C741" s="68">
        <v>2574794</v>
      </c>
      <c r="D741" s="68">
        <v>-4721</v>
      </c>
      <c r="E741" s="68">
        <v>-14882</v>
      </c>
      <c r="F741" s="68">
        <v>0</v>
      </c>
      <c r="G741" s="68">
        <v>0</v>
      </c>
      <c r="H741" s="68">
        <v>2555191</v>
      </c>
      <c r="I741" s="68">
        <v>-2555191</v>
      </c>
      <c r="J741" s="68">
        <v>0</v>
      </c>
      <c r="K741" s="68">
        <v>12315</v>
      </c>
      <c r="L741" s="68">
        <v>-12315</v>
      </c>
      <c r="M741" s="68">
        <v>0</v>
      </c>
      <c r="N741" s="68">
        <v>0</v>
      </c>
    </row>
    <row r="742" spans="1:14" ht="31" outlineLevel="2" x14ac:dyDescent="0.35">
      <c r="A742" s="77" t="s">
        <v>303</v>
      </c>
      <c r="B742" s="69" t="s">
        <v>220</v>
      </c>
      <c r="C742" s="68">
        <v>2438704</v>
      </c>
      <c r="D742" s="68">
        <v>-8390</v>
      </c>
      <c r="E742" s="68">
        <v>-12275</v>
      </c>
      <c r="F742" s="68">
        <v>0</v>
      </c>
      <c r="G742" s="68">
        <v>0</v>
      </c>
      <c r="H742" s="68">
        <v>2418039</v>
      </c>
      <c r="I742" s="68">
        <v>-2418039</v>
      </c>
      <c r="J742" s="68">
        <v>0</v>
      </c>
      <c r="K742" s="68">
        <v>12275</v>
      </c>
      <c r="L742" s="68">
        <v>-12275</v>
      </c>
      <c r="M742" s="68">
        <v>0</v>
      </c>
      <c r="N742" s="68">
        <v>0</v>
      </c>
    </row>
    <row r="743" spans="1:14" ht="31" outlineLevel="2" x14ac:dyDescent="0.35">
      <c r="A743" s="77" t="s">
        <v>303</v>
      </c>
      <c r="B743" s="69" t="s">
        <v>219</v>
      </c>
      <c r="C743" s="68">
        <v>2506369</v>
      </c>
      <c r="D743" s="68">
        <v>22528</v>
      </c>
      <c r="E743" s="68">
        <v>-8435</v>
      </c>
      <c r="F743" s="68">
        <v>0</v>
      </c>
      <c r="G743" s="68">
        <v>0</v>
      </c>
      <c r="H743" s="68">
        <v>2520462</v>
      </c>
      <c r="I743" s="68">
        <v>-2520462</v>
      </c>
      <c r="J743" s="68">
        <v>0</v>
      </c>
      <c r="K743" s="68">
        <v>8435</v>
      </c>
      <c r="L743" s="68">
        <v>-8435</v>
      </c>
      <c r="M743" s="68">
        <v>0</v>
      </c>
      <c r="N743" s="68">
        <v>0</v>
      </c>
    </row>
    <row r="744" spans="1:14" ht="31" outlineLevel="1" x14ac:dyDescent="0.35">
      <c r="A744" s="77" t="s">
        <v>303</v>
      </c>
      <c r="B744" s="69" t="s">
        <v>218</v>
      </c>
      <c r="C744" s="68">
        <v>2379614</v>
      </c>
      <c r="D744" s="68">
        <v>-10352</v>
      </c>
      <c r="E744" s="68">
        <v>0</v>
      </c>
      <c r="F744" s="68">
        <v>0</v>
      </c>
      <c r="G744" s="68">
        <v>0</v>
      </c>
      <c r="H744" s="68">
        <v>2369262</v>
      </c>
      <c r="I744" s="68">
        <v>-2369262</v>
      </c>
      <c r="J744" s="68">
        <v>0</v>
      </c>
      <c r="K744" s="68">
        <v>5055</v>
      </c>
      <c r="L744" s="68">
        <v>-5055</v>
      </c>
      <c r="M744" s="68">
        <v>0</v>
      </c>
      <c r="N744" s="68">
        <v>0</v>
      </c>
    </row>
    <row r="745" spans="1:14" ht="31" outlineLevel="1" x14ac:dyDescent="0.35">
      <c r="A745" s="77" t="s">
        <v>303</v>
      </c>
      <c r="B745" s="69" t="s">
        <v>209</v>
      </c>
      <c r="C745" s="68">
        <v>2074483</v>
      </c>
      <c r="D745" s="68">
        <v>-37</v>
      </c>
      <c r="E745" s="68">
        <v>0</v>
      </c>
      <c r="F745" s="68">
        <v>0</v>
      </c>
      <c r="G745" s="68">
        <v>0</v>
      </c>
      <c r="H745" s="68">
        <v>2074446</v>
      </c>
      <c r="I745" s="68">
        <v>-2074446</v>
      </c>
      <c r="J745" s="68">
        <v>0</v>
      </c>
      <c r="K745" s="68">
        <v>0</v>
      </c>
      <c r="L745" s="68">
        <v>0</v>
      </c>
      <c r="M745" s="68">
        <v>0</v>
      </c>
      <c r="N745" s="68">
        <v>0</v>
      </c>
    </row>
    <row r="746" spans="1:14" ht="31" outlineLevel="2" x14ac:dyDescent="0.35">
      <c r="A746" s="77" t="s">
        <v>303</v>
      </c>
      <c r="B746" s="69" t="s">
        <v>208</v>
      </c>
      <c r="C746" s="68">
        <v>2136569</v>
      </c>
      <c r="D746" s="68">
        <v>-15012</v>
      </c>
      <c r="E746" s="68">
        <v>0</v>
      </c>
      <c r="F746" s="68">
        <v>0</v>
      </c>
      <c r="G746" s="68">
        <v>0</v>
      </c>
      <c r="H746" s="68">
        <v>2121557</v>
      </c>
      <c r="I746" s="68">
        <v>-2121557</v>
      </c>
      <c r="J746" s="68">
        <v>0</v>
      </c>
      <c r="K746" s="68">
        <v>0</v>
      </c>
      <c r="L746" s="68">
        <v>0</v>
      </c>
      <c r="M746" s="68">
        <v>0</v>
      </c>
      <c r="N746" s="68">
        <v>0</v>
      </c>
    </row>
    <row r="747" spans="1:14" ht="31" outlineLevel="2" x14ac:dyDescent="0.35">
      <c r="A747" s="77" t="s">
        <v>303</v>
      </c>
      <c r="B747" s="69" t="s">
        <v>206</v>
      </c>
      <c r="C747" s="68">
        <v>1782981</v>
      </c>
      <c r="D747" s="68">
        <v>-3167</v>
      </c>
      <c r="E747" s="68">
        <v>0</v>
      </c>
      <c r="F747" s="68">
        <v>0</v>
      </c>
      <c r="G747" s="68">
        <v>0</v>
      </c>
      <c r="H747" s="68">
        <v>1779814</v>
      </c>
      <c r="I747" s="68">
        <v>-1779814</v>
      </c>
      <c r="J747" s="68">
        <v>0</v>
      </c>
      <c r="K747" s="68">
        <v>0</v>
      </c>
      <c r="L747" s="68">
        <v>0</v>
      </c>
      <c r="M747" s="68">
        <v>0</v>
      </c>
      <c r="N747" s="68">
        <v>0</v>
      </c>
    </row>
    <row r="748" spans="1:14" ht="31" outlineLevel="2" x14ac:dyDescent="0.35">
      <c r="A748" s="77" t="s">
        <v>303</v>
      </c>
      <c r="B748" s="69" t="s">
        <v>205</v>
      </c>
      <c r="C748" s="68">
        <v>1666081</v>
      </c>
      <c r="D748" s="68">
        <v>-33672</v>
      </c>
      <c r="E748" s="68">
        <v>0</v>
      </c>
      <c r="F748" s="68">
        <v>0</v>
      </c>
      <c r="G748" s="68">
        <v>0</v>
      </c>
      <c r="H748" s="68">
        <v>1632409</v>
      </c>
      <c r="I748" s="68">
        <v>-1632409</v>
      </c>
      <c r="J748" s="68">
        <v>0</v>
      </c>
      <c r="K748" s="68">
        <v>5216</v>
      </c>
      <c r="L748" s="68">
        <v>-5216</v>
      </c>
      <c r="M748" s="68">
        <v>0</v>
      </c>
      <c r="N748" s="68">
        <v>0</v>
      </c>
    </row>
    <row r="749" spans="1:14" ht="31" outlineLevel="2" x14ac:dyDescent="0.35">
      <c r="A749" s="77" t="s">
        <v>303</v>
      </c>
      <c r="B749" s="69" t="s">
        <v>204</v>
      </c>
      <c r="C749" s="68">
        <v>1540338</v>
      </c>
      <c r="D749" s="68">
        <v>-7150</v>
      </c>
      <c r="E749" s="68">
        <v>0</v>
      </c>
      <c r="F749" s="68">
        <v>0</v>
      </c>
      <c r="G749" s="68">
        <v>0</v>
      </c>
      <c r="H749" s="68">
        <v>1533188</v>
      </c>
      <c r="I749" s="68">
        <v>-1533188</v>
      </c>
      <c r="J749" s="68">
        <v>0</v>
      </c>
      <c r="K749" s="68">
        <v>0</v>
      </c>
      <c r="L749" s="68">
        <v>0</v>
      </c>
      <c r="M749" s="68">
        <v>0</v>
      </c>
      <c r="N749" s="68">
        <v>0</v>
      </c>
    </row>
    <row r="750" spans="1:14" ht="31" outlineLevel="2" x14ac:dyDescent="0.35">
      <c r="A750" s="77" t="s">
        <v>303</v>
      </c>
      <c r="B750" s="69" t="s">
        <v>203</v>
      </c>
      <c r="C750" s="68">
        <v>1028250</v>
      </c>
      <c r="D750" s="68">
        <v>-13246</v>
      </c>
      <c r="E750" s="68">
        <v>0</v>
      </c>
      <c r="F750" s="68">
        <v>0</v>
      </c>
      <c r="G750" s="68">
        <v>0</v>
      </c>
      <c r="H750" s="68">
        <v>1015004</v>
      </c>
      <c r="I750" s="68">
        <v>-1015004</v>
      </c>
      <c r="J750" s="68">
        <v>0</v>
      </c>
      <c r="K750" s="68">
        <v>10115</v>
      </c>
      <c r="L750" s="68">
        <v>-10115</v>
      </c>
      <c r="M750" s="68">
        <v>0</v>
      </c>
      <c r="N750" s="68">
        <v>0</v>
      </c>
    </row>
    <row r="751" spans="1:14" ht="31" outlineLevel="2" x14ac:dyDescent="0.35">
      <c r="A751" s="77" t="s">
        <v>303</v>
      </c>
      <c r="B751" s="69" t="s">
        <v>202</v>
      </c>
      <c r="C751" s="68">
        <v>921366</v>
      </c>
      <c r="D751" s="68">
        <v>-10168</v>
      </c>
      <c r="E751" s="68">
        <v>0</v>
      </c>
      <c r="F751" s="68">
        <v>0</v>
      </c>
      <c r="G751" s="68">
        <v>0</v>
      </c>
      <c r="H751" s="68">
        <v>911198</v>
      </c>
      <c r="I751" s="68">
        <v>-911198</v>
      </c>
      <c r="J751" s="68">
        <v>0</v>
      </c>
      <c r="K751" s="68">
        <v>63389</v>
      </c>
      <c r="L751" s="68">
        <v>-63389</v>
      </c>
      <c r="M751" s="68">
        <v>0</v>
      </c>
      <c r="N751" s="68">
        <v>0</v>
      </c>
    </row>
    <row r="752" spans="1:14" ht="31" outlineLevel="2" x14ac:dyDescent="0.35">
      <c r="A752" s="77" t="s">
        <v>303</v>
      </c>
      <c r="B752" s="69" t="s">
        <v>201</v>
      </c>
      <c r="C752" s="68">
        <v>706887</v>
      </c>
      <c r="D752" s="68">
        <v>-1147</v>
      </c>
      <c r="E752" s="68">
        <v>0</v>
      </c>
      <c r="F752" s="68">
        <v>0</v>
      </c>
      <c r="G752" s="68">
        <v>0</v>
      </c>
      <c r="H752" s="68">
        <v>705740</v>
      </c>
      <c r="I752" s="68">
        <v>-705740</v>
      </c>
      <c r="J752" s="68">
        <v>0</v>
      </c>
      <c r="K752" s="68">
        <v>10364</v>
      </c>
      <c r="L752" s="68">
        <v>-10364</v>
      </c>
      <c r="M752" s="68">
        <v>0</v>
      </c>
      <c r="N752" s="68">
        <v>0</v>
      </c>
    </row>
    <row r="753" spans="1:14" ht="31" outlineLevel="1" x14ac:dyDescent="0.35">
      <c r="A753" s="77" t="s">
        <v>303</v>
      </c>
      <c r="B753" s="69" t="s">
        <v>200</v>
      </c>
      <c r="C753" s="68">
        <v>578955</v>
      </c>
      <c r="D753" s="68">
        <v>-4665</v>
      </c>
      <c r="E753" s="68">
        <v>0</v>
      </c>
      <c r="F753" s="68">
        <v>0</v>
      </c>
      <c r="G753" s="68">
        <v>0</v>
      </c>
      <c r="H753" s="68">
        <v>574290</v>
      </c>
      <c r="I753" s="68">
        <v>-574290</v>
      </c>
      <c r="J753" s="68">
        <v>0</v>
      </c>
      <c r="K753" s="68">
        <v>15134</v>
      </c>
      <c r="L753" s="68">
        <v>-15134</v>
      </c>
      <c r="M753" s="68">
        <v>0</v>
      </c>
      <c r="N753" s="68">
        <v>0</v>
      </c>
    </row>
    <row r="754" spans="1:14" ht="31" outlineLevel="2" x14ac:dyDescent="0.35">
      <c r="A754" s="77" t="s">
        <v>303</v>
      </c>
      <c r="B754" s="69" t="s">
        <v>199</v>
      </c>
      <c r="C754" s="68">
        <v>387944</v>
      </c>
      <c r="D754" s="68">
        <v>-3170</v>
      </c>
      <c r="E754" s="68">
        <v>0</v>
      </c>
      <c r="F754" s="68">
        <v>0</v>
      </c>
      <c r="G754" s="68">
        <v>0</v>
      </c>
      <c r="H754" s="68">
        <v>384774</v>
      </c>
      <c r="I754" s="68">
        <v>-384774</v>
      </c>
      <c r="J754" s="68">
        <v>0</v>
      </c>
      <c r="K754" s="68">
        <v>0</v>
      </c>
      <c r="L754" s="68">
        <v>0</v>
      </c>
      <c r="M754" s="68">
        <v>0</v>
      </c>
      <c r="N754" s="68">
        <v>0</v>
      </c>
    </row>
    <row r="755" spans="1:14" ht="31" outlineLevel="2" x14ac:dyDescent="0.35">
      <c r="A755" s="77" t="s">
        <v>303</v>
      </c>
      <c r="B755" s="69" t="s">
        <v>198</v>
      </c>
      <c r="C755" s="68">
        <v>323124</v>
      </c>
      <c r="D755" s="68">
        <v>0</v>
      </c>
      <c r="E755" s="68">
        <v>0</v>
      </c>
      <c r="F755" s="68">
        <v>0</v>
      </c>
      <c r="G755" s="68">
        <v>0</v>
      </c>
      <c r="H755" s="68">
        <v>323124</v>
      </c>
      <c r="I755" s="68">
        <v>-323124</v>
      </c>
      <c r="J755" s="68">
        <v>0</v>
      </c>
      <c r="K755" s="68">
        <v>0</v>
      </c>
      <c r="L755" s="68">
        <v>0</v>
      </c>
      <c r="M755" s="68">
        <v>0</v>
      </c>
      <c r="N755" s="68">
        <v>0</v>
      </c>
    </row>
    <row r="756" spans="1:14" ht="31" outlineLevel="2" x14ac:dyDescent="0.35">
      <c r="A756" s="77" t="s">
        <v>303</v>
      </c>
      <c r="B756" s="69" t="s">
        <v>197</v>
      </c>
      <c r="C756" s="68">
        <v>361009</v>
      </c>
      <c r="D756" s="68">
        <v>-195</v>
      </c>
      <c r="E756" s="68">
        <v>0</v>
      </c>
      <c r="F756" s="68">
        <v>0</v>
      </c>
      <c r="G756" s="68">
        <v>0</v>
      </c>
      <c r="H756" s="68">
        <v>360814</v>
      </c>
      <c r="I756" s="68">
        <v>-360814</v>
      </c>
      <c r="J756" s="68">
        <v>0</v>
      </c>
      <c r="K756" s="68">
        <v>0</v>
      </c>
      <c r="L756" s="68">
        <v>0</v>
      </c>
      <c r="M756" s="68">
        <v>0</v>
      </c>
      <c r="N756" s="68">
        <v>0</v>
      </c>
    </row>
    <row r="757" spans="1:14" ht="31" outlineLevel="2" x14ac:dyDescent="0.35">
      <c r="A757" s="77" t="s">
        <v>303</v>
      </c>
      <c r="B757" s="69" t="s">
        <v>196</v>
      </c>
      <c r="C757" s="68">
        <v>251766</v>
      </c>
      <c r="D757" s="68">
        <v>-6546</v>
      </c>
      <c r="E757" s="68">
        <v>0</v>
      </c>
      <c r="F757" s="68">
        <v>0</v>
      </c>
      <c r="G757" s="68">
        <v>0</v>
      </c>
      <c r="H757" s="68">
        <v>245220</v>
      </c>
      <c r="I757" s="68">
        <v>-245220</v>
      </c>
      <c r="J757" s="68">
        <v>0</v>
      </c>
      <c r="K757" s="68">
        <v>0</v>
      </c>
      <c r="L757" s="68">
        <v>0</v>
      </c>
      <c r="M757" s="68">
        <v>0</v>
      </c>
      <c r="N757" s="68">
        <v>0</v>
      </c>
    </row>
    <row r="758" spans="1:14" ht="31" outlineLevel="2" x14ac:dyDescent="0.35">
      <c r="A758" s="77" t="s">
        <v>303</v>
      </c>
      <c r="B758" s="69" t="s">
        <v>195</v>
      </c>
      <c r="C758" s="68">
        <v>173026</v>
      </c>
      <c r="D758" s="68">
        <v>-3052</v>
      </c>
      <c r="E758" s="68">
        <v>0</v>
      </c>
      <c r="F758" s="68">
        <v>0</v>
      </c>
      <c r="G758" s="68">
        <v>0</v>
      </c>
      <c r="H758" s="68">
        <v>169974</v>
      </c>
      <c r="I758" s="68">
        <v>-169974</v>
      </c>
      <c r="J758" s="68">
        <v>0</v>
      </c>
      <c r="K758" s="68">
        <v>0</v>
      </c>
      <c r="L758" s="68">
        <v>0</v>
      </c>
      <c r="M758" s="68">
        <v>0</v>
      </c>
      <c r="N758" s="68">
        <v>0</v>
      </c>
    </row>
    <row r="759" spans="1:14" ht="31" outlineLevel="2" x14ac:dyDescent="0.35">
      <c r="A759" s="77" t="s">
        <v>303</v>
      </c>
      <c r="B759" s="69" t="s">
        <v>194</v>
      </c>
      <c r="C759" s="68">
        <v>153932</v>
      </c>
      <c r="D759" s="68">
        <v>-2750</v>
      </c>
      <c r="E759" s="68">
        <v>0</v>
      </c>
      <c r="F759" s="68">
        <v>0</v>
      </c>
      <c r="G759" s="68">
        <v>0</v>
      </c>
      <c r="H759" s="68">
        <v>151182</v>
      </c>
      <c r="I759" s="68">
        <v>-151182</v>
      </c>
      <c r="J759" s="68">
        <v>0</v>
      </c>
      <c r="K759" s="68">
        <v>0</v>
      </c>
      <c r="L759" s="68">
        <v>0</v>
      </c>
      <c r="M759" s="68">
        <v>0</v>
      </c>
      <c r="N759" s="68">
        <v>0</v>
      </c>
    </row>
    <row r="760" spans="1:14" ht="31" outlineLevel="2" x14ac:dyDescent="0.35">
      <c r="A760" s="77" t="s">
        <v>303</v>
      </c>
      <c r="B760" s="69" t="s">
        <v>193</v>
      </c>
      <c r="C760" s="68">
        <v>69089</v>
      </c>
      <c r="D760" s="68">
        <v>-1151</v>
      </c>
      <c r="E760" s="68">
        <v>0</v>
      </c>
      <c r="F760" s="68">
        <v>0</v>
      </c>
      <c r="G760" s="68">
        <v>0</v>
      </c>
      <c r="H760" s="68">
        <v>67938</v>
      </c>
      <c r="I760" s="68">
        <v>-67938</v>
      </c>
      <c r="J760" s="68">
        <v>0</v>
      </c>
      <c r="K760" s="68">
        <v>0</v>
      </c>
      <c r="L760" s="68">
        <v>0</v>
      </c>
      <c r="M760" s="68">
        <v>0</v>
      </c>
      <c r="N760" s="68">
        <v>0</v>
      </c>
    </row>
    <row r="761" spans="1:14" ht="16" outlineLevel="2" thickBot="1" x14ac:dyDescent="0.4">
      <c r="A761" s="50" t="s">
        <v>120</v>
      </c>
      <c r="B761" s="67" t="s">
        <v>12</v>
      </c>
      <c r="C761" s="78">
        <f>SUBTOTAL(109,Program197[(C)
Program
Costs])</f>
        <v>29374534</v>
      </c>
      <c r="D761" s="78">
        <f>SUBTOTAL(109,Program197[(D)
Prior Period Adjustments])</f>
        <v>-106063</v>
      </c>
      <c r="E761" s="78">
        <f>SUBTOTAL(109,Program197[(E)
Current Period Desk 
Reviews])</f>
        <v>-51719</v>
      </c>
      <c r="F761" s="78">
        <f>SUBTOTAL(109,Program197[(F)
Current Period 
Final 
Audits])</f>
        <v>0</v>
      </c>
      <c r="G761" s="78">
        <f>SUBTOTAL(109,Program197[(G)
Current Period 
Other Adjustments])</f>
        <v>-8912</v>
      </c>
      <c r="H761" s="78">
        <f>SUBTOTAL(109,Program197[(H)
Net Program Costs
Sum (C through G)])</f>
        <v>29207840</v>
      </c>
      <c r="I761" s="78">
        <f>SUBTOTAL(109,Program197[(I)
Payments
 and Offsets])</f>
        <v>-26518131</v>
      </c>
      <c r="J761" s="78">
        <f>SUBTOTAL(109,Program197[(J)
Accounts Payable Balance
(H + I)])</f>
        <v>2689709</v>
      </c>
      <c r="K761" s="78">
        <f>SUBTOTAL(109,Program197[(K)
Established 
Accounts Receivable])</f>
        <v>142298</v>
      </c>
      <c r="L761" s="78">
        <f>SUBTOTAL(109,Program197[(L)
Recovered
 Accounts Receivable])</f>
        <v>-142298</v>
      </c>
      <c r="M761" s="78">
        <f>SUBTOTAL(109,Program197[(M)
Accounts Receivable Balance
(K + L)])</f>
        <v>0</v>
      </c>
      <c r="N761" s="78">
        <f>SUBTOTAL(109,Program197[(N)
Net Balance
(J minus M)])</f>
        <v>2689709</v>
      </c>
    </row>
    <row r="762" spans="1:14" outlineLevel="1" x14ac:dyDescent="0.35">
      <c r="A762" s="63" t="s">
        <v>33</v>
      </c>
      <c r="B762" s="62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</row>
    <row r="763" spans="1:14" ht="77.5" outlineLevel="1" x14ac:dyDescent="0.35">
      <c r="A763" s="60" t="s">
        <v>185</v>
      </c>
      <c r="B763" s="59" t="s">
        <v>184</v>
      </c>
      <c r="C763" s="58" t="s">
        <v>183</v>
      </c>
      <c r="D763" s="58" t="s">
        <v>182</v>
      </c>
      <c r="E763" s="56" t="s">
        <v>181</v>
      </c>
      <c r="F763" s="56" t="s">
        <v>180</v>
      </c>
      <c r="G763" s="56" t="s">
        <v>179</v>
      </c>
      <c r="H763" s="57" t="s">
        <v>674</v>
      </c>
      <c r="I763" s="55" t="s">
        <v>178</v>
      </c>
      <c r="J763" s="55" t="s">
        <v>177</v>
      </c>
      <c r="K763" s="56" t="s">
        <v>176</v>
      </c>
      <c r="L763" s="55" t="s">
        <v>175</v>
      </c>
      <c r="M763" s="55" t="s">
        <v>174</v>
      </c>
      <c r="N763" s="54" t="s">
        <v>173</v>
      </c>
    </row>
    <row r="764" spans="1:14" outlineLevel="2" x14ac:dyDescent="0.35">
      <c r="A764" s="53" t="s">
        <v>302</v>
      </c>
      <c r="B764" s="66" t="s">
        <v>209</v>
      </c>
      <c r="C764" s="51">
        <v>10435329</v>
      </c>
      <c r="D764" s="51">
        <v>-271505</v>
      </c>
      <c r="E764" s="51">
        <v>0</v>
      </c>
      <c r="F764" s="51">
        <v>-720746</v>
      </c>
      <c r="G764" s="51">
        <v>0</v>
      </c>
      <c r="H764" s="51">
        <v>9443078</v>
      </c>
      <c r="I764" s="51">
        <v>0</v>
      </c>
      <c r="J764" s="51">
        <v>9443078</v>
      </c>
      <c r="K764" s="51">
        <v>0</v>
      </c>
      <c r="L764" s="51">
        <v>0</v>
      </c>
      <c r="M764" s="51">
        <v>0</v>
      </c>
      <c r="N764" s="51">
        <v>9443078</v>
      </c>
    </row>
    <row r="765" spans="1:14" outlineLevel="2" x14ac:dyDescent="0.35">
      <c r="A765" s="53" t="s">
        <v>302</v>
      </c>
      <c r="B765" s="66" t="s">
        <v>208</v>
      </c>
      <c r="C765" s="51">
        <v>9393422</v>
      </c>
      <c r="D765" s="51">
        <v>-226609</v>
      </c>
      <c r="E765" s="51">
        <v>0</v>
      </c>
      <c r="F765" s="51">
        <v>-498705</v>
      </c>
      <c r="G765" s="51">
        <v>0</v>
      </c>
      <c r="H765" s="51">
        <v>8668108</v>
      </c>
      <c r="I765" s="51">
        <v>0</v>
      </c>
      <c r="J765" s="51">
        <v>8668108</v>
      </c>
      <c r="K765" s="51">
        <v>0</v>
      </c>
      <c r="L765" s="51">
        <v>0</v>
      </c>
      <c r="M765" s="51">
        <v>0</v>
      </c>
      <c r="N765" s="51">
        <v>8668108</v>
      </c>
    </row>
    <row r="766" spans="1:14" outlineLevel="1" x14ac:dyDescent="0.35">
      <c r="A766" s="53" t="s">
        <v>302</v>
      </c>
      <c r="B766" s="66" t="s">
        <v>206</v>
      </c>
      <c r="C766" s="51">
        <v>10395108</v>
      </c>
      <c r="D766" s="51">
        <v>-383145</v>
      </c>
      <c r="E766" s="51">
        <v>0</v>
      </c>
      <c r="F766" s="51">
        <v>-156707</v>
      </c>
      <c r="G766" s="51">
        <v>0</v>
      </c>
      <c r="H766" s="51">
        <v>9855256</v>
      </c>
      <c r="I766" s="51">
        <v>0</v>
      </c>
      <c r="J766" s="51">
        <v>9855256</v>
      </c>
      <c r="K766" s="51">
        <v>0</v>
      </c>
      <c r="L766" s="51">
        <v>0</v>
      </c>
      <c r="M766" s="51">
        <v>0</v>
      </c>
      <c r="N766" s="51">
        <v>9855256</v>
      </c>
    </row>
    <row r="767" spans="1:14" outlineLevel="2" x14ac:dyDescent="0.35">
      <c r="A767" s="53" t="s">
        <v>302</v>
      </c>
      <c r="B767" s="66" t="s">
        <v>205</v>
      </c>
      <c r="C767" s="51">
        <v>10042991</v>
      </c>
      <c r="D767" s="51">
        <v>-425140</v>
      </c>
      <c r="E767" s="51">
        <v>0</v>
      </c>
      <c r="F767" s="51">
        <v>-182178</v>
      </c>
      <c r="G767" s="51">
        <v>0</v>
      </c>
      <c r="H767" s="51">
        <v>9435673</v>
      </c>
      <c r="I767" s="51">
        <v>0</v>
      </c>
      <c r="J767" s="51">
        <v>9435673</v>
      </c>
      <c r="K767" s="51">
        <v>0</v>
      </c>
      <c r="L767" s="51">
        <v>0</v>
      </c>
      <c r="M767" s="51">
        <v>0</v>
      </c>
      <c r="N767" s="51">
        <v>9435673</v>
      </c>
    </row>
    <row r="768" spans="1:14" outlineLevel="2" x14ac:dyDescent="0.35">
      <c r="A768" s="53" t="s">
        <v>302</v>
      </c>
      <c r="B768" s="66" t="s">
        <v>204</v>
      </c>
      <c r="C768" s="51">
        <v>10906453</v>
      </c>
      <c r="D768" s="51">
        <v>-522886</v>
      </c>
      <c r="E768" s="51">
        <v>0</v>
      </c>
      <c r="F768" s="51">
        <v>-120897</v>
      </c>
      <c r="G768" s="51">
        <v>0</v>
      </c>
      <c r="H768" s="51">
        <v>10262670</v>
      </c>
      <c r="I768" s="51">
        <v>0</v>
      </c>
      <c r="J768" s="51">
        <v>10262670</v>
      </c>
      <c r="K768" s="51">
        <v>0</v>
      </c>
      <c r="L768" s="51">
        <v>0</v>
      </c>
      <c r="M768" s="51">
        <v>0</v>
      </c>
      <c r="N768" s="51">
        <v>10262670</v>
      </c>
    </row>
    <row r="769" spans="1:14" outlineLevel="2" x14ac:dyDescent="0.35">
      <c r="A769" s="53" t="s">
        <v>302</v>
      </c>
      <c r="B769" s="66" t="s">
        <v>203</v>
      </c>
      <c r="C769" s="51">
        <v>10527433</v>
      </c>
      <c r="D769" s="51">
        <v>-590909</v>
      </c>
      <c r="E769" s="51">
        <v>0</v>
      </c>
      <c r="F769" s="51">
        <v>-142139</v>
      </c>
      <c r="G769" s="51">
        <v>0</v>
      </c>
      <c r="H769" s="51">
        <v>9794385</v>
      </c>
      <c r="I769" s="51">
        <v>0</v>
      </c>
      <c r="J769" s="51">
        <v>9794385</v>
      </c>
      <c r="K769" s="51">
        <v>0</v>
      </c>
      <c r="L769" s="51">
        <v>0</v>
      </c>
      <c r="M769" s="51">
        <v>0</v>
      </c>
      <c r="N769" s="51">
        <v>9794385</v>
      </c>
    </row>
    <row r="770" spans="1:14" outlineLevel="2" x14ac:dyDescent="0.35">
      <c r="A770" s="53" t="s">
        <v>302</v>
      </c>
      <c r="B770" s="66" t="s">
        <v>202</v>
      </c>
      <c r="C770" s="51">
        <v>9092725</v>
      </c>
      <c r="D770" s="51">
        <v>-587216</v>
      </c>
      <c r="E770" s="51">
        <v>0</v>
      </c>
      <c r="F770" s="51">
        <v>-228828</v>
      </c>
      <c r="G770" s="51">
        <v>0</v>
      </c>
      <c r="H770" s="51">
        <v>8276681</v>
      </c>
      <c r="I770" s="51">
        <v>0</v>
      </c>
      <c r="J770" s="51">
        <v>8276681</v>
      </c>
      <c r="K770" s="51">
        <v>0</v>
      </c>
      <c r="L770" s="51">
        <v>0</v>
      </c>
      <c r="M770" s="51">
        <v>0</v>
      </c>
      <c r="N770" s="51">
        <v>8276681</v>
      </c>
    </row>
    <row r="771" spans="1:14" outlineLevel="2" x14ac:dyDescent="0.35">
      <c r="A771" s="53" t="s">
        <v>302</v>
      </c>
      <c r="B771" s="66" t="s">
        <v>201</v>
      </c>
      <c r="C771" s="51">
        <v>7282199</v>
      </c>
      <c r="D771" s="51">
        <v>-398845</v>
      </c>
      <c r="E771" s="51">
        <v>0</v>
      </c>
      <c r="F771" s="51">
        <v>-114601</v>
      </c>
      <c r="G771" s="51">
        <v>0</v>
      </c>
      <c r="H771" s="51">
        <v>6768753</v>
      </c>
      <c r="I771" s="51">
        <v>0</v>
      </c>
      <c r="J771" s="51">
        <v>6768753</v>
      </c>
      <c r="K771" s="51">
        <v>0</v>
      </c>
      <c r="L771" s="51">
        <v>0</v>
      </c>
      <c r="M771" s="51">
        <v>0</v>
      </c>
      <c r="N771" s="51">
        <v>6768753</v>
      </c>
    </row>
    <row r="772" spans="1:14" outlineLevel="1" x14ac:dyDescent="0.35">
      <c r="A772" s="53" t="s">
        <v>302</v>
      </c>
      <c r="B772" s="66" t="s">
        <v>200</v>
      </c>
      <c r="C772" s="51">
        <v>6663248</v>
      </c>
      <c r="D772" s="51">
        <v>-397371</v>
      </c>
      <c r="E772" s="51">
        <v>0</v>
      </c>
      <c r="F772" s="51">
        <v>-28848</v>
      </c>
      <c r="G772" s="51">
        <v>0</v>
      </c>
      <c r="H772" s="51">
        <v>6237029</v>
      </c>
      <c r="I772" s="51">
        <v>0</v>
      </c>
      <c r="J772" s="51">
        <v>6237029</v>
      </c>
      <c r="K772" s="51">
        <v>0</v>
      </c>
      <c r="L772" s="51">
        <v>0</v>
      </c>
      <c r="M772" s="51">
        <v>0</v>
      </c>
      <c r="N772" s="51">
        <v>6237029</v>
      </c>
    </row>
    <row r="773" spans="1:14" outlineLevel="1" x14ac:dyDescent="0.35">
      <c r="A773" s="53" t="s">
        <v>302</v>
      </c>
      <c r="B773" s="66" t="s">
        <v>199</v>
      </c>
      <c r="C773" s="51">
        <v>5362382</v>
      </c>
      <c r="D773" s="51">
        <v>-268407</v>
      </c>
      <c r="E773" s="51">
        <v>0</v>
      </c>
      <c r="F773" s="51">
        <v>-41080</v>
      </c>
      <c r="G773" s="51">
        <v>0</v>
      </c>
      <c r="H773" s="51">
        <v>5052895</v>
      </c>
      <c r="I773" s="51">
        <v>0</v>
      </c>
      <c r="J773" s="51">
        <v>5052895</v>
      </c>
      <c r="K773" s="51">
        <v>0</v>
      </c>
      <c r="L773" s="51">
        <v>0</v>
      </c>
      <c r="M773" s="51">
        <v>0</v>
      </c>
      <c r="N773" s="51">
        <v>5052895</v>
      </c>
    </row>
    <row r="774" spans="1:14" outlineLevel="2" x14ac:dyDescent="0.35">
      <c r="A774" s="53" t="s">
        <v>302</v>
      </c>
      <c r="B774" s="66" t="s">
        <v>198</v>
      </c>
      <c r="C774" s="51">
        <v>4753281</v>
      </c>
      <c r="D774" s="51">
        <v>-326045</v>
      </c>
      <c r="E774" s="51">
        <v>0</v>
      </c>
      <c r="F774" s="51">
        <v>-38835</v>
      </c>
      <c r="G774" s="51">
        <v>0</v>
      </c>
      <c r="H774" s="51">
        <v>4388401</v>
      </c>
      <c r="I774" s="51">
        <v>0</v>
      </c>
      <c r="J774" s="51">
        <v>4388401</v>
      </c>
      <c r="K774" s="51">
        <v>0</v>
      </c>
      <c r="L774" s="51">
        <v>0</v>
      </c>
      <c r="M774" s="51">
        <v>0</v>
      </c>
      <c r="N774" s="51">
        <v>4388401</v>
      </c>
    </row>
    <row r="775" spans="1:14" ht="16" outlineLevel="2" thickBot="1" x14ac:dyDescent="0.4">
      <c r="A775" s="50" t="s">
        <v>119</v>
      </c>
      <c r="B775" s="67" t="s">
        <v>12</v>
      </c>
      <c r="C775" s="48">
        <f>SUBTOTAL(109,Program321[(C)
Program
Costs])</f>
        <v>94854571</v>
      </c>
      <c r="D775" s="48">
        <f>SUBTOTAL(109,Program321[(D)
Prior Period Adjustments])</f>
        <v>-4398078</v>
      </c>
      <c r="E775" s="48">
        <f>SUBTOTAL(109,Program321[(E)
Current Period Desk 
Reviews])</f>
        <v>0</v>
      </c>
      <c r="F775" s="48">
        <f>SUBTOTAL(109,Program321[(F)
Current Period 
Final 
Audits])</f>
        <v>-2273564</v>
      </c>
      <c r="G775" s="48">
        <f>SUBTOTAL(109,Program321[(G)
Current Period 
Other Adjustments])</f>
        <v>0</v>
      </c>
      <c r="H775" s="48">
        <f>SUBTOTAL(109,Program321[(H)
Net Program Costs
Sum (C through G)])</f>
        <v>88182929</v>
      </c>
      <c r="I775" s="48">
        <f>SUBTOTAL(109,Program321[(I)
Payments
 and Offsets])</f>
        <v>0</v>
      </c>
      <c r="J775" s="48">
        <f>SUBTOTAL(109,Program321[(J)
Accounts Payable Balance
(H + I)])</f>
        <v>88182929</v>
      </c>
      <c r="K775" s="48">
        <f>SUBTOTAL(109,Program321[(K)
Established 
Accounts Receivable])</f>
        <v>0</v>
      </c>
      <c r="L775" s="48">
        <f>SUBTOTAL(109,Program321[(L)
Recovered
 Accounts Receivable])</f>
        <v>0</v>
      </c>
      <c r="M775" s="48">
        <f>SUBTOTAL(109,Program321[(M)
Accounts Receivable Balance
(K + L)])</f>
        <v>0</v>
      </c>
      <c r="N775" s="48">
        <f>SUBTOTAL(109,Program321[(N)
Net Balance
(J minus M)])</f>
        <v>88182929</v>
      </c>
    </row>
    <row r="776" spans="1:14" outlineLevel="2" x14ac:dyDescent="0.35">
      <c r="A776" s="63" t="s">
        <v>33</v>
      </c>
      <c r="B776" s="62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</row>
    <row r="777" spans="1:14" ht="77.5" outlineLevel="1" x14ac:dyDescent="0.35">
      <c r="A777" s="60" t="s">
        <v>185</v>
      </c>
      <c r="B777" s="59" t="s">
        <v>184</v>
      </c>
      <c r="C777" s="58" t="s">
        <v>183</v>
      </c>
      <c r="D777" s="58" t="s">
        <v>182</v>
      </c>
      <c r="E777" s="56" t="s">
        <v>181</v>
      </c>
      <c r="F777" s="56" t="s">
        <v>180</v>
      </c>
      <c r="G777" s="56" t="s">
        <v>179</v>
      </c>
      <c r="H777" s="57" t="s">
        <v>674</v>
      </c>
      <c r="I777" s="55" t="s">
        <v>178</v>
      </c>
      <c r="J777" s="55" t="s">
        <v>177</v>
      </c>
      <c r="K777" s="56" t="s">
        <v>176</v>
      </c>
      <c r="L777" s="55" t="s">
        <v>175</v>
      </c>
      <c r="M777" s="55" t="s">
        <v>174</v>
      </c>
      <c r="N777" s="54" t="s">
        <v>173</v>
      </c>
    </row>
    <row r="778" spans="1:14" outlineLevel="1" x14ac:dyDescent="0.35">
      <c r="A778" s="53" t="s">
        <v>301</v>
      </c>
      <c r="B778" s="66" t="s">
        <v>206</v>
      </c>
      <c r="C778" s="51">
        <v>15567</v>
      </c>
      <c r="D778" s="51">
        <v>0</v>
      </c>
      <c r="E778" s="51">
        <v>0</v>
      </c>
      <c r="F778" s="51">
        <v>0</v>
      </c>
      <c r="G778" s="51">
        <v>0</v>
      </c>
      <c r="H778" s="51">
        <v>15567</v>
      </c>
      <c r="I778" s="51">
        <v>0</v>
      </c>
      <c r="J778" s="51">
        <v>15567</v>
      </c>
      <c r="K778" s="51">
        <v>0</v>
      </c>
      <c r="L778" s="51">
        <v>0</v>
      </c>
      <c r="M778" s="51">
        <v>0</v>
      </c>
      <c r="N778" s="51">
        <v>15567</v>
      </c>
    </row>
    <row r="779" spans="1:14" outlineLevel="2" x14ac:dyDescent="0.35">
      <c r="A779" s="53" t="s">
        <v>301</v>
      </c>
      <c r="B779" s="66" t="s">
        <v>205</v>
      </c>
      <c r="C779" s="51">
        <v>20569</v>
      </c>
      <c r="D779" s="51">
        <v>0</v>
      </c>
      <c r="E779" s="51">
        <v>0</v>
      </c>
      <c r="F779" s="51">
        <v>0</v>
      </c>
      <c r="G779" s="51">
        <v>0</v>
      </c>
      <c r="H779" s="51">
        <v>20569</v>
      </c>
      <c r="I779" s="51">
        <v>0</v>
      </c>
      <c r="J779" s="51">
        <v>20569</v>
      </c>
      <c r="K779" s="51">
        <v>0</v>
      </c>
      <c r="L779" s="51">
        <v>0</v>
      </c>
      <c r="M779" s="51">
        <v>0</v>
      </c>
      <c r="N779" s="51">
        <v>20569</v>
      </c>
    </row>
    <row r="780" spans="1:14" outlineLevel="1" x14ac:dyDescent="0.35">
      <c r="A780" s="53" t="s">
        <v>301</v>
      </c>
      <c r="B780" s="66" t="s">
        <v>204</v>
      </c>
      <c r="C780" s="51">
        <v>15069</v>
      </c>
      <c r="D780" s="51">
        <v>0</v>
      </c>
      <c r="E780" s="51">
        <v>0</v>
      </c>
      <c r="F780" s="51">
        <v>0</v>
      </c>
      <c r="G780" s="51">
        <v>0</v>
      </c>
      <c r="H780" s="51">
        <v>15069</v>
      </c>
      <c r="I780" s="51">
        <v>-15069</v>
      </c>
      <c r="J780" s="51">
        <v>0</v>
      </c>
      <c r="K780" s="51">
        <v>0</v>
      </c>
      <c r="L780" s="51">
        <v>0</v>
      </c>
      <c r="M780" s="51">
        <v>0</v>
      </c>
      <c r="N780" s="51">
        <v>0</v>
      </c>
    </row>
    <row r="781" spans="1:14" outlineLevel="2" x14ac:dyDescent="0.35">
      <c r="A781" s="53" t="s">
        <v>301</v>
      </c>
      <c r="B781" s="66" t="s">
        <v>203</v>
      </c>
      <c r="C781" s="51">
        <v>18939</v>
      </c>
      <c r="D781" s="51">
        <v>0</v>
      </c>
      <c r="E781" s="51">
        <v>0</v>
      </c>
      <c r="F781" s="51">
        <v>0</v>
      </c>
      <c r="G781" s="51">
        <v>0</v>
      </c>
      <c r="H781" s="51">
        <v>18939</v>
      </c>
      <c r="I781" s="51">
        <v>-18939</v>
      </c>
      <c r="J781" s="51">
        <v>0</v>
      </c>
      <c r="K781" s="51">
        <v>0</v>
      </c>
      <c r="L781" s="51">
        <v>0</v>
      </c>
      <c r="M781" s="51">
        <v>0</v>
      </c>
      <c r="N781" s="51">
        <v>0</v>
      </c>
    </row>
    <row r="782" spans="1:14" outlineLevel="2" x14ac:dyDescent="0.35">
      <c r="A782" s="53" t="s">
        <v>301</v>
      </c>
      <c r="B782" s="66" t="s">
        <v>202</v>
      </c>
      <c r="C782" s="51">
        <v>15378</v>
      </c>
      <c r="D782" s="51">
        <v>0</v>
      </c>
      <c r="E782" s="51">
        <v>0</v>
      </c>
      <c r="F782" s="51">
        <v>0</v>
      </c>
      <c r="G782" s="51">
        <v>0</v>
      </c>
      <c r="H782" s="51">
        <v>15378</v>
      </c>
      <c r="I782" s="51">
        <v>-15378</v>
      </c>
      <c r="J782" s="51">
        <v>0</v>
      </c>
      <c r="K782" s="51">
        <v>0</v>
      </c>
      <c r="L782" s="51">
        <v>0</v>
      </c>
      <c r="M782" s="51">
        <v>0</v>
      </c>
      <c r="N782" s="51">
        <v>0</v>
      </c>
    </row>
    <row r="783" spans="1:14" outlineLevel="2" x14ac:dyDescent="0.35">
      <c r="A783" s="53" t="s">
        <v>301</v>
      </c>
      <c r="B783" s="66" t="s">
        <v>201</v>
      </c>
      <c r="C783" s="51">
        <v>16040</v>
      </c>
      <c r="D783" s="51">
        <v>0</v>
      </c>
      <c r="E783" s="51">
        <v>0</v>
      </c>
      <c r="F783" s="51">
        <v>0</v>
      </c>
      <c r="G783" s="51">
        <v>0</v>
      </c>
      <c r="H783" s="51">
        <v>16040</v>
      </c>
      <c r="I783" s="51">
        <v>-16040</v>
      </c>
      <c r="J783" s="51">
        <v>0</v>
      </c>
      <c r="K783" s="51">
        <v>0</v>
      </c>
      <c r="L783" s="51">
        <v>0</v>
      </c>
      <c r="M783" s="51">
        <v>0</v>
      </c>
      <c r="N783" s="51">
        <v>0</v>
      </c>
    </row>
    <row r="784" spans="1:14" outlineLevel="2" x14ac:dyDescent="0.35">
      <c r="A784" s="53" t="s">
        <v>301</v>
      </c>
      <c r="B784" s="66" t="s">
        <v>200</v>
      </c>
      <c r="C784" s="51">
        <v>17837</v>
      </c>
      <c r="D784" s="51">
        <v>0</v>
      </c>
      <c r="E784" s="51">
        <v>0</v>
      </c>
      <c r="F784" s="51">
        <v>0</v>
      </c>
      <c r="G784" s="51">
        <v>0</v>
      </c>
      <c r="H784" s="51">
        <v>17837</v>
      </c>
      <c r="I784" s="51">
        <v>-17837</v>
      </c>
      <c r="J784" s="51">
        <v>0</v>
      </c>
      <c r="K784" s="51">
        <v>0</v>
      </c>
      <c r="L784" s="51">
        <v>0</v>
      </c>
      <c r="M784" s="51">
        <v>0</v>
      </c>
      <c r="N784" s="51">
        <v>0</v>
      </c>
    </row>
    <row r="785" spans="1:14" outlineLevel="2" x14ac:dyDescent="0.35">
      <c r="A785" s="53" t="s">
        <v>301</v>
      </c>
      <c r="B785" s="66" t="s">
        <v>199</v>
      </c>
      <c r="C785" s="51">
        <v>11904</v>
      </c>
      <c r="D785" s="51">
        <v>0</v>
      </c>
      <c r="E785" s="51">
        <v>0</v>
      </c>
      <c r="F785" s="51">
        <v>0</v>
      </c>
      <c r="G785" s="51">
        <v>0</v>
      </c>
      <c r="H785" s="51">
        <v>11904</v>
      </c>
      <c r="I785" s="51">
        <v>0</v>
      </c>
      <c r="J785" s="51">
        <v>11904</v>
      </c>
      <c r="K785" s="51">
        <v>0</v>
      </c>
      <c r="L785" s="51">
        <v>0</v>
      </c>
      <c r="M785" s="51">
        <v>0</v>
      </c>
      <c r="N785" s="51">
        <v>11904</v>
      </c>
    </row>
    <row r="786" spans="1:14" outlineLevel="2" x14ac:dyDescent="0.35">
      <c r="A786" s="53" t="s">
        <v>301</v>
      </c>
      <c r="B786" s="66" t="s">
        <v>198</v>
      </c>
      <c r="C786" s="51">
        <v>132994</v>
      </c>
      <c r="D786" s="51">
        <v>0</v>
      </c>
      <c r="E786" s="51">
        <v>0</v>
      </c>
      <c r="F786" s="51">
        <v>0</v>
      </c>
      <c r="G786" s="51">
        <v>0</v>
      </c>
      <c r="H786" s="51">
        <v>132994</v>
      </c>
      <c r="I786" s="51">
        <v>0</v>
      </c>
      <c r="J786" s="51">
        <v>132994</v>
      </c>
      <c r="K786" s="51">
        <v>0</v>
      </c>
      <c r="L786" s="51">
        <v>0</v>
      </c>
      <c r="M786" s="51">
        <v>0</v>
      </c>
      <c r="N786" s="51">
        <v>132994</v>
      </c>
    </row>
    <row r="787" spans="1:14" outlineLevel="2" x14ac:dyDescent="0.35">
      <c r="A787" s="53" t="s">
        <v>301</v>
      </c>
      <c r="B787" s="66" t="s">
        <v>197</v>
      </c>
      <c r="C787" s="51">
        <v>116534</v>
      </c>
      <c r="D787" s="51">
        <v>0</v>
      </c>
      <c r="E787" s="51">
        <v>0</v>
      </c>
      <c r="F787" s="51">
        <v>0</v>
      </c>
      <c r="G787" s="51">
        <v>0</v>
      </c>
      <c r="H787" s="51">
        <v>116534</v>
      </c>
      <c r="I787" s="51">
        <v>0</v>
      </c>
      <c r="J787" s="51">
        <v>116534</v>
      </c>
      <c r="K787" s="51">
        <v>0</v>
      </c>
      <c r="L787" s="51">
        <v>0</v>
      </c>
      <c r="M787" s="51">
        <v>0</v>
      </c>
      <c r="N787" s="51">
        <v>116534</v>
      </c>
    </row>
    <row r="788" spans="1:14" outlineLevel="1" x14ac:dyDescent="0.35">
      <c r="A788" s="53" t="s">
        <v>301</v>
      </c>
      <c r="B788" s="66" t="s">
        <v>196</v>
      </c>
      <c r="C788" s="51">
        <v>112301</v>
      </c>
      <c r="D788" s="51">
        <v>0</v>
      </c>
      <c r="E788" s="51">
        <v>0</v>
      </c>
      <c r="F788" s="51">
        <v>0</v>
      </c>
      <c r="G788" s="51">
        <v>0</v>
      </c>
      <c r="H788" s="51">
        <v>112301</v>
      </c>
      <c r="I788" s="51">
        <v>0</v>
      </c>
      <c r="J788" s="51">
        <v>112301</v>
      </c>
      <c r="K788" s="51">
        <v>0</v>
      </c>
      <c r="L788" s="51">
        <v>0</v>
      </c>
      <c r="M788" s="51">
        <v>0</v>
      </c>
      <c r="N788" s="51">
        <v>112301</v>
      </c>
    </row>
    <row r="789" spans="1:14" outlineLevel="2" x14ac:dyDescent="0.35">
      <c r="A789" s="53" t="s">
        <v>301</v>
      </c>
      <c r="B789" s="66" t="s">
        <v>195</v>
      </c>
      <c r="C789" s="51">
        <v>32985</v>
      </c>
      <c r="D789" s="51">
        <v>0</v>
      </c>
      <c r="E789" s="51">
        <v>0</v>
      </c>
      <c r="F789" s="51">
        <v>0</v>
      </c>
      <c r="G789" s="51">
        <v>0</v>
      </c>
      <c r="H789" s="51">
        <v>32985</v>
      </c>
      <c r="I789" s="51">
        <v>0</v>
      </c>
      <c r="J789" s="51">
        <v>32985</v>
      </c>
      <c r="K789" s="51">
        <v>0</v>
      </c>
      <c r="L789" s="51">
        <v>0</v>
      </c>
      <c r="M789" s="51">
        <v>0</v>
      </c>
      <c r="N789" s="51">
        <v>32985</v>
      </c>
    </row>
    <row r="790" spans="1:14" ht="16" outlineLevel="2" thickBot="1" x14ac:dyDescent="0.4">
      <c r="A790" s="50" t="s">
        <v>118</v>
      </c>
      <c r="B790" s="67" t="s">
        <v>12</v>
      </c>
      <c r="C790" s="48">
        <f>SUBTOTAL(109,Program289[(C)
Program
Costs])</f>
        <v>526117</v>
      </c>
      <c r="D790" s="48">
        <f>SUBTOTAL(109,Program289[(D)
Prior Period Adjustments])</f>
        <v>0</v>
      </c>
      <c r="E790" s="48">
        <f>SUBTOTAL(109,Program289[(E)
Current Period Desk 
Reviews])</f>
        <v>0</v>
      </c>
      <c r="F790" s="48">
        <f>SUBTOTAL(109,Program289[(F)
Current Period 
Final 
Audits])</f>
        <v>0</v>
      </c>
      <c r="G790" s="48">
        <f>SUBTOTAL(109,Program289[(G)
Current Period 
Other Adjustments])</f>
        <v>0</v>
      </c>
      <c r="H790" s="48">
        <f>SUBTOTAL(109,Program289[(H)
Net Program Costs
Sum (C through G)])</f>
        <v>526117</v>
      </c>
      <c r="I790" s="48">
        <f>SUBTOTAL(109,Program289[(I)
Payments
 and Offsets])</f>
        <v>-83263</v>
      </c>
      <c r="J790" s="48">
        <f>SUBTOTAL(109,Program289[(J)
Accounts Payable Balance
(H + I)])</f>
        <v>442854</v>
      </c>
      <c r="K790" s="48">
        <f>SUBTOTAL(109,Program289[(K)
Established 
Accounts Receivable])</f>
        <v>0</v>
      </c>
      <c r="L790" s="48">
        <f>SUBTOTAL(109,Program289[(L)
Recovered
 Accounts Receivable])</f>
        <v>0</v>
      </c>
      <c r="M790" s="48">
        <f>SUBTOTAL(109,Program289[(M)
Accounts Receivable Balance
(K + L)])</f>
        <v>0</v>
      </c>
      <c r="N790" s="48">
        <f>SUBTOTAL(109,Program289[(N)
Net Balance
(J minus M)])</f>
        <v>442854</v>
      </c>
    </row>
    <row r="791" spans="1:14" outlineLevel="2" x14ac:dyDescent="0.35">
      <c r="A791" s="63" t="s">
        <v>33</v>
      </c>
      <c r="B791" s="62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</row>
    <row r="792" spans="1:14" ht="77.5" outlineLevel="2" x14ac:dyDescent="0.35">
      <c r="A792" s="60" t="s">
        <v>185</v>
      </c>
      <c r="B792" s="59" t="s">
        <v>184</v>
      </c>
      <c r="C792" s="58" t="s">
        <v>183</v>
      </c>
      <c r="D792" s="58" t="s">
        <v>182</v>
      </c>
      <c r="E792" s="56" t="s">
        <v>181</v>
      </c>
      <c r="F792" s="56" t="s">
        <v>180</v>
      </c>
      <c r="G792" s="56" t="s">
        <v>179</v>
      </c>
      <c r="H792" s="57" t="s">
        <v>674</v>
      </c>
      <c r="I792" s="55" t="s">
        <v>178</v>
      </c>
      <c r="J792" s="55" t="s">
        <v>177</v>
      </c>
      <c r="K792" s="56" t="s">
        <v>176</v>
      </c>
      <c r="L792" s="55" t="s">
        <v>175</v>
      </c>
      <c r="M792" s="55" t="s">
        <v>174</v>
      </c>
      <c r="N792" s="54" t="s">
        <v>173</v>
      </c>
    </row>
    <row r="793" spans="1:14" outlineLevel="2" x14ac:dyDescent="0.35">
      <c r="A793" s="53" t="s">
        <v>300</v>
      </c>
      <c r="B793" s="66" t="s">
        <v>189</v>
      </c>
      <c r="C793" s="51">
        <v>900483</v>
      </c>
      <c r="D793" s="51">
        <v>-20873</v>
      </c>
      <c r="E793" s="51">
        <v>0</v>
      </c>
      <c r="F793" s="51">
        <v>0</v>
      </c>
      <c r="G793" s="51">
        <v>0</v>
      </c>
      <c r="H793" s="51">
        <v>879610</v>
      </c>
      <c r="I793" s="51">
        <v>-879610</v>
      </c>
      <c r="J793" s="51">
        <v>0</v>
      </c>
      <c r="K793" s="51">
        <v>5809</v>
      </c>
      <c r="L793" s="51">
        <v>-5809</v>
      </c>
      <c r="M793" s="51">
        <v>0</v>
      </c>
      <c r="N793" s="51">
        <v>0</v>
      </c>
    </row>
    <row r="794" spans="1:14" outlineLevel="2" x14ac:dyDescent="0.35">
      <c r="A794" s="53" t="s">
        <v>300</v>
      </c>
      <c r="B794" s="66" t="s">
        <v>188</v>
      </c>
      <c r="C794" s="51">
        <v>628574</v>
      </c>
      <c r="D794" s="51">
        <v>-24303</v>
      </c>
      <c r="E794" s="51">
        <v>0</v>
      </c>
      <c r="F794" s="51">
        <v>0</v>
      </c>
      <c r="G794" s="51">
        <v>0</v>
      </c>
      <c r="H794" s="51">
        <v>604271</v>
      </c>
      <c r="I794" s="51">
        <v>-604271</v>
      </c>
      <c r="J794" s="51">
        <v>0</v>
      </c>
      <c r="K794" s="51">
        <v>4761</v>
      </c>
      <c r="L794" s="51">
        <v>-4761</v>
      </c>
      <c r="M794" s="51">
        <v>0</v>
      </c>
      <c r="N794" s="51">
        <v>0</v>
      </c>
    </row>
    <row r="795" spans="1:14" outlineLevel="2" x14ac:dyDescent="0.35">
      <c r="A795" s="53" t="s">
        <v>300</v>
      </c>
      <c r="B795" s="66" t="s">
        <v>186</v>
      </c>
      <c r="C795" s="51">
        <v>380998</v>
      </c>
      <c r="D795" s="51">
        <v>-8660</v>
      </c>
      <c r="E795" s="51">
        <v>0</v>
      </c>
      <c r="F795" s="51">
        <v>0</v>
      </c>
      <c r="G795" s="51">
        <v>0</v>
      </c>
      <c r="H795" s="51">
        <v>372338</v>
      </c>
      <c r="I795" s="51">
        <v>-372338</v>
      </c>
      <c r="J795" s="51">
        <v>0</v>
      </c>
      <c r="K795" s="51">
        <v>2115</v>
      </c>
      <c r="L795" s="51">
        <v>-2115</v>
      </c>
      <c r="M795" s="51">
        <v>0</v>
      </c>
      <c r="N795" s="51">
        <v>0</v>
      </c>
    </row>
    <row r="796" spans="1:14" outlineLevel="2" x14ac:dyDescent="0.35">
      <c r="A796" s="53" t="s">
        <v>300</v>
      </c>
      <c r="B796" s="66" t="s">
        <v>227</v>
      </c>
      <c r="C796" s="51">
        <v>219579</v>
      </c>
      <c r="D796" s="51">
        <v>-3046</v>
      </c>
      <c r="E796" s="51">
        <v>0</v>
      </c>
      <c r="F796" s="51">
        <v>0</v>
      </c>
      <c r="G796" s="51">
        <v>0</v>
      </c>
      <c r="H796" s="51">
        <v>216533</v>
      </c>
      <c r="I796" s="51">
        <v>-216533</v>
      </c>
      <c r="J796" s="51">
        <v>0</v>
      </c>
      <c r="K796" s="51">
        <v>522</v>
      </c>
      <c r="L796" s="51">
        <v>-522</v>
      </c>
      <c r="M796" s="51">
        <v>0</v>
      </c>
      <c r="N796" s="51">
        <v>0</v>
      </c>
    </row>
    <row r="797" spans="1:14" outlineLevel="1" x14ac:dyDescent="0.35">
      <c r="A797" s="53" t="s">
        <v>300</v>
      </c>
      <c r="B797" s="66" t="s">
        <v>226</v>
      </c>
      <c r="C797" s="51">
        <v>188696</v>
      </c>
      <c r="D797" s="51">
        <v>-29827</v>
      </c>
      <c r="E797" s="51">
        <v>0</v>
      </c>
      <c r="F797" s="51">
        <v>0</v>
      </c>
      <c r="G797" s="51">
        <v>0</v>
      </c>
      <c r="H797" s="51">
        <v>158869</v>
      </c>
      <c r="I797" s="51">
        <v>-158869</v>
      </c>
      <c r="J797" s="51">
        <v>0</v>
      </c>
      <c r="K797" s="51">
        <v>144</v>
      </c>
      <c r="L797" s="51">
        <v>-144</v>
      </c>
      <c r="M797" s="51">
        <v>0</v>
      </c>
      <c r="N797" s="51">
        <v>0</v>
      </c>
    </row>
    <row r="798" spans="1:14" outlineLevel="1" x14ac:dyDescent="0.35">
      <c r="A798" s="53" t="s">
        <v>300</v>
      </c>
      <c r="B798" s="66" t="s">
        <v>225</v>
      </c>
      <c r="C798" s="51">
        <v>71581</v>
      </c>
      <c r="D798" s="51">
        <v>-11321</v>
      </c>
      <c r="E798" s="51">
        <v>0</v>
      </c>
      <c r="F798" s="51">
        <v>0</v>
      </c>
      <c r="G798" s="51">
        <v>0</v>
      </c>
      <c r="H798" s="51">
        <v>60260</v>
      </c>
      <c r="I798" s="51">
        <v>-60260</v>
      </c>
      <c r="J798" s="51">
        <v>0</v>
      </c>
      <c r="K798" s="51">
        <v>0</v>
      </c>
      <c r="L798" s="51">
        <v>0</v>
      </c>
      <c r="M798" s="51">
        <v>0</v>
      </c>
      <c r="N798" s="51">
        <v>0</v>
      </c>
    </row>
    <row r="799" spans="1:14" ht="16" outlineLevel="2" thickBot="1" x14ac:dyDescent="0.4">
      <c r="A799" s="50" t="s">
        <v>117</v>
      </c>
      <c r="B799" s="67" t="s">
        <v>12</v>
      </c>
      <c r="C799" s="48">
        <f>SUBTOTAL(109,Program126[(C)
Program
Costs])</f>
        <v>2389911</v>
      </c>
      <c r="D799" s="48">
        <f>SUBTOTAL(109,Program126[(D)
Prior Period Adjustments])</f>
        <v>-98030</v>
      </c>
      <c r="E799" s="48">
        <f>SUBTOTAL(109,Program126[(E)
Current Period Desk 
Reviews])</f>
        <v>0</v>
      </c>
      <c r="F799" s="48">
        <f>SUBTOTAL(109,Program126[(F)
Current Period 
Final 
Audits])</f>
        <v>0</v>
      </c>
      <c r="G799" s="48">
        <f>SUBTOTAL(109,Program126[(G)
Current Period 
Other Adjustments])</f>
        <v>0</v>
      </c>
      <c r="H799" s="48">
        <f>SUBTOTAL(109,Program126[(H)
Net Program Costs
Sum (C through G)])</f>
        <v>2291881</v>
      </c>
      <c r="I799" s="48">
        <f>SUBTOTAL(109,Program126[(I)
Payments
 and Offsets])</f>
        <v>-2291881</v>
      </c>
      <c r="J799" s="48">
        <f>SUBTOTAL(109,Program126[(J)
Accounts Payable Balance
(H + I)])</f>
        <v>0</v>
      </c>
      <c r="K799" s="48">
        <f>SUBTOTAL(109,Program126[(K)
Established 
Accounts Receivable])</f>
        <v>13351</v>
      </c>
      <c r="L799" s="48">
        <f>SUBTOTAL(109,Program126[(L)
Recovered
 Accounts Receivable])</f>
        <v>-13351</v>
      </c>
      <c r="M799" s="48">
        <f>SUBTOTAL(109,Program126[(M)
Accounts Receivable Balance
(K + L)])</f>
        <v>0</v>
      </c>
      <c r="N799" s="48">
        <f>SUBTOTAL(109,Program126[(N)
Net Balance
(J minus M)])</f>
        <v>0</v>
      </c>
    </row>
    <row r="800" spans="1:14" outlineLevel="2" x14ac:dyDescent="0.35">
      <c r="A800" s="63" t="s">
        <v>33</v>
      </c>
      <c r="B800" s="62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</row>
    <row r="801" spans="1:14" ht="77.5" outlineLevel="2" x14ac:dyDescent="0.35">
      <c r="A801" s="60" t="s">
        <v>185</v>
      </c>
      <c r="B801" s="59" t="s">
        <v>184</v>
      </c>
      <c r="C801" s="58" t="s">
        <v>183</v>
      </c>
      <c r="D801" s="58" t="s">
        <v>182</v>
      </c>
      <c r="E801" s="56" t="s">
        <v>181</v>
      </c>
      <c r="F801" s="56" t="s">
        <v>180</v>
      </c>
      <c r="G801" s="56" t="s">
        <v>179</v>
      </c>
      <c r="H801" s="57" t="s">
        <v>674</v>
      </c>
      <c r="I801" s="55" t="s">
        <v>178</v>
      </c>
      <c r="J801" s="55" t="s">
        <v>177</v>
      </c>
      <c r="K801" s="56" t="s">
        <v>176</v>
      </c>
      <c r="L801" s="55" t="s">
        <v>175</v>
      </c>
      <c r="M801" s="55" t="s">
        <v>174</v>
      </c>
      <c r="N801" s="54" t="s">
        <v>173</v>
      </c>
    </row>
    <row r="802" spans="1:14" ht="31" outlineLevel="2" x14ac:dyDescent="0.35">
      <c r="A802" s="77" t="s">
        <v>299</v>
      </c>
      <c r="B802" s="69" t="s">
        <v>219</v>
      </c>
      <c r="C802" s="68">
        <v>1305066</v>
      </c>
      <c r="D802" s="68">
        <v>-27393</v>
      </c>
      <c r="E802" s="68">
        <v>0</v>
      </c>
      <c r="F802" s="68">
        <v>0</v>
      </c>
      <c r="G802" s="68">
        <v>0</v>
      </c>
      <c r="H802" s="68">
        <v>1277673</v>
      </c>
      <c r="I802" s="68">
        <v>0</v>
      </c>
      <c r="J802" s="68">
        <v>1277673</v>
      </c>
      <c r="K802" s="68">
        <v>0</v>
      </c>
      <c r="L802" s="68">
        <v>0</v>
      </c>
      <c r="M802" s="68">
        <v>0</v>
      </c>
      <c r="N802" s="68">
        <v>1277673</v>
      </c>
    </row>
    <row r="803" spans="1:14" ht="31" outlineLevel="2" x14ac:dyDescent="0.35">
      <c r="A803" s="77" t="s">
        <v>299</v>
      </c>
      <c r="B803" s="69" t="s">
        <v>218</v>
      </c>
      <c r="C803" s="68">
        <v>3335963</v>
      </c>
      <c r="D803" s="68">
        <v>-459447</v>
      </c>
      <c r="E803" s="68">
        <v>0</v>
      </c>
      <c r="F803" s="68">
        <v>0</v>
      </c>
      <c r="G803" s="68">
        <v>0</v>
      </c>
      <c r="H803" s="68">
        <v>2876516</v>
      </c>
      <c r="I803" s="68">
        <v>0</v>
      </c>
      <c r="J803" s="68">
        <v>2876516</v>
      </c>
      <c r="K803" s="68">
        <v>0</v>
      </c>
      <c r="L803" s="68">
        <v>0</v>
      </c>
      <c r="M803" s="68">
        <v>0</v>
      </c>
      <c r="N803" s="68">
        <v>2876516</v>
      </c>
    </row>
    <row r="804" spans="1:14" ht="31" outlineLevel="2" x14ac:dyDescent="0.35">
      <c r="A804" s="77" t="s">
        <v>299</v>
      </c>
      <c r="B804" s="69" t="s">
        <v>209</v>
      </c>
      <c r="C804" s="68">
        <v>3071559</v>
      </c>
      <c r="D804" s="68">
        <v>-1487406</v>
      </c>
      <c r="E804" s="68">
        <v>0</v>
      </c>
      <c r="F804" s="68">
        <v>0</v>
      </c>
      <c r="G804" s="68">
        <v>0</v>
      </c>
      <c r="H804" s="68">
        <v>1584153</v>
      </c>
      <c r="I804" s="68">
        <v>0</v>
      </c>
      <c r="J804" s="68">
        <v>1584153</v>
      </c>
      <c r="K804" s="68">
        <v>0</v>
      </c>
      <c r="L804" s="68">
        <v>0</v>
      </c>
      <c r="M804" s="68">
        <v>0</v>
      </c>
      <c r="N804" s="68">
        <v>1584153</v>
      </c>
    </row>
    <row r="805" spans="1:14" ht="31" outlineLevel="2" x14ac:dyDescent="0.35">
      <c r="A805" s="77" t="s">
        <v>299</v>
      </c>
      <c r="B805" s="69" t="s">
        <v>208</v>
      </c>
      <c r="C805" s="68">
        <v>7344066</v>
      </c>
      <c r="D805" s="68">
        <v>-2922601</v>
      </c>
      <c r="E805" s="68">
        <v>0</v>
      </c>
      <c r="F805" s="68">
        <v>0</v>
      </c>
      <c r="G805" s="68">
        <v>0</v>
      </c>
      <c r="H805" s="68">
        <v>4421465</v>
      </c>
      <c r="I805" s="68">
        <v>0</v>
      </c>
      <c r="J805" s="68">
        <v>4421465</v>
      </c>
      <c r="K805" s="68">
        <v>0</v>
      </c>
      <c r="L805" s="68">
        <v>0</v>
      </c>
      <c r="M805" s="68">
        <v>0</v>
      </c>
      <c r="N805" s="68">
        <v>4421465</v>
      </c>
    </row>
    <row r="806" spans="1:14" ht="31" outlineLevel="1" x14ac:dyDescent="0.35">
      <c r="A806" s="77" t="s">
        <v>299</v>
      </c>
      <c r="B806" s="69" t="s">
        <v>206</v>
      </c>
      <c r="C806" s="68">
        <v>12322074</v>
      </c>
      <c r="D806" s="68">
        <v>-4655724</v>
      </c>
      <c r="E806" s="68">
        <v>0</v>
      </c>
      <c r="F806" s="68">
        <v>0</v>
      </c>
      <c r="G806" s="68">
        <v>0</v>
      </c>
      <c r="H806" s="68">
        <v>7666350</v>
      </c>
      <c r="I806" s="68">
        <v>0</v>
      </c>
      <c r="J806" s="68">
        <v>7666350</v>
      </c>
      <c r="K806" s="68">
        <v>0</v>
      </c>
      <c r="L806" s="68">
        <v>0</v>
      </c>
      <c r="M806" s="68">
        <v>0</v>
      </c>
      <c r="N806" s="68">
        <v>7666350</v>
      </c>
    </row>
    <row r="807" spans="1:14" ht="31" outlineLevel="1" x14ac:dyDescent="0.35">
      <c r="A807" s="77" t="s">
        <v>299</v>
      </c>
      <c r="B807" s="69" t="s">
        <v>205</v>
      </c>
      <c r="C807" s="68">
        <v>11928439</v>
      </c>
      <c r="D807" s="68">
        <v>-4543133</v>
      </c>
      <c r="E807" s="68">
        <v>0</v>
      </c>
      <c r="F807" s="68">
        <v>0</v>
      </c>
      <c r="G807" s="68">
        <v>0</v>
      </c>
      <c r="H807" s="68">
        <v>7385306</v>
      </c>
      <c r="I807" s="68">
        <v>0</v>
      </c>
      <c r="J807" s="68">
        <v>7385306</v>
      </c>
      <c r="K807" s="68">
        <v>0</v>
      </c>
      <c r="L807" s="68">
        <v>0</v>
      </c>
      <c r="M807" s="68">
        <v>0</v>
      </c>
      <c r="N807" s="68">
        <v>7385306</v>
      </c>
    </row>
    <row r="808" spans="1:14" ht="31" outlineLevel="1" x14ac:dyDescent="0.35">
      <c r="A808" s="77" t="s">
        <v>299</v>
      </c>
      <c r="B808" s="69" t="s">
        <v>204</v>
      </c>
      <c r="C808" s="68">
        <v>11247017</v>
      </c>
      <c r="D808" s="68">
        <v>-5196165</v>
      </c>
      <c r="E808" s="68">
        <v>0</v>
      </c>
      <c r="F808" s="68">
        <v>0</v>
      </c>
      <c r="G808" s="68">
        <v>0</v>
      </c>
      <c r="H808" s="68">
        <v>6050852</v>
      </c>
      <c r="I808" s="68">
        <v>0</v>
      </c>
      <c r="J808" s="68">
        <v>6050852</v>
      </c>
      <c r="K808" s="68">
        <v>0</v>
      </c>
      <c r="L808" s="68">
        <v>0</v>
      </c>
      <c r="M808" s="68">
        <v>0</v>
      </c>
      <c r="N808" s="68">
        <v>6050852</v>
      </c>
    </row>
    <row r="809" spans="1:14" ht="31" outlineLevel="2" x14ac:dyDescent="0.35">
      <c r="A809" s="77" t="s">
        <v>299</v>
      </c>
      <c r="B809" s="69" t="s">
        <v>203</v>
      </c>
      <c r="C809" s="68">
        <v>10561677</v>
      </c>
      <c r="D809" s="68">
        <v>-5110620</v>
      </c>
      <c r="E809" s="68">
        <v>0</v>
      </c>
      <c r="F809" s="68">
        <v>0</v>
      </c>
      <c r="G809" s="68">
        <v>0</v>
      </c>
      <c r="H809" s="68">
        <v>5451057</v>
      </c>
      <c r="I809" s="68">
        <v>0</v>
      </c>
      <c r="J809" s="68">
        <v>5451057</v>
      </c>
      <c r="K809" s="68">
        <v>0</v>
      </c>
      <c r="L809" s="68">
        <v>0</v>
      </c>
      <c r="M809" s="68">
        <v>0</v>
      </c>
      <c r="N809" s="68">
        <v>5451057</v>
      </c>
    </row>
    <row r="810" spans="1:14" ht="31" outlineLevel="2" x14ac:dyDescent="0.35">
      <c r="A810" s="77" t="s">
        <v>299</v>
      </c>
      <c r="B810" s="69" t="s">
        <v>202</v>
      </c>
      <c r="C810" s="68">
        <v>8399919</v>
      </c>
      <c r="D810" s="68">
        <v>-3523546</v>
      </c>
      <c r="E810" s="68">
        <v>0</v>
      </c>
      <c r="F810" s="68">
        <v>0</v>
      </c>
      <c r="G810" s="68">
        <v>0</v>
      </c>
      <c r="H810" s="68">
        <v>4876373</v>
      </c>
      <c r="I810" s="68">
        <v>0</v>
      </c>
      <c r="J810" s="68">
        <v>4876373</v>
      </c>
      <c r="K810" s="68">
        <v>0</v>
      </c>
      <c r="L810" s="68">
        <v>0</v>
      </c>
      <c r="M810" s="68">
        <v>0</v>
      </c>
      <c r="N810" s="68">
        <v>4876373</v>
      </c>
    </row>
    <row r="811" spans="1:14" ht="31" outlineLevel="2" x14ac:dyDescent="0.35">
      <c r="A811" s="77" t="s">
        <v>299</v>
      </c>
      <c r="B811" s="69" t="s">
        <v>201</v>
      </c>
      <c r="C811" s="68">
        <v>7827514</v>
      </c>
      <c r="D811" s="68">
        <v>-3261902</v>
      </c>
      <c r="E811" s="68">
        <v>0</v>
      </c>
      <c r="F811" s="68">
        <v>0</v>
      </c>
      <c r="G811" s="68">
        <v>0</v>
      </c>
      <c r="H811" s="68">
        <v>4565612</v>
      </c>
      <c r="I811" s="68">
        <v>0</v>
      </c>
      <c r="J811" s="68">
        <v>4565612</v>
      </c>
      <c r="K811" s="68">
        <v>0</v>
      </c>
      <c r="L811" s="68">
        <v>0</v>
      </c>
      <c r="M811" s="68">
        <v>0</v>
      </c>
      <c r="N811" s="68">
        <v>4565612</v>
      </c>
    </row>
    <row r="812" spans="1:14" ht="31" outlineLevel="2" x14ac:dyDescent="0.35">
      <c r="A812" s="77" t="s">
        <v>299</v>
      </c>
      <c r="B812" s="69" t="s">
        <v>200</v>
      </c>
      <c r="C812" s="68">
        <v>7443960</v>
      </c>
      <c r="D812" s="68">
        <v>-3195590</v>
      </c>
      <c r="E812" s="68">
        <v>0</v>
      </c>
      <c r="F812" s="68">
        <v>0</v>
      </c>
      <c r="G812" s="68">
        <v>0</v>
      </c>
      <c r="H812" s="68">
        <v>4248370</v>
      </c>
      <c r="I812" s="68">
        <v>0</v>
      </c>
      <c r="J812" s="68">
        <v>4248370</v>
      </c>
      <c r="K812" s="68">
        <v>0</v>
      </c>
      <c r="L812" s="68">
        <v>0</v>
      </c>
      <c r="M812" s="68">
        <v>0</v>
      </c>
      <c r="N812" s="68">
        <v>4248370</v>
      </c>
    </row>
    <row r="813" spans="1:14" ht="31" outlineLevel="1" x14ac:dyDescent="0.35">
      <c r="A813" s="77" t="s">
        <v>299</v>
      </c>
      <c r="B813" s="69" t="s">
        <v>199</v>
      </c>
      <c r="C813" s="68">
        <v>6718465</v>
      </c>
      <c r="D813" s="68">
        <v>-2777737</v>
      </c>
      <c r="E813" s="68">
        <v>0</v>
      </c>
      <c r="F813" s="68">
        <v>0</v>
      </c>
      <c r="G813" s="68">
        <v>0</v>
      </c>
      <c r="H813" s="68">
        <v>3940728</v>
      </c>
      <c r="I813" s="68">
        <v>0</v>
      </c>
      <c r="J813" s="68">
        <v>3940728</v>
      </c>
      <c r="K813" s="68">
        <v>0</v>
      </c>
      <c r="L813" s="68">
        <v>0</v>
      </c>
      <c r="M813" s="68">
        <v>0</v>
      </c>
      <c r="N813" s="68">
        <v>3940728</v>
      </c>
    </row>
    <row r="814" spans="1:14" ht="31" outlineLevel="1" x14ac:dyDescent="0.35">
      <c r="A814" s="77" t="s">
        <v>299</v>
      </c>
      <c r="B814" s="69" t="s">
        <v>198</v>
      </c>
      <c r="C814" s="68">
        <v>6188544</v>
      </c>
      <c r="D814" s="68">
        <v>-2577694</v>
      </c>
      <c r="E814" s="68">
        <v>0</v>
      </c>
      <c r="F814" s="68">
        <v>0</v>
      </c>
      <c r="G814" s="68">
        <v>0</v>
      </c>
      <c r="H814" s="68">
        <v>3610850</v>
      </c>
      <c r="I814" s="68">
        <v>0</v>
      </c>
      <c r="J814" s="68">
        <v>3610850</v>
      </c>
      <c r="K814" s="68">
        <v>0</v>
      </c>
      <c r="L814" s="68">
        <v>0</v>
      </c>
      <c r="M814" s="68">
        <v>0</v>
      </c>
      <c r="N814" s="68">
        <v>3610850</v>
      </c>
    </row>
    <row r="815" spans="1:14" ht="31" outlineLevel="2" x14ac:dyDescent="0.35">
      <c r="A815" s="77" t="s">
        <v>299</v>
      </c>
      <c r="B815" s="69" t="s">
        <v>197</v>
      </c>
      <c r="C815" s="68">
        <v>5616519</v>
      </c>
      <c r="D815" s="68">
        <v>-2372267</v>
      </c>
      <c r="E815" s="68">
        <v>0</v>
      </c>
      <c r="F815" s="68">
        <v>0</v>
      </c>
      <c r="G815" s="68">
        <v>0</v>
      </c>
      <c r="H815" s="68">
        <v>3244252</v>
      </c>
      <c r="I815" s="68">
        <v>0</v>
      </c>
      <c r="J815" s="68">
        <v>3244252</v>
      </c>
      <c r="K815" s="68">
        <v>0</v>
      </c>
      <c r="L815" s="68">
        <v>0</v>
      </c>
      <c r="M815" s="68">
        <v>0</v>
      </c>
      <c r="N815" s="68">
        <v>3244252</v>
      </c>
    </row>
    <row r="816" spans="1:14" ht="31" outlineLevel="1" x14ac:dyDescent="0.35">
      <c r="A816" s="77" t="s">
        <v>299</v>
      </c>
      <c r="B816" s="69" t="s">
        <v>196</v>
      </c>
      <c r="C816" s="68">
        <v>4924380</v>
      </c>
      <c r="D816" s="68">
        <v>-1854222</v>
      </c>
      <c r="E816" s="68">
        <v>0</v>
      </c>
      <c r="F816" s="68">
        <v>0</v>
      </c>
      <c r="G816" s="68">
        <v>0</v>
      </c>
      <c r="H816" s="68">
        <v>3070158</v>
      </c>
      <c r="I816" s="68">
        <v>0</v>
      </c>
      <c r="J816" s="68">
        <v>3070158</v>
      </c>
      <c r="K816" s="68">
        <v>0</v>
      </c>
      <c r="L816" s="68">
        <v>0</v>
      </c>
      <c r="M816" s="68">
        <v>0</v>
      </c>
      <c r="N816" s="68">
        <v>3070158</v>
      </c>
    </row>
    <row r="817" spans="1:14" ht="31" outlineLevel="2" x14ac:dyDescent="0.35">
      <c r="A817" s="77" t="s">
        <v>299</v>
      </c>
      <c r="B817" s="69" t="s">
        <v>195</v>
      </c>
      <c r="C817" s="68">
        <v>5401258</v>
      </c>
      <c r="D817" s="68">
        <v>-2570818</v>
      </c>
      <c r="E817" s="68">
        <v>0</v>
      </c>
      <c r="F817" s="68">
        <v>0</v>
      </c>
      <c r="G817" s="68">
        <v>0</v>
      </c>
      <c r="H817" s="68">
        <v>2830440</v>
      </c>
      <c r="I817" s="68">
        <v>0</v>
      </c>
      <c r="J817" s="68">
        <v>2830440</v>
      </c>
      <c r="K817" s="68">
        <v>0</v>
      </c>
      <c r="L817" s="68">
        <v>0</v>
      </c>
      <c r="M817" s="68">
        <v>0</v>
      </c>
      <c r="N817" s="68">
        <v>2830440</v>
      </c>
    </row>
    <row r="818" spans="1:14" ht="16" outlineLevel="2" thickBot="1" x14ac:dyDescent="0.4">
      <c r="A818" s="50" t="s">
        <v>116</v>
      </c>
      <c r="B818" s="67" t="s">
        <v>12</v>
      </c>
      <c r="C818" s="48">
        <f>SUBTOTAL(109,Program358[(C)
Program
Costs])</f>
        <v>113636420</v>
      </c>
      <c r="D818" s="48">
        <f>SUBTOTAL(109,Program358[(D)
Prior Period Adjustments])</f>
        <v>-46536265</v>
      </c>
      <c r="E818" s="48">
        <f>SUBTOTAL(109,Program358[(E)
Current Period Desk 
Reviews])</f>
        <v>0</v>
      </c>
      <c r="F818" s="48">
        <f>SUBTOTAL(109,Program358[(F)
Current Period 
Final 
Audits])</f>
        <v>0</v>
      </c>
      <c r="G818" s="48">
        <f>SUBTOTAL(109,Program358[(G)
Current Period 
Other Adjustments])</f>
        <v>0</v>
      </c>
      <c r="H818" s="48">
        <f>SUBTOTAL(109,Program358[(H)
Net Program Costs
Sum (C through G)])</f>
        <v>67100155</v>
      </c>
      <c r="I818" s="48">
        <f>SUBTOTAL(109,Program358[(I)
Payments
 and Offsets])</f>
        <v>0</v>
      </c>
      <c r="J818" s="48">
        <f>SUBTOTAL(109,Program358[(J)
Accounts Payable Balance
(H + I)])</f>
        <v>67100155</v>
      </c>
      <c r="K818" s="48">
        <f>SUBTOTAL(109,Program358[(K)
Established 
Accounts Receivable])</f>
        <v>0</v>
      </c>
      <c r="L818" s="48">
        <f>SUBTOTAL(109,Program358[(L)
Recovered
 Accounts Receivable])</f>
        <v>0</v>
      </c>
      <c r="M818" s="48">
        <f>SUBTOTAL(109,Program358[(M)
Accounts Receivable Balance
(K + L)])</f>
        <v>0</v>
      </c>
      <c r="N818" s="48">
        <f>SUBTOTAL(109,Program358[(N)
Net Balance
(J minus M)])</f>
        <v>67100155</v>
      </c>
    </row>
    <row r="819" spans="1:14" outlineLevel="2" x14ac:dyDescent="0.35">
      <c r="A819" s="63" t="s">
        <v>33</v>
      </c>
      <c r="B819" s="62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</row>
    <row r="820" spans="1:14" ht="77.5" outlineLevel="2" x14ac:dyDescent="0.35">
      <c r="A820" s="60" t="s">
        <v>185</v>
      </c>
      <c r="B820" s="59" t="s">
        <v>184</v>
      </c>
      <c r="C820" s="58" t="s">
        <v>183</v>
      </c>
      <c r="D820" s="58" t="s">
        <v>182</v>
      </c>
      <c r="E820" s="56" t="s">
        <v>181</v>
      </c>
      <c r="F820" s="56" t="s">
        <v>180</v>
      </c>
      <c r="G820" s="56" t="s">
        <v>179</v>
      </c>
      <c r="H820" s="57" t="s">
        <v>674</v>
      </c>
      <c r="I820" s="55" t="s">
        <v>178</v>
      </c>
      <c r="J820" s="55" t="s">
        <v>177</v>
      </c>
      <c r="K820" s="56" t="s">
        <v>176</v>
      </c>
      <c r="L820" s="55" t="s">
        <v>175</v>
      </c>
      <c r="M820" s="55" t="s">
        <v>174</v>
      </c>
      <c r="N820" s="54" t="s">
        <v>173</v>
      </c>
    </row>
    <row r="821" spans="1:14" outlineLevel="1" x14ac:dyDescent="0.35">
      <c r="A821" s="53" t="s">
        <v>298</v>
      </c>
      <c r="B821" s="66" t="s">
        <v>198</v>
      </c>
      <c r="C821" s="51">
        <v>5361077</v>
      </c>
      <c r="D821" s="51">
        <v>-63972</v>
      </c>
      <c r="E821" s="51">
        <v>0</v>
      </c>
      <c r="F821" s="51">
        <v>0</v>
      </c>
      <c r="G821" s="51">
        <v>0</v>
      </c>
      <c r="H821" s="51">
        <v>5297105</v>
      </c>
      <c r="I821" s="51">
        <v>-5297105</v>
      </c>
      <c r="J821" s="51">
        <v>0</v>
      </c>
      <c r="K821" s="51">
        <v>138</v>
      </c>
      <c r="L821" s="51">
        <v>-138</v>
      </c>
      <c r="M821" s="51">
        <v>0</v>
      </c>
      <c r="N821" s="51">
        <v>0</v>
      </c>
    </row>
    <row r="822" spans="1:14" outlineLevel="2" x14ac:dyDescent="0.35">
      <c r="A822" s="53" t="s">
        <v>298</v>
      </c>
      <c r="B822" s="66" t="s">
        <v>197</v>
      </c>
      <c r="C822" s="51">
        <v>6181584</v>
      </c>
      <c r="D822" s="51">
        <v>-98362</v>
      </c>
      <c r="E822" s="51">
        <v>0</v>
      </c>
      <c r="F822" s="51">
        <v>0</v>
      </c>
      <c r="G822" s="51">
        <v>0</v>
      </c>
      <c r="H822" s="51">
        <v>6083222</v>
      </c>
      <c r="I822" s="51">
        <v>-6083222</v>
      </c>
      <c r="J822" s="51">
        <v>0</v>
      </c>
      <c r="K822" s="51">
        <v>214181</v>
      </c>
      <c r="L822" s="51">
        <v>-212019</v>
      </c>
      <c r="M822" s="51">
        <v>2162</v>
      </c>
      <c r="N822" s="51">
        <v>-2162</v>
      </c>
    </row>
    <row r="823" spans="1:14" outlineLevel="2" x14ac:dyDescent="0.35">
      <c r="A823" s="53" t="s">
        <v>298</v>
      </c>
      <c r="B823" s="66" t="s">
        <v>196</v>
      </c>
      <c r="C823" s="51">
        <v>5900973</v>
      </c>
      <c r="D823" s="51">
        <v>-17980</v>
      </c>
      <c r="E823" s="51">
        <v>0</v>
      </c>
      <c r="F823" s="51">
        <v>0</v>
      </c>
      <c r="G823" s="51">
        <v>0</v>
      </c>
      <c r="H823" s="51">
        <v>5882993</v>
      </c>
      <c r="I823" s="51">
        <v>-5882993</v>
      </c>
      <c r="J823" s="51">
        <v>0</v>
      </c>
      <c r="K823" s="51">
        <v>216034</v>
      </c>
      <c r="L823" s="51">
        <v>-216034</v>
      </c>
      <c r="M823" s="51">
        <v>0</v>
      </c>
      <c r="N823" s="51">
        <v>0</v>
      </c>
    </row>
    <row r="824" spans="1:14" outlineLevel="2" x14ac:dyDescent="0.35">
      <c r="A824" s="53" t="s">
        <v>298</v>
      </c>
      <c r="B824" s="66" t="s">
        <v>195</v>
      </c>
      <c r="C824" s="51">
        <v>5035560</v>
      </c>
      <c r="D824" s="51">
        <v>-16548</v>
      </c>
      <c r="E824" s="51">
        <v>0</v>
      </c>
      <c r="F824" s="51">
        <v>0</v>
      </c>
      <c r="G824" s="51">
        <v>0</v>
      </c>
      <c r="H824" s="51">
        <v>5019012</v>
      </c>
      <c r="I824" s="51">
        <v>-5019012</v>
      </c>
      <c r="J824" s="51">
        <v>0</v>
      </c>
      <c r="K824" s="51">
        <v>189342</v>
      </c>
      <c r="L824" s="51">
        <v>-189342</v>
      </c>
      <c r="M824" s="51">
        <v>0</v>
      </c>
      <c r="N824" s="51">
        <v>0</v>
      </c>
    </row>
    <row r="825" spans="1:14" outlineLevel="1" x14ac:dyDescent="0.35">
      <c r="A825" s="53" t="s">
        <v>298</v>
      </c>
      <c r="B825" s="66" t="s">
        <v>194</v>
      </c>
      <c r="C825" s="51">
        <v>4020648</v>
      </c>
      <c r="D825" s="51">
        <v>-15860</v>
      </c>
      <c r="E825" s="51">
        <v>0</v>
      </c>
      <c r="F825" s="51">
        <v>0</v>
      </c>
      <c r="G825" s="51">
        <v>0</v>
      </c>
      <c r="H825" s="51">
        <v>4004788</v>
      </c>
      <c r="I825" s="51">
        <v>-4004788</v>
      </c>
      <c r="J825" s="51">
        <v>0</v>
      </c>
      <c r="K825" s="51">
        <v>38458</v>
      </c>
      <c r="L825" s="51">
        <v>-38458</v>
      </c>
      <c r="M825" s="51">
        <v>0</v>
      </c>
      <c r="N825" s="51">
        <v>0</v>
      </c>
    </row>
    <row r="826" spans="1:14" outlineLevel="1" x14ac:dyDescent="0.35">
      <c r="A826" s="53" t="s">
        <v>298</v>
      </c>
      <c r="B826" s="66" t="s">
        <v>193</v>
      </c>
      <c r="C826" s="51">
        <v>3846598</v>
      </c>
      <c r="D826" s="51">
        <v>-680141</v>
      </c>
      <c r="E826" s="51">
        <v>0</v>
      </c>
      <c r="F826" s="51">
        <v>0</v>
      </c>
      <c r="G826" s="51">
        <v>0</v>
      </c>
      <c r="H826" s="51">
        <v>3166457</v>
      </c>
      <c r="I826" s="51">
        <v>-3166457</v>
      </c>
      <c r="J826" s="51">
        <v>0</v>
      </c>
      <c r="K826" s="51">
        <v>51089</v>
      </c>
      <c r="L826" s="51">
        <v>-51089</v>
      </c>
      <c r="M826" s="51">
        <v>0</v>
      </c>
      <c r="N826" s="51">
        <v>0</v>
      </c>
    </row>
    <row r="827" spans="1:14" outlineLevel="2" x14ac:dyDescent="0.35">
      <c r="A827" s="53" t="s">
        <v>298</v>
      </c>
      <c r="B827" s="66" t="s">
        <v>192</v>
      </c>
      <c r="C827" s="51">
        <v>3101513</v>
      </c>
      <c r="D827" s="51">
        <v>-2062160</v>
      </c>
      <c r="E827" s="51">
        <v>0</v>
      </c>
      <c r="F827" s="51">
        <v>0</v>
      </c>
      <c r="G827" s="51">
        <v>0</v>
      </c>
      <c r="H827" s="51">
        <v>1039353</v>
      </c>
      <c r="I827" s="51">
        <v>-1039353</v>
      </c>
      <c r="J827" s="51">
        <v>0</v>
      </c>
      <c r="K827" s="51">
        <v>9532</v>
      </c>
      <c r="L827" s="51">
        <v>-9532</v>
      </c>
      <c r="M827" s="51">
        <v>0</v>
      </c>
      <c r="N827" s="51">
        <v>0</v>
      </c>
    </row>
    <row r="828" spans="1:14" outlineLevel="2" x14ac:dyDescent="0.35">
      <c r="A828" s="53" t="s">
        <v>298</v>
      </c>
      <c r="B828" s="66" t="s">
        <v>191</v>
      </c>
      <c r="C828" s="51">
        <v>1632084</v>
      </c>
      <c r="D828" s="51">
        <v>-1004303</v>
      </c>
      <c r="E828" s="51">
        <v>0</v>
      </c>
      <c r="F828" s="51">
        <v>0</v>
      </c>
      <c r="G828" s="51">
        <v>0</v>
      </c>
      <c r="H828" s="51">
        <v>627781</v>
      </c>
      <c r="I828" s="51">
        <v>-627781</v>
      </c>
      <c r="J828" s="51">
        <v>0</v>
      </c>
      <c r="K828" s="51">
        <v>5046</v>
      </c>
      <c r="L828" s="51">
        <v>-5046</v>
      </c>
      <c r="M828" s="51">
        <v>0</v>
      </c>
      <c r="N828" s="51">
        <v>0</v>
      </c>
    </row>
    <row r="829" spans="1:14" ht="16" outlineLevel="2" thickBot="1" x14ac:dyDescent="0.4">
      <c r="A829" s="65" t="s">
        <v>115</v>
      </c>
      <c r="B829" s="67" t="s">
        <v>12</v>
      </c>
      <c r="C829" s="48">
        <f>SUBTOTAL(109,Program161[(C)
Program
Costs])</f>
        <v>35080037</v>
      </c>
      <c r="D829" s="48">
        <f>SUBTOTAL(109,Program161[(D)
Prior Period Adjustments])</f>
        <v>-3959326</v>
      </c>
      <c r="E829" s="48">
        <f>SUBTOTAL(109,Program161[(E)
Current Period Desk 
Reviews])</f>
        <v>0</v>
      </c>
      <c r="F829" s="48">
        <f>SUBTOTAL(109,Program161[(F)
Current Period 
Final 
Audits])</f>
        <v>0</v>
      </c>
      <c r="G829" s="48">
        <f>SUBTOTAL(109,Program161[(G)
Current Period 
Other Adjustments])</f>
        <v>0</v>
      </c>
      <c r="H829" s="48">
        <f>SUBTOTAL(109,Program161[(H)
Net Program Costs
Sum (C through G)])</f>
        <v>31120711</v>
      </c>
      <c r="I829" s="48">
        <f>SUBTOTAL(109,Program161[(I)
Payments
 and Offsets])</f>
        <v>-31120711</v>
      </c>
      <c r="J829" s="48">
        <f>SUBTOTAL(109,Program161[(J)
Accounts Payable Balance
(H + I)])</f>
        <v>0</v>
      </c>
      <c r="K829" s="48">
        <f>SUBTOTAL(109,Program161[(K)
Established 
Accounts Receivable])</f>
        <v>723820</v>
      </c>
      <c r="L829" s="48">
        <f>SUBTOTAL(109,Program161[(L)
Recovered
 Accounts Receivable])</f>
        <v>-721658</v>
      </c>
      <c r="M829" s="48">
        <f>SUBTOTAL(109,Program161[(M)
Accounts Receivable Balance
(K + L)])</f>
        <v>2162</v>
      </c>
      <c r="N829" s="48">
        <f>SUBTOTAL(109,Program161[(N)
Net Balance
(J minus M)])</f>
        <v>-2162</v>
      </c>
    </row>
    <row r="830" spans="1:14" outlineLevel="2" x14ac:dyDescent="0.35">
      <c r="A830" s="63" t="s">
        <v>33</v>
      </c>
      <c r="B830" s="62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</row>
    <row r="831" spans="1:14" ht="77.5" outlineLevel="2" x14ac:dyDescent="0.35">
      <c r="A831" s="60" t="s">
        <v>185</v>
      </c>
      <c r="B831" s="59" t="s">
        <v>184</v>
      </c>
      <c r="C831" s="58" t="s">
        <v>183</v>
      </c>
      <c r="D831" s="58" t="s">
        <v>182</v>
      </c>
      <c r="E831" s="56" t="s">
        <v>181</v>
      </c>
      <c r="F831" s="56" t="s">
        <v>180</v>
      </c>
      <c r="G831" s="56" t="s">
        <v>179</v>
      </c>
      <c r="H831" s="57" t="s">
        <v>674</v>
      </c>
      <c r="I831" s="55" t="s">
        <v>178</v>
      </c>
      <c r="J831" s="55" t="s">
        <v>177</v>
      </c>
      <c r="K831" s="56" t="s">
        <v>176</v>
      </c>
      <c r="L831" s="55" t="s">
        <v>175</v>
      </c>
      <c r="M831" s="55" t="s">
        <v>174</v>
      </c>
      <c r="N831" s="54" t="s">
        <v>173</v>
      </c>
    </row>
    <row r="832" spans="1:14" outlineLevel="2" x14ac:dyDescent="0.35">
      <c r="A832" s="53" t="s">
        <v>297</v>
      </c>
      <c r="B832" s="66" t="s">
        <v>194</v>
      </c>
      <c r="C832" s="51">
        <v>65093</v>
      </c>
      <c r="D832" s="51">
        <v>0</v>
      </c>
      <c r="E832" s="51">
        <v>0</v>
      </c>
      <c r="F832" s="51">
        <v>0</v>
      </c>
      <c r="G832" s="51">
        <v>0</v>
      </c>
      <c r="H832" s="51">
        <v>65093</v>
      </c>
      <c r="I832" s="51">
        <v>-65093</v>
      </c>
      <c r="J832" s="51">
        <v>0</v>
      </c>
      <c r="K832" s="51">
        <v>0</v>
      </c>
      <c r="L832" s="51">
        <v>0</v>
      </c>
      <c r="M832" s="51">
        <v>0</v>
      </c>
      <c r="N832" s="51">
        <v>0</v>
      </c>
    </row>
    <row r="833" spans="1:14" outlineLevel="2" x14ac:dyDescent="0.35">
      <c r="A833" s="53" t="s">
        <v>297</v>
      </c>
      <c r="B833" s="66" t="s">
        <v>193</v>
      </c>
      <c r="C833" s="51">
        <v>58479</v>
      </c>
      <c r="D833" s="51">
        <v>-19707</v>
      </c>
      <c r="E833" s="51">
        <v>0</v>
      </c>
      <c r="F833" s="51">
        <v>0</v>
      </c>
      <c r="G833" s="51">
        <v>0</v>
      </c>
      <c r="H833" s="51">
        <v>38772</v>
      </c>
      <c r="I833" s="51">
        <v>-38772</v>
      </c>
      <c r="J833" s="51">
        <v>0</v>
      </c>
      <c r="K833" s="51">
        <v>0</v>
      </c>
      <c r="L833" s="51">
        <v>0</v>
      </c>
      <c r="M833" s="51">
        <v>0</v>
      </c>
      <c r="N833" s="51">
        <v>0</v>
      </c>
    </row>
    <row r="834" spans="1:14" outlineLevel="2" x14ac:dyDescent="0.35">
      <c r="A834" s="53" t="s">
        <v>297</v>
      </c>
      <c r="B834" s="66" t="s">
        <v>188</v>
      </c>
      <c r="C834" s="51">
        <v>41022</v>
      </c>
      <c r="D834" s="51">
        <v>-890</v>
      </c>
      <c r="E834" s="51">
        <v>0</v>
      </c>
      <c r="F834" s="51">
        <v>0</v>
      </c>
      <c r="G834" s="51">
        <v>0</v>
      </c>
      <c r="H834" s="51">
        <v>40132</v>
      </c>
      <c r="I834" s="51">
        <v>-40132</v>
      </c>
      <c r="J834" s="51">
        <v>0</v>
      </c>
      <c r="K834" s="51">
        <v>0</v>
      </c>
      <c r="L834" s="51">
        <v>0</v>
      </c>
      <c r="M834" s="51">
        <v>0</v>
      </c>
      <c r="N834" s="51">
        <v>0</v>
      </c>
    </row>
    <row r="835" spans="1:14" ht="16" outlineLevel="1" thickBot="1" x14ac:dyDescent="0.4">
      <c r="A835" s="50" t="s">
        <v>114</v>
      </c>
      <c r="B835" s="67" t="s">
        <v>12</v>
      </c>
      <c r="C835" s="48">
        <f>SUBTOTAL(109,Program132[(C)
Program
Costs])</f>
        <v>164594</v>
      </c>
      <c r="D835" s="48">
        <f>SUBTOTAL(109,Program132[(D)
Prior Period Adjustments])</f>
        <v>-20597</v>
      </c>
      <c r="E835" s="48">
        <f>SUBTOTAL(109,Program132[(E)
Current Period Desk 
Reviews])</f>
        <v>0</v>
      </c>
      <c r="F835" s="48">
        <f>SUBTOTAL(109,Program132[(F)
Current Period 
Final 
Audits])</f>
        <v>0</v>
      </c>
      <c r="G835" s="48">
        <f>SUBTOTAL(109,Program132[(G)
Current Period 
Other Adjustments])</f>
        <v>0</v>
      </c>
      <c r="H835" s="48">
        <f>SUBTOTAL(109,Program132[(H)
Net Program Costs
Sum (C through G)])</f>
        <v>143997</v>
      </c>
      <c r="I835" s="48">
        <f>SUBTOTAL(109,Program132[(I)
Payments
 and Offsets])</f>
        <v>-143997</v>
      </c>
      <c r="J835" s="48">
        <f>SUBTOTAL(109,Program132[(J)
Accounts Payable Balance
(H + I)])</f>
        <v>0</v>
      </c>
      <c r="K835" s="48">
        <f>SUBTOTAL(109,Program132[(K)
Established 
Accounts Receivable])</f>
        <v>0</v>
      </c>
      <c r="L835" s="48">
        <f>SUBTOTAL(109,Program132[(L)
Recovered
 Accounts Receivable])</f>
        <v>0</v>
      </c>
      <c r="M835" s="48">
        <f>SUBTOTAL(109,Program132[(M)
Accounts Receivable Balance
(K + L)])</f>
        <v>0</v>
      </c>
      <c r="N835" s="48">
        <f>SUBTOTAL(109,Program132[(N)
Net Balance
(J minus M)])</f>
        <v>0</v>
      </c>
    </row>
    <row r="836" spans="1:14" outlineLevel="1" x14ac:dyDescent="0.35">
      <c r="A836" s="63" t="s">
        <v>33</v>
      </c>
      <c r="B836" s="62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</row>
    <row r="837" spans="1:14" ht="77.5" outlineLevel="2" x14ac:dyDescent="0.35">
      <c r="A837" s="60" t="s">
        <v>185</v>
      </c>
      <c r="B837" s="59" t="s">
        <v>184</v>
      </c>
      <c r="C837" s="58" t="s">
        <v>183</v>
      </c>
      <c r="D837" s="58" t="s">
        <v>182</v>
      </c>
      <c r="E837" s="56" t="s">
        <v>181</v>
      </c>
      <c r="F837" s="56" t="s">
        <v>180</v>
      </c>
      <c r="G837" s="56" t="s">
        <v>179</v>
      </c>
      <c r="H837" s="57" t="s">
        <v>674</v>
      </c>
      <c r="I837" s="55" t="s">
        <v>178</v>
      </c>
      <c r="J837" s="55" t="s">
        <v>177</v>
      </c>
      <c r="K837" s="56" t="s">
        <v>176</v>
      </c>
      <c r="L837" s="55" t="s">
        <v>175</v>
      </c>
      <c r="M837" s="55" t="s">
        <v>174</v>
      </c>
      <c r="N837" s="54" t="s">
        <v>173</v>
      </c>
    </row>
    <row r="838" spans="1:14" ht="31" outlineLevel="2" x14ac:dyDescent="0.35">
      <c r="A838" s="77" t="s">
        <v>296</v>
      </c>
      <c r="B838" s="69" t="s">
        <v>204</v>
      </c>
      <c r="C838" s="68">
        <v>139227</v>
      </c>
      <c r="D838" s="68">
        <v>0</v>
      </c>
      <c r="E838" s="68">
        <v>0</v>
      </c>
      <c r="F838" s="68">
        <v>0</v>
      </c>
      <c r="G838" s="68">
        <v>0</v>
      </c>
      <c r="H838" s="68">
        <v>139227</v>
      </c>
      <c r="I838" s="68">
        <v>0</v>
      </c>
      <c r="J838" s="68">
        <v>139227</v>
      </c>
      <c r="K838" s="68">
        <v>0</v>
      </c>
      <c r="L838" s="68">
        <v>0</v>
      </c>
      <c r="M838" s="68">
        <v>0</v>
      </c>
      <c r="N838" s="68">
        <v>139227</v>
      </c>
    </row>
    <row r="839" spans="1:14" ht="31" outlineLevel="2" x14ac:dyDescent="0.35">
      <c r="A839" s="77" t="s">
        <v>296</v>
      </c>
      <c r="B839" s="69" t="s">
        <v>203</v>
      </c>
      <c r="C839" s="68">
        <v>134655</v>
      </c>
      <c r="D839" s="68">
        <v>0</v>
      </c>
      <c r="E839" s="68">
        <v>0</v>
      </c>
      <c r="F839" s="68">
        <v>0</v>
      </c>
      <c r="G839" s="68">
        <v>0</v>
      </c>
      <c r="H839" s="68">
        <v>134655</v>
      </c>
      <c r="I839" s="68">
        <v>0</v>
      </c>
      <c r="J839" s="68">
        <v>134655</v>
      </c>
      <c r="K839" s="68">
        <v>0</v>
      </c>
      <c r="L839" s="68">
        <v>0</v>
      </c>
      <c r="M839" s="68">
        <v>0</v>
      </c>
      <c r="N839" s="68">
        <v>134655</v>
      </c>
    </row>
    <row r="840" spans="1:14" ht="31" outlineLevel="2" x14ac:dyDescent="0.35">
      <c r="A840" s="77" t="s">
        <v>296</v>
      </c>
      <c r="B840" s="69" t="s">
        <v>202</v>
      </c>
      <c r="C840" s="68">
        <v>118831</v>
      </c>
      <c r="D840" s="68">
        <v>0</v>
      </c>
      <c r="E840" s="68">
        <v>0</v>
      </c>
      <c r="F840" s="68">
        <v>0</v>
      </c>
      <c r="G840" s="68">
        <v>0</v>
      </c>
      <c r="H840" s="68">
        <v>118831</v>
      </c>
      <c r="I840" s="68">
        <v>-118831</v>
      </c>
      <c r="J840" s="68">
        <v>0</v>
      </c>
      <c r="K840" s="68">
        <v>0</v>
      </c>
      <c r="L840" s="68">
        <v>0</v>
      </c>
      <c r="M840" s="68">
        <v>0</v>
      </c>
      <c r="N840" s="68">
        <v>0</v>
      </c>
    </row>
    <row r="841" spans="1:14" ht="31" outlineLevel="1" x14ac:dyDescent="0.35">
      <c r="A841" s="77" t="s">
        <v>296</v>
      </c>
      <c r="B841" s="69" t="s">
        <v>201</v>
      </c>
      <c r="C841" s="68">
        <v>66780</v>
      </c>
      <c r="D841" s="68">
        <v>0</v>
      </c>
      <c r="E841" s="68">
        <v>0</v>
      </c>
      <c r="F841" s="68">
        <v>0</v>
      </c>
      <c r="G841" s="68">
        <v>0</v>
      </c>
      <c r="H841" s="68">
        <v>66780</v>
      </c>
      <c r="I841" s="68">
        <v>-66780</v>
      </c>
      <c r="J841" s="68">
        <v>0</v>
      </c>
      <c r="K841" s="68">
        <v>0</v>
      </c>
      <c r="L841" s="68">
        <v>0</v>
      </c>
      <c r="M841" s="68">
        <v>0</v>
      </c>
      <c r="N841" s="68">
        <v>0</v>
      </c>
    </row>
    <row r="842" spans="1:14" ht="31" outlineLevel="1" x14ac:dyDescent="0.35">
      <c r="A842" s="77" t="s">
        <v>296</v>
      </c>
      <c r="B842" s="69" t="s">
        <v>200</v>
      </c>
      <c r="C842" s="68">
        <v>64431</v>
      </c>
      <c r="D842" s="68">
        <v>0</v>
      </c>
      <c r="E842" s="68">
        <v>0</v>
      </c>
      <c r="F842" s="68">
        <v>0</v>
      </c>
      <c r="G842" s="68">
        <v>0</v>
      </c>
      <c r="H842" s="68">
        <v>64431</v>
      </c>
      <c r="I842" s="68">
        <v>-64431</v>
      </c>
      <c r="J842" s="68">
        <v>0</v>
      </c>
      <c r="K842" s="68">
        <v>0</v>
      </c>
      <c r="L842" s="68">
        <v>0</v>
      </c>
      <c r="M842" s="68">
        <v>0</v>
      </c>
      <c r="N842" s="68">
        <v>0</v>
      </c>
    </row>
    <row r="843" spans="1:14" ht="31" outlineLevel="2" x14ac:dyDescent="0.35">
      <c r="A843" s="77" t="s">
        <v>296</v>
      </c>
      <c r="B843" s="69" t="s">
        <v>199</v>
      </c>
      <c r="C843" s="68">
        <v>137059</v>
      </c>
      <c r="D843" s="68">
        <v>0</v>
      </c>
      <c r="E843" s="68">
        <v>0</v>
      </c>
      <c r="F843" s="68">
        <v>0</v>
      </c>
      <c r="G843" s="68">
        <v>0</v>
      </c>
      <c r="H843" s="68">
        <v>137059</v>
      </c>
      <c r="I843" s="68">
        <v>-137059</v>
      </c>
      <c r="J843" s="68">
        <v>0</v>
      </c>
      <c r="K843" s="68">
        <v>0</v>
      </c>
      <c r="L843" s="68">
        <v>0</v>
      </c>
      <c r="M843" s="68">
        <v>0</v>
      </c>
      <c r="N843" s="68">
        <v>0</v>
      </c>
    </row>
    <row r="844" spans="1:14" ht="31" outlineLevel="2" x14ac:dyDescent="0.35">
      <c r="A844" s="77" t="s">
        <v>296</v>
      </c>
      <c r="B844" s="69" t="s">
        <v>198</v>
      </c>
      <c r="C844" s="68">
        <v>66009</v>
      </c>
      <c r="D844" s="68">
        <v>0</v>
      </c>
      <c r="E844" s="68">
        <v>0</v>
      </c>
      <c r="F844" s="68">
        <v>0</v>
      </c>
      <c r="G844" s="68">
        <v>0</v>
      </c>
      <c r="H844" s="68">
        <v>66009</v>
      </c>
      <c r="I844" s="68">
        <v>-66009</v>
      </c>
      <c r="J844" s="68">
        <v>0</v>
      </c>
      <c r="K844" s="68">
        <v>0</v>
      </c>
      <c r="L844" s="68">
        <v>0</v>
      </c>
      <c r="M844" s="68">
        <v>0</v>
      </c>
      <c r="N844" s="68">
        <v>0</v>
      </c>
    </row>
    <row r="845" spans="1:14" ht="31" outlineLevel="2" x14ac:dyDescent="0.35">
      <c r="A845" s="77" t="s">
        <v>296</v>
      </c>
      <c r="B845" s="69" t="s">
        <v>197</v>
      </c>
      <c r="C845" s="68">
        <v>95047</v>
      </c>
      <c r="D845" s="68">
        <v>0</v>
      </c>
      <c r="E845" s="68">
        <v>0</v>
      </c>
      <c r="F845" s="68">
        <v>0</v>
      </c>
      <c r="G845" s="68">
        <v>0</v>
      </c>
      <c r="H845" s="68">
        <v>95047</v>
      </c>
      <c r="I845" s="68">
        <v>-95047</v>
      </c>
      <c r="J845" s="68">
        <v>0</v>
      </c>
      <c r="K845" s="68">
        <v>0</v>
      </c>
      <c r="L845" s="68">
        <v>0</v>
      </c>
      <c r="M845" s="68">
        <v>0</v>
      </c>
      <c r="N845" s="68">
        <v>0</v>
      </c>
    </row>
    <row r="846" spans="1:14" ht="31" outlineLevel="1" x14ac:dyDescent="0.35">
      <c r="A846" s="77" t="s">
        <v>296</v>
      </c>
      <c r="B846" s="69" t="s">
        <v>196</v>
      </c>
      <c r="C846" s="68">
        <v>70500</v>
      </c>
      <c r="D846" s="68">
        <v>0</v>
      </c>
      <c r="E846" s="68">
        <v>0</v>
      </c>
      <c r="F846" s="68">
        <v>0</v>
      </c>
      <c r="G846" s="68">
        <v>0</v>
      </c>
      <c r="H846" s="68">
        <v>70500</v>
      </c>
      <c r="I846" s="68">
        <v>-70500</v>
      </c>
      <c r="J846" s="68">
        <v>0</v>
      </c>
      <c r="K846" s="68">
        <v>0</v>
      </c>
      <c r="L846" s="68">
        <v>0</v>
      </c>
      <c r="M846" s="68">
        <v>0</v>
      </c>
      <c r="N846" s="68">
        <v>0</v>
      </c>
    </row>
    <row r="847" spans="1:14" ht="31" outlineLevel="1" x14ac:dyDescent="0.35">
      <c r="A847" s="77" t="s">
        <v>296</v>
      </c>
      <c r="B847" s="69" t="s">
        <v>195</v>
      </c>
      <c r="C847" s="68">
        <v>73413</v>
      </c>
      <c r="D847" s="68">
        <v>0</v>
      </c>
      <c r="E847" s="68">
        <v>0</v>
      </c>
      <c r="F847" s="68">
        <v>0</v>
      </c>
      <c r="G847" s="68">
        <v>0</v>
      </c>
      <c r="H847" s="68">
        <v>73413</v>
      </c>
      <c r="I847" s="68">
        <v>-73413</v>
      </c>
      <c r="J847" s="68">
        <v>0</v>
      </c>
      <c r="K847" s="68">
        <v>0</v>
      </c>
      <c r="L847" s="68">
        <v>0</v>
      </c>
      <c r="M847" s="68">
        <v>0</v>
      </c>
      <c r="N847" s="68">
        <v>0</v>
      </c>
    </row>
    <row r="848" spans="1:14" ht="31" outlineLevel="2" x14ac:dyDescent="0.35">
      <c r="A848" s="77" t="s">
        <v>296</v>
      </c>
      <c r="B848" s="69" t="s">
        <v>194</v>
      </c>
      <c r="C848" s="68">
        <v>119112</v>
      </c>
      <c r="D848" s="68">
        <v>0</v>
      </c>
      <c r="E848" s="68">
        <v>0</v>
      </c>
      <c r="F848" s="68">
        <v>0</v>
      </c>
      <c r="G848" s="68">
        <v>0</v>
      </c>
      <c r="H848" s="68">
        <v>119112</v>
      </c>
      <c r="I848" s="68">
        <v>-119112</v>
      </c>
      <c r="J848" s="68">
        <v>0</v>
      </c>
      <c r="K848" s="68">
        <v>0</v>
      </c>
      <c r="L848" s="68">
        <v>0</v>
      </c>
      <c r="M848" s="68">
        <v>0</v>
      </c>
      <c r="N848" s="68">
        <v>0</v>
      </c>
    </row>
    <row r="849" spans="1:14" ht="31" outlineLevel="2" x14ac:dyDescent="0.35">
      <c r="A849" s="77" t="s">
        <v>296</v>
      </c>
      <c r="B849" s="69" t="s">
        <v>193</v>
      </c>
      <c r="C849" s="68">
        <v>103654</v>
      </c>
      <c r="D849" s="68">
        <v>0</v>
      </c>
      <c r="E849" s="68">
        <v>0</v>
      </c>
      <c r="F849" s="68">
        <v>0</v>
      </c>
      <c r="G849" s="68">
        <v>0</v>
      </c>
      <c r="H849" s="68">
        <v>103654</v>
      </c>
      <c r="I849" s="68">
        <v>-103654</v>
      </c>
      <c r="J849" s="68">
        <v>0</v>
      </c>
      <c r="K849" s="68">
        <v>0</v>
      </c>
      <c r="L849" s="68">
        <v>0</v>
      </c>
      <c r="M849" s="68">
        <v>0</v>
      </c>
      <c r="N849" s="68">
        <v>0</v>
      </c>
    </row>
    <row r="850" spans="1:14" ht="31" outlineLevel="2" x14ac:dyDescent="0.35">
      <c r="A850" s="77" t="s">
        <v>296</v>
      </c>
      <c r="B850" s="69" t="s">
        <v>192</v>
      </c>
      <c r="C850" s="68">
        <v>148077</v>
      </c>
      <c r="D850" s="68">
        <v>0</v>
      </c>
      <c r="E850" s="68">
        <v>0</v>
      </c>
      <c r="F850" s="68">
        <v>0</v>
      </c>
      <c r="G850" s="68">
        <v>0</v>
      </c>
      <c r="H850" s="68">
        <v>148077</v>
      </c>
      <c r="I850" s="68">
        <v>-148077</v>
      </c>
      <c r="J850" s="68">
        <v>0</v>
      </c>
      <c r="K850" s="68">
        <v>0</v>
      </c>
      <c r="L850" s="68">
        <v>0</v>
      </c>
      <c r="M850" s="68">
        <v>0</v>
      </c>
      <c r="N850" s="68">
        <v>0</v>
      </c>
    </row>
    <row r="851" spans="1:14" ht="31" outlineLevel="1" x14ac:dyDescent="0.35">
      <c r="A851" s="77" t="s">
        <v>296</v>
      </c>
      <c r="B851" s="69" t="s">
        <v>191</v>
      </c>
      <c r="C851" s="68">
        <v>116724</v>
      </c>
      <c r="D851" s="68">
        <v>0</v>
      </c>
      <c r="E851" s="68">
        <v>0</v>
      </c>
      <c r="F851" s="68">
        <v>0</v>
      </c>
      <c r="G851" s="68">
        <v>0</v>
      </c>
      <c r="H851" s="68">
        <v>116724</v>
      </c>
      <c r="I851" s="68">
        <v>-116724</v>
      </c>
      <c r="J851" s="68">
        <v>0</v>
      </c>
      <c r="K851" s="68">
        <v>25882</v>
      </c>
      <c r="L851" s="68">
        <v>-25882</v>
      </c>
      <c r="M851" s="68">
        <v>0</v>
      </c>
      <c r="N851" s="68">
        <v>0</v>
      </c>
    </row>
    <row r="852" spans="1:14" ht="31" outlineLevel="2" x14ac:dyDescent="0.35">
      <c r="A852" s="77" t="s">
        <v>296</v>
      </c>
      <c r="B852" s="69" t="s">
        <v>190</v>
      </c>
      <c r="C852" s="68">
        <v>12458</v>
      </c>
      <c r="D852" s="68">
        <v>0</v>
      </c>
      <c r="E852" s="68">
        <v>0</v>
      </c>
      <c r="F852" s="68">
        <v>0</v>
      </c>
      <c r="G852" s="68">
        <v>0</v>
      </c>
      <c r="H852" s="68">
        <v>12458</v>
      </c>
      <c r="I852" s="68">
        <v>-12458</v>
      </c>
      <c r="J852" s="68">
        <v>0</v>
      </c>
      <c r="K852" s="68">
        <v>46199</v>
      </c>
      <c r="L852" s="68">
        <v>-46199</v>
      </c>
      <c r="M852" s="68">
        <v>0</v>
      </c>
      <c r="N852" s="68">
        <v>0</v>
      </c>
    </row>
    <row r="853" spans="1:14" ht="31" outlineLevel="2" x14ac:dyDescent="0.35">
      <c r="A853" s="77" t="s">
        <v>296</v>
      </c>
      <c r="B853" s="69" t="s">
        <v>189</v>
      </c>
      <c r="C853" s="68">
        <v>16460</v>
      </c>
      <c r="D853" s="68">
        <v>0</v>
      </c>
      <c r="E853" s="68">
        <v>0</v>
      </c>
      <c r="F853" s="68">
        <v>0</v>
      </c>
      <c r="G853" s="68">
        <v>0</v>
      </c>
      <c r="H853" s="68">
        <v>16460</v>
      </c>
      <c r="I853" s="68">
        <v>-16460</v>
      </c>
      <c r="J853" s="68">
        <v>0</v>
      </c>
      <c r="K853" s="68">
        <v>0</v>
      </c>
      <c r="L853" s="68">
        <v>0</v>
      </c>
      <c r="M853" s="68">
        <v>0</v>
      </c>
      <c r="N853" s="68">
        <v>0</v>
      </c>
    </row>
    <row r="854" spans="1:14" ht="31" outlineLevel="2" x14ac:dyDescent="0.35">
      <c r="A854" s="77" t="s">
        <v>296</v>
      </c>
      <c r="B854" s="69" t="s">
        <v>188</v>
      </c>
      <c r="C854" s="68">
        <v>29372</v>
      </c>
      <c r="D854" s="68">
        <v>0</v>
      </c>
      <c r="E854" s="68">
        <v>0</v>
      </c>
      <c r="F854" s="68">
        <v>0</v>
      </c>
      <c r="G854" s="68">
        <v>0</v>
      </c>
      <c r="H854" s="68">
        <v>29372</v>
      </c>
      <c r="I854" s="68">
        <v>-29372</v>
      </c>
      <c r="J854" s="68">
        <v>0</v>
      </c>
      <c r="K854" s="68">
        <v>0</v>
      </c>
      <c r="L854" s="68">
        <v>0</v>
      </c>
      <c r="M854" s="68">
        <v>0</v>
      </c>
      <c r="N854" s="68">
        <v>0</v>
      </c>
    </row>
    <row r="855" spans="1:14" ht="31" outlineLevel="2" x14ac:dyDescent="0.35">
      <c r="A855" s="77" t="s">
        <v>296</v>
      </c>
      <c r="B855" s="69" t="s">
        <v>186</v>
      </c>
      <c r="C855" s="68">
        <v>2082</v>
      </c>
      <c r="D855" s="68">
        <v>0</v>
      </c>
      <c r="E855" s="68">
        <v>0</v>
      </c>
      <c r="F855" s="68">
        <v>0</v>
      </c>
      <c r="G855" s="68">
        <v>0</v>
      </c>
      <c r="H855" s="68">
        <v>2082</v>
      </c>
      <c r="I855" s="68">
        <v>-2082</v>
      </c>
      <c r="J855" s="68">
        <v>0</v>
      </c>
      <c r="K855" s="68">
        <v>0</v>
      </c>
      <c r="L855" s="68">
        <v>0</v>
      </c>
      <c r="M855" s="68">
        <v>0</v>
      </c>
      <c r="N855" s="68">
        <v>0</v>
      </c>
    </row>
    <row r="856" spans="1:14" ht="16" outlineLevel="2" thickBot="1" x14ac:dyDescent="0.4">
      <c r="A856" s="50" t="s">
        <v>113</v>
      </c>
      <c r="B856" s="67" t="s">
        <v>12</v>
      </c>
      <c r="C856" s="48">
        <f>SUBTOTAL(109,Program35[(C)
Program
Costs])</f>
        <v>1513891</v>
      </c>
      <c r="D856" s="48">
        <f>SUBTOTAL(109,Program35[(D)
Prior Period Adjustments])</f>
        <v>0</v>
      </c>
      <c r="E856" s="48">
        <f>SUBTOTAL(109,Program35[(E)
Current Period Desk 
Reviews])</f>
        <v>0</v>
      </c>
      <c r="F856" s="48">
        <f>SUBTOTAL(109,Program35[(F)
Current Period 
Final 
Audits])</f>
        <v>0</v>
      </c>
      <c r="G856" s="48">
        <f>SUBTOTAL(109,Program35[(G)
Current Period 
Other Adjustments])</f>
        <v>0</v>
      </c>
      <c r="H856" s="48">
        <f>SUBTOTAL(109,Program35[(H)
Net Program Costs
Sum (C through G)])</f>
        <v>1513891</v>
      </c>
      <c r="I856" s="48">
        <f>SUBTOTAL(109,Program35[(I)
Payments
 and Offsets])</f>
        <v>-1240009</v>
      </c>
      <c r="J856" s="48">
        <f>SUBTOTAL(109,Program35[(J)
Accounts Payable Balance
(H + I)])</f>
        <v>273882</v>
      </c>
      <c r="K856" s="48">
        <f>SUBTOTAL(109,Program35[(K)
Established 
Accounts Receivable])</f>
        <v>72081</v>
      </c>
      <c r="L856" s="48">
        <f>SUBTOTAL(109,Program35[(L)
Recovered
 Accounts Receivable])</f>
        <v>-72081</v>
      </c>
      <c r="M856" s="48">
        <f>SUBTOTAL(109,Program35[(M)
Accounts Receivable Balance
(K + L)])</f>
        <v>0</v>
      </c>
      <c r="N856" s="48">
        <f>SUBTOTAL(109,Program35[(N)
Net Balance
(J minus M)])</f>
        <v>273882</v>
      </c>
    </row>
    <row r="857" spans="1:14" outlineLevel="1" x14ac:dyDescent="0.35">
      <c r="A857" s="63" t="s">
        <v>33</v>
      </c>
      <c r="B857" s="62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</row>
    <row r="858" spans="1:14" ht="77.5" outlineLevel="2" x14ac:dyDescent="0.35">
      <c r="A858" s="60" t="s">
        <v>185</v>
      </c>
      <c r="B858" s="59" t="s">
        <v>184</v>
      </c>
      <c r="C858" s="58" t="s">
        <v>183</v>
      </c>
      <c r="D858" s="58" t="s">
        <v>182</v>
      </c>
      <c r="E858" s="56" t="s">
        <v>181</v>
      </c>
      <c r="F858" s="56" t="s">
        <v>180</v>
      </c>
      <c r="G858" s="56" t="s">
        <v>179</v>
      </c>
      <c r="H858" s="57" t="s">
        <v>674</v>
      </c>
      <c r="I858" s="55" t="s">
        <v>178</v>
      </c>
      <c r="J858" s="55" t="s">
        <v>177</v>
      </c>
      <c r="K858" s="56" t="s">
        <v>176</v>
      </c>
      <c r="L858" s="55" t="s">
        <v>175</v>
      </c>
      <c r="M858" s="55" t="s">
        <v>174</v>
      </c>
      <c r="N858" s="54" t="s">
        <v>173</v>
      </c>
    </row>
    <row r="859" spans="1:14" ht="31" outlineLevel="2" x14ac:dyDescent="0.35">
      <c r="A859" s="77" t="s">
        <v>295</v>
      </c>
      <c r="B859" s="69" t="s">
        <v>198</v>
      </c>
      <c r="C859" s="68">
        <v>141208</v>
      </c>
      <c r="D859" s="68">
        <v>-5545</v>
      </c>
      <c r="E859" s="68">
        <v>0</v>
      </c>
      <c r="F859" s="68">
        <v>0</v>
      </c>
      <c r="G859" s="68">
        <v>0</v>
      </c>
      <c r="H859" s="68">
        <v>135663</v>
      </c>
      <c r="I859" s="68">
        <v>-135663</v>
      </c>
      <c r="J859" s="68">
        <v>0</v>
      </c>
      <c r="K859" s="68">
        <v>0</v>
      </c>
      <c r="L859" s="68">
        <v>0</v>
      </c>
      <c r="M859" s="68">
        <v>0</v>
      </c>
      <c r="N859" s="68">
        <v>0</v>
      </c>
    </row>
    <row r="860" spans="1:14" ht="31" outlineLevel="2" x14ac:dyDescent="0.35">
      <c r="A860" s="77" t="s">
        <v>295</v>
      </c>
      <c r="B860" s="69" t="s">
        <v>197</v>
      </c>
      <c r="C860" s="68">
        <v>33156</v>
      </c>
      <c r="D860" s="68">
        <v>0</v>
      </c>
      <c r="E860" s="68">
        <v>0</v>
      </c>
      <c r="F860" s="68">
        <v>0</v>
      </c>
      <c r="G860" s="68">
        <v>0</v>
      </c>
      <c r="H860" s="68">
        <v>33156</v>
      </c>
      <c r="I860" s="68">
        <v>-33156</v>
      </c>
      <c r="J860" s="68">
        <v>0</v>
      </c>
      <c r="K860" s="68">
        <v>0</v>
      </c>
      <c r="L860" s="68">
        <v>0</v>
      </c>
      <c r="M860" s="68">
        <v>0</v>
      </c>
      <c r="N860" s="68">
        <v>0</v>
      </c>
    </row>
    <row r="861" spans="1:14" ht="31" outlineLevel="2" x14ac:dyDescent="0.35">
      <c r="A861" s="77" t="s">
        <v>295</v>
      </c>
      <c r="B861" s="69" t="s">
        <v>196</v>
      </c>
      <c r="C861" s="68">
        <v>146421</v>
      </c>
      <c r="D861" s="68">
        <v>-2688</v>
      </c>
      <c r="E861" s="68">
        <v>0</v>
      </c>
      <c r="F861" s="68">
        <v>0</v>
      </c>
      <c r="G861" s="68">
        <v>0</v>
      </c>
      <c r="H861" s="68">
        <v>143733</v>
      </c>
      <c r="I861" s="68">
        <v>-143733</v>
      </c>
      <c r="J861" s="68">
        <v>0</v>
      </c>
      <c r="K861" s="68">
        <v>0</v>
      </c>
      <c r="L861" s="68">
        <v>0</v>
      </c>
      <c r="M861" s="68">
        <v>0</v>
      </c>
      <c r="N861" s="68">
        <v>0</v>
      </c>
    </row>
    <row r="862" spans="1:14" ht="31" outlineLevel="2" x14ac:dyDescent="0.35">
      <c r="A862" s="77" t="s">
        <v>295</v>
      </c>
      <c r="B862" s="69" t="s">
        <v>195</v>
      </c>
      <c r="C862" s="68">
        <v>256387</v>
      </c>
      <c r="D862" s="68">
        <v>-1259</v>
      </c>
      <c r="E862" s="68">
        <v>0</v>
      </c>
      <c r="F862" s="68">
        <v>0</v>
      </c>
      <c r="G862" s="68">
        <v>0</v>
      </c>
      <c r="H862" s="68">
        <v>255128</v>
      </c>
      <c r="I862" s="68">
        <v>-255128</v>
      </c>
      <c r="J862" s="68">
        <v>0</v>
      </c>
      <c r="K862" s="68">
        <v>0</v>
      </c>
      <c r="L862" s="68">
        <v>0</v>
      </c>
      <c r="M862" s="68">
        <v>0</v>
      </c>
      <c r="N862" s="68">
        <v>0</v>
      </c>
    </row>
    <row r="863" spans="1:14" ht="31" outlineLevel="2" x14ac:dyDescent="0.35">
      <c r="A863" s="77" t="s">
        <v>295</v>
      </c>
      <c r="B863" s="69" t="s">
        <v>194</v>
      </c>
      <c r="C863" s="68">
        <v>233074</v>
      </c>
      <c r="D863" s="68">
        <v>-2419</v>
      </c>
      <c r="E863" s="68">
        <v>0</v>
      </c>
      <c r="F863" s="68">
        <v>0</v>
      </c>
      <c r="G863" s="68">
        <v>0</v>
      </c>
      <c r="H863" s="68">
        <v>230655</v>
      </c>
      <c r="I863" s="68">
        <v>-230655</v>
      </c>
      <c r="J863" s="68">
        <v>0</v>
      </c>
      <c r="K863" s="68">
        <v>0</v>
      </c>
      <c r="L863" s="68">
        <v>0</v>
      </c>
      <c r="M863" s="68">
        <v>0</v>
      </c>
      <c r="N863" s="68">
        <v>0</v>
      </c>
    </row>
    <row r="864" spans="1:14" ht="31" outlineLevel="2" x14ac:dyDescent="0.35">
      <c r="A864" s="77" t="s">
        <v>295</v>
      </c>
      <c r="B864" s="69" t="s">
        <v>193</v>
      </c>
      <c r="C864" s="68">
        <v>582579</v>
      </c>
      <c r="D864" s="68">
        <v>-2699</v>
      </c>
      <c r="E864" s="68">
        <v>0</v>
      </c>
      <c r="F864" s="68">
        <v>0</v>
      </c>
      <c r="G864" s="68">
        <v>0</v>
      </c>
      <c r="H864" s="68">
        <v>579880</v>
      </c>
      <c r="I864" s="68">
        <v>-579880</v>
      </c>
      <c r="J864" s="68">
        <v>0</v>
      </c>
      <c r="K864" s="68">
        <v>0</v>
      </c>
      <c r="L864" s="68">
        <v>0</v>
      </c>
      <c r="M864" s="68">
        <v>0</v>
      </c>
      <c r="N864" s="68">
        <v>0</v>
      </c>
    </row>
    <row r="865" spans="1:14" ht="31" outlineLevel="2" x14ac:dyDescent="0.35">
      <c r="A865" s="77" t="s">
        <v>295</v>
      </c>
      <c r="B865" s="69" t="s">
        <v>192</v>
      </c>
      <c r="C865" s="68">
        <v>1406450</v>
      </c>
      <c r="D865" s="68">
        <v>-6273</v>
      </c>
      <c r="E865" s="68">
        <v>0</v>
      </c>
      <c r="F865" s="68">
        <v>0</v>
      </c>
      <c r="G865" s="68">
        <v>0</v>
      </c>
      <c r="H865" s="68">
        <v>1400177</v>
      </c>
      <c r="I865" s="68">
        <v>-1400177</v>
      </c>
      <c r="J865" s="68">
        <v>0</v>
      </c>
      <c r="K865" s="68">
        <v>0</v>
      </c>
      <c r="L865" s="68">
        <v>0</v>
      </c>
      <c r="M865" s="68">
        <v>0</v>
      </c>
      <c r="N865" s="68">
        <v>0</v>
      </c>
    </row>
    <row r="866" spans="1:14" ht="31" outlineLevel="1" x14ac:dyDescent="0.35">
      <c r="A866" s="77" t="s">
        <v>295</v>
      </c>
      <c r="B866" s="69" t="s">
        <v>191</v>
      </c>
      <c r="C866" s="68">
        <v>506</v>
      </c>
      <c r="D866" s="68">
        <v>-506</v>
      </c>
      <c r="E866" s="68">
        <v>0</v>
      </c>
      <c r="F866" s="68">
        <v>0</v>
      </c>
      <c r="G866" s="68">
        <v>0</v>
      </c>
      <c r="H866" s="68">
        <v>0</v>
      </c>
      <c r="I866" s="68">
        <v>0</v>
      </c>
      <c r="J866" s="68">
        <v>0</v>
      </c>
      <c r="K866" s="68">
        <v>0</v>
      </c>
      <c r="L866" s="68">
        <v>0</v>
      </c>
      <c r="M866" s="68">
        <v>0</v>
      </c>
      <c r="N866" s="68">
        <v>0</v>
      </c>
    </row>
    <row r="867" spans="1:14" ht="16" outlineLevel="1" thickBot="1" x14ac:dyDescent="0.4">
      <c r="A867" s="50" t="s">
        <v>112</v>
      </c>
      <c r="B867" s="67" t="s">
        <v>12</v>
      </c>
      <c r="C867" s="48">
        <f>SUBTOTAL(109,Program193[(C)
Program
Costs])</f>
        <v>2799781</v>
      </c>
      <c r="D867" s="48">
        <f>SUBTOTAL(109,Program193[(D)
Prior Period Adjustments])</f>
        <v>-21389</v>
      </c>
      <c r="E867" s="48">
        <f>SUBTOTAL(109,Program193[(E)
Current Period Desk 
Reviews])</f>
        <v>0</v>
      </c>
      <c r="F867" s="48">
        <f>SUBTOTAL(109,Program193[(F)
Current Period 
Final 
Audits])</f>
        <v>0</v>
      </c>
      <c r="G867" s="48">
        <f>SUBTOTAL(109,Program193[(G)
Current Period 
Other Adjustments])</f>
        <v>0</v>
      </c>
      <c r="H867" s="48">
        <f>SUBTOTAL(109,Program193[(H)
Net Program Costs
Sum (C through G)])</f>
        <v>2778392</v>
      </c>
      <c r="I867" s="48">
        <f>SUBTOTAL(109,Program193[(I)
Payments
 and Offsets])</f>
        <v>-2778392</v>
      </c>
      <c r="J867" s="48">
        <f>SUBTOTAL(109,Program193[(J)
Accounts Payable Balance
(H + I)])</f>
        <v>0</v>
      </c>
      <c r="K867" s="48">
        <f>SUBTOTAL(109,Program193[(K)
Established 
Accounts Receivable])</f>
        <v>0</v>
      </c>
      <c r="L867" s="48">
        <f>SUBTOTAL(109,Program193[(L)
Recovered
 Accounts Receivable])</f>
        <v>0</v>
      </c>
      <c r="M867" s="48">
        <f>SUBTOTAL(109,Program193[(M)
Accounts Receivable Balance
(K + L)])</f>
        <v>0</v>
      </c>
      <c r="N867" s="48">
        <f>SUBTOTAL(109,Program193[(N)
Net Balance
(J minus M)])</f>
        <v>0</v>
      </c>
    </row>
    <row r="868" spans="1:14" outlineLevel="2" x14ac:dyDescent="0.35">
      <c r="A868" s="63" t="s">
        <v>33</v>
      </c>
      <c r="B868" s="62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</row>
    <row r="869" spans="1:14" ht="77.5" outlineLevel="1" x14ac:dyDescent="0.35">
      <c r="A869" s="60" t="s">
        <v>185</v>
      </c>
      <c r="B869" s="59" t="s">
        <v>184</v>
      </c>
      <c r="C869" s="58" t="s">
        <v>183</v>
      </c>
      <c r="D869" s="58" t="s">
        <v>182</v>
      </c>
      <c r="E869" s="56" t="s">
        <v>181</v>
      </c>
      <c r="F869" s="56" t="s">
        <v>180</v>
      </c>
      <c r="G869" s="56" t="s">
        <v>179</v>
      </c>
      <c r="H869" s="57" t="s">
        <v>674</v>
      </c>
      <c r="I869" s="55" t="s">
        <v>178</v>
      </c>
      <c r="J869" s="55" t="s">
        <v>177</v>
      </c>
      <c r="K869" s="56" t="s">
        <v>176</v>
      </c>
      <c r="L869" s="55" t="s">
        <v>175</v>
      </c>
      <c r="M869" s="55" t="s">
        <v>174</v>
      </c>
      <c r="N869" s="54" t="s">
        <v>173</v>
      </c>
    </row>
    <row r="870" spans="1:14" ht="31" outlineLevel="2" x14ac:dyDescent="0.35">
      <c r="A870" s="77" t="s">
        <v>294</v>
      </c>
      <c r="B870" s="69" t="s">
        <v>215</v>
      </c>
      <c r="C870" s="68">
        <v>201582</v>
      </c>
      <c r="D870" s="68">
        <v>0</v>
      </c>
      <c r="E870" s="68">
        <v>0</v>
      </c>
      <c r="F870" s="68">
        <v>0</v>
      </c>
      <c r="G870" s="68">
        <v>0</v>
      </c>
      <c r="H870" s="68">
        <v>201582</v>
      </c>
      <c r="I870" s="68">
        <v>0</v>
      </c>
      <c r="J870" s="68">
        <v>201582</v>
      </c>
      <c r="K870" s="68">
        <v>0</v>
      </c>
      <c r="L870" s="68">
        <v>0</v>
      </c>
      <c r="M870" s="68">
        <v>0</v>
      </c>
      <c r="N870" s="68">
        <v>201582</v>
      </c>
    </row>
    <row r="871" spans="1:14" ht="31" outlineLevel="2" x14ac:dyDescent="0.35">
      <c r="A871" s="77" t="s">
        <v>294</v>
      </c>
      <c r="B871" s="69" t="s">
        <v>214</v>
      </c>
      <c r="C871" s="68">
        <v>497500</v>
      </c>
      <c r="D871" s="68">
        <v>0</v>
      </c>
      <c r="E871" s="68">
        <v>0</v>
      </c>
      <c r="F871" s="68">
        <v>0</v>
      </c>
      <c r="G871" s="68">
        <v>-12855</v>
      </c>
      <c r="H871" s="68">
        <v>484645</v>
      </c>
      <c r="I871" s="68">
        <v>0</v>
      </c>
      <c r="J871" s="68">
        <v>484645</v>
      </c>
      <c r="K871" s="68">
        <v>0</v>
      </c>
      <c r="L871" s="68">
        <v>0</v>
      </c>
      <c r="M871" s="68">
        <v>0</v>
      </c>
      <c r="N871" s="68">
        <v>484645</v>
      </c>
    </row>
    <row r="872" spans="1:14" ht="31" outlineLevel="2" x14ac:dyDescent="0.35">
      <c r="A872" s="77" t="s">
        <v>294</v>
      </c>
      <c r="B872" s="69" t="s">
        <v>212</v>
      </c>
      <c r="C872" s="68">
        <v>106277</v>
      </c>
      <c r="D872" s="68">
        <v>0</v>
      </c>
      <c r="E872" s="68">
        <v>0</v>
      </c>
      <c r="F872" s="68">
        <v>0</v>
      </c>
      <c r="G872" s="68">
        <v>0</v>
      </c>
      <c r="H872" s="68">
        <v>106277</v>
      </c>
      <c r="I872" s="68">
        <v>0</v>
      </c>
      <c r="J872" s="68">
        <v>106277</v>
      </c>
      <c r="K872" s="68">
        <v>0</v>
      </c>
      <c r="L872" s="68">
        <v>0</v>
      </c>
      <c r="M872" s="68">
        <v>0</v>
      </c>
      <c r="N872" s="68">
        <v>106277</v>
      </c>
    </row>
    <row r="873" spans="1:14" ht="31" outlineLevel="2" x14ac:dyDescent="0.35">
      <c r="A873" s="77" t="s">
        <v>294</v>
      </c>
      <c r="B873" s="69" t="s">
        <v>220</v>
      </c>
      <c r="C873" s="68">
        <v>532224</v>
      </c>
      <c r="D873" s="68">
        <v>0</v>
      </c>
      <c r="E873" s="68">
        <v>0</v>
      </c>
      <c r="F873" s="68">
        <v>0</v>
      </c>
      <c r="G873" s="68">
        <v>0</v>
      </c>
      <c r="H873" s="68">
        <v>532224</v>
      </c>
      <c r="I873" s="68">
        <v>0</v>
      </c>
      <c r="J873" s="68">
        <v>532224</v>
      </c>
      <c r="K873" s="68">
        <v>0</v>
      </c>
      <c r="L873" s="68">
        <v>0</v>
      </c>
      <c r="M873" s="68">
        <v>0</v>
      </c>
      <c r="N873" s="68">
        <v>532224</v>
      </c>
    </row>
    <row r="874" spans="1:14" ht="16" outlineLevel="2" thickBot="1" x14ac:dyDescent="0.4">
      <c r="A874" s="50" t="s">
        <v>111</v>
      </c>
      <c r="B874" s="67" t="s">
        <v>12</v>
      </c>
      <c r="C874" s="48">
        <f>SUBTOTAL(109,Program371[(C)
Program
Costs])</f>
        <v>1337583</v>
      </c>
      <c r="D874" s="48">
        <f>SUBTOTAL(109,Program371[(D)
Prior Period Adjustments])</f>
        <v>0</v>
      </c>
      <c r="E874" s="48">
        <f>SUBTOTAL(109,Program371[(E)
Current Period Desk 
Reviews])</f>
        <v>0</v>
      </c>
      <c r="F874" s="48">
        <f>SUBTOTAL(109,Program371[(F)
Current Period 
Final 
Audits])</f>
        <v>0</v>
      </c>
      <c r="G874" s="48">
        <f>SUBTOTAL(109,Program371[(G)
Current Period 
Other Adjustments])</f>
        <v>-12855</v>
      </c>
      <c r="H874" s="48">
        <f>SUBTOTAL(109,Program371[(H)
Net Program Costs
Sum (C through G)])</f>
        <v>1324728</v>
      </c>
      <c r="I874" s="48">
        <f>SUBTOTAL(109,Program371[(I)
Payments
 and Offsets])</f>
        <v>0</v>
      </c>
      <c r="J874" s="48">
        <f>SUBTOTAL(109,Program371[(J)
Accounts Payable Balance
(H + I)])</f>
        <v>1324728</v>
      </c>
      <c r="K874" s="48">
        <f>SUBTOTAL(109,Program371[(K)
Established 
Accounts Receivable])</f>
        <v>0</v>
      </c>
      <c r="L874" s="48">
        <f>SUBTOTAL(109,Program371[(L)
Recovered
 Accounts Receivable])</f>
        <v>0</v>
      </c>
      <c r="M874" s="48">
        <f>SUBTOTAL(109,Program371[(M)
Accounts Receivable Balance
(K + L)])</f>
        <v>0</v>
      </c>
      <c r="N874" s="48">
        <f>SUBTOTAL(109,Program371[(N)
Net Balance
(J minus M)])</f>
        <v>1324728</v>
      </c>
    </row>
    <row r="875" spans="1:14" outlineLevel="2" x14ac:dyDescent="0.35">
      <c r="A875" s="63" t="s">
        <v>33</v>
      </c>
      <c r="B875" s="62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</row>
    <row r="876" spans="1:14" ht="77.5" outlineLevel="2" x14ac:dyDescent="0.35">
      <c r="A876" s="60" t="s">
        <v>185</v>
      </c>
      <c r="B876" s="59" t="s">
        <v>184</v>
      </c>
      <c r="C876" s="58" t="s">
        <v>183</v>
      </c>
      <c r="D876" s="58" t="s">
        <v>182</v>
      </c>
      <c r="E876" s="56" t="s">
        <v>181</v>
      </c>
      <c r="F876" s="56" t="s">
        <v>180</v>
      </c>
      <c r="G876" s="56" t="s">
        <v>179</v>
      </c>
      <c r="H876" s="57" t="s">
        <v>674</v>
      </c>
      <c r="I876" s="55" t="s">
        <v>178</v>
      </c>
      <c r="J876" s="55" t="s">
        <v>177</v>
      </c>
      <c r="K876" s="56" t="s">
        <v>176</v>
      </c>
      <c r="L876" s="55" t="s">
        <v>175</v>
      </c>
      <c r="M876" s="55" t="s">
        <v>174</v>
      </c>
      <c r="N876" s="54" t="s">
        <v>173</v>
      </c>
    </row>
    <row r="877" spans="1:14" outlineLevel="2" x14ac:dyDescent="0.35">
      <c r="A877" s="53" t="s">
        <v>293</v>
      </c>
      <c r="B877" s="66" t="s">
        <v>215</v>
      </c>
      <c r="C877" s="51">
        <v>16200</v>
      </c>
      <c r="D877" s="51">
        <v>0</v>
      </c>
      <c r="E877" s="51">
        <v>0</v>
      </c>
      <c r="F877" s="51">
        <v>0</v>
      </c>
      <c r="G877" s="51">
        <v>0</v>
      </c>
      <c r="H877" s="51">
        <v>16200</v>
      </c>
      <c r="I877" s="51">
        <v>0</v>
      </c>
      <c r="J877" s="51">
        <v>16200</v>
      </c>
      <c r="K877" s="51">
        <v>0</v>
      </c>
      <c r="L877" s="51">
        <v>0</v>
      </c>
      <c r="M877" s="51">
        <v>0</v>
      </c>
      <c r="N877" s="51">
        <v>16200</v>
      </c>
    </row>
    <row r="878" spans="1:14" outlineLevel="1" x14ac:dyDescent="0.35">
      <c r="A878" s="53" t="s">
        <v>293</v>
      </c>
      <c r="B878" s="66" t="s">
        <v>214</v>
      </c>
      <c r="C878" s="51">
        <v>22562</v>
      </c>
      <c r="D878" s="51">
        <v>0</v>
      </c>
      <c r="E878" s="51">
        <v>0</v>
      </c>
      <c r="F878" s="51">
        <v>0</v>
      </c>
      <c r="G878" s="51">
        <v>0</v>
      </c>
      <c r="H878" s="51">
        <v>22562</v>
      </c>
      <c r="I878" s="51">
        <v>-22562</v>
      </c>
      <c r="J878" s="51">
        <v>0</v>
      </c>
      <c r="K878" s="51">
        <v>0</v>
      </c>
      <c r="L878" s="51">
        <v>0</v>
      </c>
      <c r="M878" s="51">
        <v>0</v>
      </c>
      <c r="N878" s="51">
        <v>0</v>
      </c>
    </row>
    <row r="879" spans="1:14" s="71" customFormat="1" outlineLevel="1" x14ac:dyDescent="0.35">
      <c r="A879" s="53" t="s">
        <v>293</v>
      </c>
      <c r="B879" s="66" t="s">
        <v>212</v>
      </c>
      <c r="C879" s="51">
        <v>5192</v>
      </c>
      <c r="D879" s="51">
        <v>0</v>
      </c>
      <c r="E879" s="51">
        <v>0</v>
      </c>
      <c r="F879" s="51">
        <v>0</v>
      </c>
      <c r="G879" s="51">
        <v>0</v>
      </c>
      <c r="H879" s="51">
        <v>5192</v>
      </c>
      <c r="I879" s="51">
        <v>-5192</v>
      </c>
      <c r="J879" s="51">
        <v>0</v>
      </c>
      <c r="K879" s="51">
        <v>0</v>
      </c>
      <c r="L879" s="51">
        <v>0</v>
      </c>
      <c r="M879" s="51">
        <v>0</v>
      </c>
      <c r="N879" s="51">
        <v>0</v>
      </c>
    </row>
    <row r="880" spans="1:14" outlineLevel="2" x14ac:dyDescent="0.35">
      <c r="A880" s="53" t="s">
        <v>293</v>
      </c>
      <c r="B880" s="66" t="s">
        <v>220</v>
      </c>
      <c r="C880" s="51">
        <v>1037</v>
      </c>
      <c r="D880" s="51">
        <v>0</v>
      </c>
      <c r="E880" s="51">
        <v>0</v>
      </c>
      <c r="F880" s="51">
        <v>0</v>
      </c>
      <c r="G880" s="51">
        <v>0</v>
      </c>
      <c r="H880" s="51">
        <v>1037</v>
      </c>
      <c r="I880" s="51">
        <v>-1037</v>
      </c>
      <c r="J880" s="51">
        <v>0</v>
      </c>
      <c r="K880" s="51">
        <v>0</v>
      </c>
      <c r="L880" s="51">
        <v>0</v>
      </c>
      <c r="M880" s="51">
        <v>0</v>
      </c>
      <c r="N880" s="51">
        <v>0</v>
      </c>
    </row>
    <row r="881" spans="1:14" outlineLevel="2" x14ac:dyDescent="0.35">
      <c r="A881" s="53" t="s">
        <v>293</v>
      </c>
      <c r="B881" s="66" t="s">
        <v>219</v>
      </c>
      <c r="C881" s="51">
        <v>4758</v>
      </c>
      <c r="D881" s="51">
        <v>0</v>
      </c>
      <c r="E881" s="51">
        <v>0</v>
      </c>
      <c r="F881" s="51">
        <v>0</v>
      </c>
      <c r="G881" s="51">
        <v>0</v>
      </c>
      <c r="H881" s="51">
        <v>4758</v>
      </c>
      <c r="I881" s="51">
        <v>-4758</v>
      </c>
      <c r="J881" s="51">
        <v>0</v>
      </c>
      <c r="K881" s="51">
        <v>0</v>
      </c>
      <c r="L881" s="51">
        <v>0</v>
      </c>
      <c r="M881" s="51">
        <v>0</v>
      </c>
      <c r="N881" s="51">
        <v>0</v>
      </c>
    </row>
    <row r="882" spans="1:14" outlineLevel="2" x14ac:dyDescent="0.35">
      <c r="A882" s="53" t="s">
        <v>293</v>
      </c>
      <c r="B882" s="66" t="s">
        <v>218</v>
      </c>
      <c r="C882" s="51">
        <v>2615</v>
      </c>
      <c r="D882" s="51">
        <v>-2615</v>
      </c>
      <c r="E882" s="51">
        <v>0</v>
      </c>
      <c r="F882" s="51">
        <v>0</v>
      </c>
      <c r="G882" s="51">
        <v>0</v>
      </c>
      <c r="H882" s="51">
        <v>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0</v>
      </c>
    </row>
    <row r="883" spans="1:14" outlineLevel="2" x14ac:dyDescent="0.35">
      <c r="A883" s="53" t="s">
        <v>293</v>
      </c>
      <c r="B883" s="66" t="s">
        <v>209</v>
      </c>
      <c r="C883" s="51">
        <v>8868</v>
      </c>
      <c r="D883" s="51">
        <v>-8868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>
        <v>0</v>
      </c>
      <c r="L883" s="51">
        <v>0</v>
      </c>
      <c r="M883" s="51">
        <v>0</v>
      </c>
      <c r="N883" s="51">
        <v>0</v>
      </c>
    </row>
    <row r="884" spans="1:14" outlineLevel="2" x14ac:dyDescent="0.35">
      <c r="A884" s="53" t="s">
        <v>293</v>
      </c>
      <c r="B884" s="66" t="s">
        <v>208</v>
      </c>
      <c r="C884" s="51">
        <v>21195</v>
      </c>
      <c r="D884" s="51">
        <v>-21195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0</v>
      </c>
      <c r="N884" s="51">
        <v>0</v>
      </c>
    </row>
    <row r="885" spans="1:14" outlineLevel="1" x14ac:dyDescent="0.35">
      <c r="A885" s="53" t="s">
        <v>293</v>
      </c>
      <c r="B885" s="66" t="s">
        <v>206</v>
      </c>
      <c r="C885" s="51">
        <v>3698</v>
      </c>
      <c r="D885" s="51">
        <v>-3698</v>
      </c>
      <c r="E885" s="51">
        <v>0</v>
      </c>
      <c r="F885" s="51">
        <v>0</v>
      </c>
      <c r="G885" s="51">
        <v>0</v>
      </c>
      <c r="H885" s="51">
        <v>0</v>
      </c>
      <c r="I885" s="51">
        <v>0</v>
      </c>
      <c r="J885" s="51">
        <v>0</v>
      </c>
      <c r="K885" s="51">
        <v>0</v>
      </c>
      <c r="L885" s="51">
        <v>0</v>
      </c>
      <c r="M885" s="51">
        <v>0</v>
      </c>
      <c r="N885" s="51">
        <v>0</v>
      </c>
    </row>
    <row r="886" spans="1:14" outlineLevel="2" x14ac:dyDescent="0.35">
      <c r="A886" s="53" t="s">
        <v>293</v>
      </c>
      <c r="B886" s="66" t="s">
        <v>202</v>
      </c>
      <c r="C886" s="51">
        <v>5337</v>
      </c>
      <c r="D886" s="51">
        <v>-5337</v>
      </c>
      <c r="E886" s="51">
        <v>0</v>
      </c>
      <c r="F886" s="51">
        <v>0</v>
      </c>
      <c r="G886" s="51">
        <v>0</v>
      </c>
      <c r="H886" s="51">
        <v>0</v>
      </c>
      <c r="I886" s="51">
        <v>0</v>
      </c>
      <c r="J886" s="51">
        <v>0</v>
      </c>
      <c r="K886" s="51">
        <v>0</v>
      </c>
      <c r="L886" s="51">
        <v>0</v>
      </c>
      <c r="M886" s="51">
        <v>0</v>
      </c>
      <c r="N886" s="51">
        <v>0</v>
      </c>
    </row>
    <row r="887" spans="1:14" ht="16" outlineLevel="2" thickBot="1" x14ac:dyDescent="0.4">
      <c r="A887" s="50" t="s">
        <v>110</v>
      </c>
      <c r="B887" s="67" t="s">
        <v>12</v>
      </c>
      <c r="C887" s="48">
        <f>SUBTOTAL(109,Program334[(C)
Program
Costs])</f>
        <v>91462</v>
      </c>
      <c r="D887" s="48">
        <f>SUBTOTAL(109,Program334[(D)
Prior Period Adjustments])</f>
        <v>-41713</v>
      </c>
      <c r="E887" s="48">
        <f>SUBTOTAL(109,Program334[(E)
Current Period Desk 
Reviews])</f>
        <v>0</v>
      </c>
      <c r="F887" s="48">
        <f>SUBTOTAL(109,Program334[(F)
Current Period 
Final 
Audits])</f>
        <v>0</v>
      </c>
      <c r="G887" s="48">
        <f>SUBTOTAL(109,Program334[(G)
Current Period 
Other Adjustments])</f>
        <v>0</v>
      </c>
      <c r="H887" s="48">
        <f>SUBTOTAL(109,Program334[(H)
Net Program Costs
Sum (C through G)])</f>
        <v>49749</v>
      </c>
      <c r="I887" s="48">
        <f>SUBTOTAL(109,Program334[(I)
Payments
 and Offsets])</f>
        <v>-33549</v>
      </c>
      <c r="J887" s="48">
        <f>SUBTOTAL(109,Program334[(J)
Accounts Payable Balance
(H + I)])</f>
        <v>16200</v>
      </c>
      <c r="K887" s="48">
        <f>SUBTOTAL(105,Program334[(K)
Established 
Accounts Receivable])</f>
        <v>0</v>
      </c>
      <c r="L887" s="48">
        <f>SUBTOTAL(105,Program334[(L)
Recovered
 Accounts Receivable])</f>
        <v>0</v>
      </c>
      <c r="M887" s="48">
        <f>SUBTOTAL(109,Program334[(M)
Accounts Receivable Balance
(K + L)])</f>
        <v>0</v>
      </c>
      <c r="N887" s="48">
        <f>SUBTOTAL(109,Program334[(N)
Net Balance
(J minus M)])</f>
        <v>16200</v>
      </c>
    </row>
    <row r="888" spans="1:14" outlineLevel="2" x14ac:dyDescent="0.35">
      <c r="A888" s="63" t="s">
        <v>33</v>
      </c>
      <c r="B888" s="62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</row>
    <row r="889" spans="1:14" ht="77.5" outlineLevel="2" x14ac:dyDescent="0.35">
      <c r="A889" s="60" t="s">
        <v>185</v>
      </c>
      <c r="B889" s="59" t="s">
        <v>184</v>
      </c>
      <c r="C889" s="58" t="s">
        <v>183</v>
      </c>
      <c r="D889" s="58" t="s">
        <v>182</v>
      </c>
      <c r="E889" s="56" t="s">
        <v>181</v>
      </c>
      <c r="F889" s="56" t="s">
        <v>180</v>
      </c>
      <c r="G889" s="56" t="s">
        <v>179</v>
      </c>
      <c r="H889" s="57" t="s">
        <v>674</v>
      </c>
      <c r="I889" s="55" t="s">
        <v>178</v>
      </c>
      <c r="J889" s="55" t="s">
        <v>177</v>
      </c>
      <c r="K889" s="56" t="s">
        <v>176</v>
      </c>
      <c r="L889" s="55" t="s">
        <v>175</v>
      </c>
      <c r="M889" s="55" t="s">
        <v>174</v>
      </c>
      <c r="N889" s="54" t="s">
        <v>173</v>
      </c>
    </row>
    <row r="890" spans="1:14" ht="31" outlineLevel="1" x14ac:dyDescent="0.35">
      <c r="A890" s="77" t="s">
        <v>292</v>
      </c>
      <c r="B890" s="69" t="s">
        <v>205</v>
      </c>
      <c r="C890" s="68">
        <v>7017</v>
      </c>
      <c r="D890" s="68">
        <v>0</v>
      </c>
      <c r="E890" s="68">
        <v>0</v>
      </c>
      <c r="F890" s="68">
        <v>0</v>
      </c>
      <c r="G890" s="68">
        <v>0</v>
      </c>
      <c r="H890" s="68">
        <v>7017</v>
      </c>
      <c r="I890" s="68">
        <v>0</v>
      </c>
      <c r="J890" s="68">
        <v>7017</v>
      </c>
      <c r="K890" s="68">
        <v>0</v>
      </c>
      <c r="L890" s="68">
        <v>0</v>
      </c>
      <c r="M890" s="68">
        <v>0</v>
      </c>
      <c r="N890" s="68">
        <v>7017</v>
      </c>
    </row>
    <row r="891" spans="1:14" ht="31" outlineLevel="2" x14ac:dyDescent="0.35">
      <c r="A891" s="77" t="s">
        <v>292</v>
      </c>
      <c r="B891" s="69" t="s">
        <v>204</v>
      </c>
      <c r="C891" s="68">
        <v>28431</v>
      </c>
      <c r="D891" s="68">
        <v>-2028</v>
      </c>
      <c r="E891" s="68">
        <v>0</v>
      </c>
      <c r="F891" s="68">
        <v>0</v>
      </c>
      <c r="G891" s="68">
        <v>0</v>
      </c>
      <c r="H891" s="68">
        <v>26403</v>
      </c>
      <c r="I891" s="68">
        <v>-26403</v>
      </c>
      <c r="J891" s="68">
        <v>0</v>
      </c>
      <c r="K891" s="68">
        <v>0</v>
      </c>
      <c r="L891" s="68">
        <v>0</v>
      </c>
      <c r="M891" s="68">
        <v>0</v>
      </c>
      <c r="N891" s="68">
        <v>0</v>
      </c>
    </row>
    <row r="892" spans="1:14" ht="31" outlineLevel="2" x14ac:dyDescent="0.35">
      <c r="A892" s="77" t="s">
        <v>292</v>
      </c>
      <c r="B892" s="69" t="s">
        <v>203</v>
      </c>
      <c r="C892" s="68">
        <v>10927</v>
      </c>
      <c r="D892" s="68">
        <v>-1794</v>
      </c>
      <c r="E892" s="68">
        <v>0</v>
      </c>
      <c r="F892" s="68">
        <v>0</v>
      </c>
      <c r="G892" s="68">
        <v>0</v>
      </c>
      <c r="H892" s="68">
        <v>9133</v>
      </c>
      <c r="I892" s="68">
        <v>-5761</v>
      </c>
      <c r="J892" s="68">
        <v>3372</v>
      </c>
      <c r="K892" s="68">
        <v>0</v>
      </c>
      <c r="L892" s="68">
        <v>0</v>
      </c>
      <c r="M892" s="68">
        <v>0</v>
      </c>
      <c r="N892" s="68">
        <v>3372</v>
      </c>
    </row>
    <row r="893" spans="1:14" ht="31" outlineLevel="2" x14ac:dyDescent="0.35">
      <c r="A893" s="77" t="s">
        <v>292</v>
      </c>
      <c r="B893" s="69" t="s">
        <v>202</v>
      </c>
      <c r="C893" s="68">
        <v>11039</v>
      </c>
      <c r="D893" s="68">
        <v>-1196</v>
      </c>
      <c r="E893" s="68">
        <v>0</v>
      </c>
      <c r="F893" s="68">
        <v>0</v>
      </c>
      <c r="G893" s="68">
        <v>0</v>
      </c>
      <c r="H893" s="68">
        <v>9843</v>
      </c>
      <c r="I893" s="68">
        <v>-9843</v>
      </c>
      <c r="J893" s="68">
        <v>0</v>
      </c>
      <c r="K893" s="68">
        <v>0</v>
      </c>
      <c r="L893" s="68">
        <v>0</v>
      </c>
      <c r="M893" s="68">
        <v>0</v>
      </c>
      <c r="N893" s="68">
        <v>0</v>
      </c>
    </row>
    <row r="894" spans="1:14" ht="31" outlineLevel="2" x14ac:dyDescent="0.35">
      <c r="A894" s="77" t="s">
        <v>292</v>
      </c>
      <c r="B894" s="69" t="s">
        <v>201</v>
      </c>
      <c r="C894" s="68">
        <v>204248</v>
      </c>
      <c r="D894" s="68">
        <v>-8109</v>
      </c>
      <c r="E894" s="68">
        <v>0</v>
      </c>
      <c r="F894" s="68">
        <v>0</v>
      </c>
      <c r="G894" s="68">
        <v>0</v>
      </c>
      <c r="H894" s="68">
        <v>196139</v>
      </c>
      <c r="I894" s="68">
        <v>-192604</v>
      </c>
      <c r="J894" s="68">
        <v>3535</v>
      </c>
      <c r="K894" s="68">
        <v>0</v>
      </c>
      <c r="L894" s="68">
        <v>0</v>
      </c>
      <c r="M894" s="68">
        <v>0</v>
      </c>
      <c r="N894" s="68">
        <v>3535</v>
      </c>
    </row>
    <row r="895" spans="1:14" ht="31" outlineLevel="2" x14ac:dyDescent="0.35">
      <c r="A895" s="77" t="s">
        <v>292</v>
      </c>
      <c r="B895" s="69" t="s">
        <v>200</v>
      </c>
      <c r="C895" s="68">
        <v>10128</v>
      </c>
      <c r="D895" s="68">
        <v>-5248</v>
      </c>
      <c r="E895" s="68">
        <v>0</v>
      </c>
      <c r="F895" s="68">
        <v>0</v>
      </c>
      <c r="G895" s="68">
        <v>0</v>
      </c>
      <c r="H895" s="68">
        <v>4880</v>
      </c>
      <c r="I895" s="68">
        <v>-4880</v>
      </c>
      <c r="J895" s="68">
        <v>0</v>
      </c>
      <c r="K895" s="68">
        <v>0</v>
      </c>
      <c r="L895" s="68">
        <v>0</v>
      </c>
      <c r="M895" s="68">
        <v>0</v>
      </c>
      <c r="N895" s="68">
        <v>0</v>
      </c>
    </row>
    <row r="896" spans="1:14" ht="31" outlineLevel="2" x14ac:dyDescent="0.35">
      <c r="A896" s="77" t="s">
        <v>292</v>
      </c>
      <c r="B896" s="69" t="s">
        <v>199</v>
      </c>
      <c r="C896" s="68">
        <v>28625</v>
      </c>
      <c r="D896" s="68">
        <v>0</v>
      </c>
      <c r="E896" s="68">
        <v>0</v>
      </c>
      <c r="F896" s="68">
        <v>0</v>
      </c>
      <c r="G896" s="68">
        <v>0</v>
      </c>
      <c r="H896" s="68">
        <v>28625</v>
      </c>
      <c r="I896" s="68">
        <v>-28625</v>
      </c>
      <c r="J896" s="68">
        <v>0</v>
      </c>
      <c r="K896" s="68">
        <v>0</v>
      </c>
      <c r="L896" s="68">
        <v>0</v>
      </c>
      <c r="M896" s="68">
        <v>0</v>
      </c>
      <c r="N896" s="68">
        <v>0</v>
      </c>
    </row>
    <row r="897" spans="1:14" ht="31" outlineLevel="2" x14ac:dyDescent="0.35">
      <c r="A897" s="77" t="s">
        <v>292</v>
      </c>
      <c r="B897" s="69" t="s">
        <v>198</v>
      </c>
      <c r="C897" s="68">
        <v>4871</v>
      </c>
      <c r="D897" s="68">
        <v>0</v>
      </c>
      <c r="E897" s="68">
        <v>0</v>
      </c>
      <c r="F897" s="68">
        <v>0</v>
      </c>
      <c r="G897" s="68">
        <v>0</v>
      </c>
      <c r="H897" s="68">
        <v>4871</v>
      </c>
      <c r="I897" s="68">
        <v>-4871</v>
      </c>
      <c r="J897" s="68">
        <v>0</v>
      </c>
      <c r="K897" s="68">
        <v>0</v>
      </c>
      <c r="L897" s="68">
        <v>0</v>
      </c>
      <c r="M897" s="68">
        <v>0</v>
      </c>
      <c r="N897" s="68">
        <v>0</v>
      </c>
    </row>
    <row r="898" spans="1:14" ht="16" outlineLevel="2" thickBot="1" x14ac:dyDescent="0.4">
      <c r="A898" s="50" t="s">
        <v>109</v>
      </c>
      <c r="B898" s="67" t="s">
        <v>12</v>
      </c>
      <c r="C898" s="48">
        <f>SUBTOTAL(109,Program300[(C)
Program
Costs])</f>
        <v>305286</v>
      </c>
      <c r="D898" s="48">
        <f>SUBTOTAL(109,Program300[(D)
Prior Period Adjustments])</f>
        <v>-18375</v>
      </c>
      <c r="E898" s="48">
        <f>SUBTOTAL(109,Program300[(E)
Current Period Desk 
Reviews])</f>
        <v>0</v>
      </c>
      <c r="F898" s="48">
        <f>SUBTOTAL(109,Program300[(F)
Current Period 
Final 
Audits])</f>
        <v>0</v>
      </c>
      <c r="G898" s="48">
        <f>SUBTOTAL(109,Program300[(G)
Current Period 
Other Adjustments])</f>
        <v>0</v>
      </c>
      <c r="H898" s="48">
        <f>SUBTOTAL(109,Program300[(H)
Net Program Costs
Sum (C through G)])</f>
        <v>286911</v>
      </c>
      <c r="I898" s="48">
        <f>SUBTOTAL(109,Program300[(I)
Payments
 and Offsets])</f>
        <v>-272987</v>
      </c>
      <c r="J898" s="48">
        <f>SUBTOTAL(109,Program300[(J)
Accounts Payable Balance
(H + I)])</f>
        <v>13924</v>
      </c>
      <c r="K898" s="48">
        <f>SUBTOTAL(109,Program300[(K)
Established 
Accounts Receivable])</f>
        <v>0</v>
      </c>
      <c r="L898" s="48">
        <f>SUBTOTAL(109,Program300[(L)
Recovered
 Accounts Receivable])</f>
        <v>0</v>
      </c>
      <c r="M898" s="48">
        <f>SUBTOTAL(109,Program300[(M)
Accounts Receivable Balance
(K + L)])</f>
        <v>0</v>
      </c>
      <c r="N898" s="48">
        <f>SUBTOTAL(109,Program300[(N)
Net Balance
(J minus M)])</f>
        <v>13924</v>
      </c>
    </row>
    <row r="899" spans="1:14" outlineLevel="1" x14ac:dyDescent="0.35">
      <c r="A899" s="63" t="s">
        <v>33</v>
      </c>
      <c r="B899" s="62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</row>
    <row r="900" spans="1:14" ht="77.5" outlineLevel="1" x14ac:dyDescent="0.35">
      <c r="A900" s="60" t="s">
        <v>185</v>
      </c>
      <c r="B900" s="59" t="s">
        <v>184</v>
      </c>
      <c r="C900" s="58" t="s">
        <v>183</v>
      </c>
      <c r="D900" s="58" t="s">
        <v>182</v>
      </c>
      <c r="E900" s="56" t="s">
        <v>181</v>
      </c>
      <c r="F900" s="56" t="s">
        <v>180</v>
      </c>
      <c r="G900" s="56" t="s">
        <v>179</v>
      </c>
      <c r="H900" s="57" t="s">
        <v>674</v>
      </c>
      <c r="I900" s="55" t="s">
        <v>178</v>
      </c>
      <c r="J900" s="55" t="s">
        <v>177</v>
      </c>
      <c r="K900" s="56" t="s">
        <v>176</v>
      </c>
      <c r="L900" s="55" t="s">
        <v>175</v>
      </c>
      <c r="M900" s="55" t="s">
        <v>174</v>
      </c>
      <c r="N900" s="54" t="s">
        <v>173</v>
      </c>
    </row>
    <row r="901" spans="1:14" outlineLevel="2" x14ac:dyDescent="0.35">
      <c r="A901" s="53" t="s">
        <v>291</v>
      </c>
      <c r="B901" s="66" t="s">
        <v>194</v>
      </c>
      <c r="C901" s="51">
        <v>1260</v>
      </c>
      <c r="D901" s="51">
        <v>-247</v>
      </c>
      <c r="E901" s="51">
        <v>0</v>
      </c>
      <c r="F901" s="51">
        <v>0</v>
      </c>
      <c r="G901" s="51">
        <v>0</v>
      </c>
      <c r="H901" s="51">
        <v>1013</v>
      </c>
      <c r="I901" s="51">
        <v>-1013</v>
      </c>
      <c r="J901" s="51">
        <v>0</v>
      </c>
      <c r="K901" s="51">
        <v>0</v>
      </c>
      <c r="L901" s="51">
        <v>0</v>
      </c>
      <c r="M901" s="51">
        <v>0</v>
      </c>
      <c r="N901" s="51">
        <v>0</v>
      </c>
    </row>
    <row r="902" spans="1:14" outlineLevel="2" x14ac:dyDescent="0.35">
      <c r="A902" s="53" t="s">
        <v>291</v>
      </c>
      <c r="B902" s="66" t="s">
        <v>193</v>
      </c>
      <c r="C902" s="51">
        <v>434</v>
      </c>
      <c r="D902" s="51">
        <v>0</v>
      </c>
      <c r="E902" s="51">
        <v>0</v>
      </c>
      <c r="F902" s="51">
        <v>0</v>
      </c>
      <c r="G902" s="51">
        <v>0</v>
      </c>
      <c r="H902" s="51">
        <v>434</v>
      </c>
      <c r="I902" s="51">
        <v>-434</v>
      </c>
      <c r="J902" s="51">
        <v>0</v>
      </c>
      <c r="K902" s="51">
        <v>0</v>
      </c>
      <c r="L902" s="51">
        <v>0</v>
      </c>
      <c r="M902" s="51">
        <v>0</v>
      </c>
      <c r="N902" s="51">
        <v>0</v>
      </c>
    </row>
    <row r="903" spans="1:14" outlineLevel="2" x14ac:dyDescent="0.35">
      <c r="A903" s="53" t="s">
        <v>291</v>
      </c>
      <c r="B903" s="66" t="s">
        <v>188</v>
      </c>
      <c r="C903" s="51">
        <v>2716</v>
      </c>
      <c r="D903" s="51">
        <v>0</v>
      </c>
      <c r="E903" s="51">
        <v>0</v>
      </c>
      <c r="F903" s="51">
        <v>0</v>
      </c>
      <c r="G903" s="51">
        <v>0</v>
      </c>
      <c r="H903" s="51">
        <v>2716</v>
      </c>
      <c r="I903" s="51">
        <v>-2716</v>
      </c>
      <c r="J903" s="51">
        <v>0</v>
      </c>
      <c r="K903" s="51">
        <v>0</v>
      </c>
      <c r="L903" s="51">
        <v>0</v>
      </c>
      <c r="M903" s="51">
        <v>0</v>
      </c>
      <c r="N903" s="51">
        <v>0</v>
      </c>
    </row>
    <row r="904" spans="1:14" outlineLevel="2" x14ac:dyDescent="0.35">
      <c r="A904" s="53" t="s">
        <v>291</v>
      </c>
      <c r="B904" s="66" t="s">
        <v>186</v>
      </c>
      <c r="C904" s="51">
        <v>190824</v>
      </c>
      <c r="D904" s="51">
        <v>-7626</v>
      </c>
      <c r="E904" s="51">
        <v>0</v>
      </c>
      <c r="F904" s="51">
        <v>0</v>
      </c>
      <c r="G904" s="51">
        <v>0</v>
      </c>
      <c r="H904" s="51">
        <v>183198</v>
      </c>
      <c r="I904" s="51">
        <v>-183198</v>
      </c>
      <c r="J904" s="51">
        <v>0</v>
      </c>
      <c r="K904" s="51">
        <v>7496</v>
      </c>
      <c r="L904" s="51">
        <v>-7496</v>
      </c>
      <c r="M904" s="51">
        <v>0</v>
      </c>
      <c r="N904" s="51">
        <v>0</v>
      </c>
    </row>
    <row r="905" spans="1:14" ht="16" outlineLevel="1" thickBot="1" x14ac:dyDescent="0.4">
      <c r="A905" s="50" t="s">
        <v>108</v>
      </c>
      <c r="B905" s="67" t="s">
        <v>12</v>
      </c>
      <c r="C905" s="48">
        <f>SUBTOTAL(109,Program37[(C)
Program
Costs])</f>
        <v>195234</v>
      </c>
      <c r="D905" s="48">
        <f>SUBTOTAL(109,Program37[(D)
Prior Period Adjustments])</f>
        <v>-7873</v>
      </c>
      <c r="E905" s="48">
        <f>SUBTOTAL(109,Program37[(E)
Current Period Desk 
Reviews])</f>
        <v>0</v>
      </c>
      <c r="F905" s="48">
        <f>SUBTOTAL(109,Program37[(F)
Current Period 
Final 
Audits])</f>
        <v>0</v>
      </c>
      <c r="G905" s="48">
        <f>SUBTOTAL(109,Program37[(G)
Current Period 
Other Adjustments])</f>
        <v>0</v>
      </c>
      <c r="H905" s="48">
        <f>SUBTOTAL(109,Program37[(H)
Net Program Costs
Sum (C through G)])</f>
        <v>187361</v>
      </c>
      <c r="I905" s="48">
        <f>SUBTOTAL(109,Program37[(I)
Payments
 and Offsets])</f>
        <v>-187361</v>
      </c>
      <c r="J905" s="48">
        <f>SUBTOTAL(109,Program37[(J)
Accounts Payable Balance
(H + I)])</f>
        <v>0</v>
      </c>
      <c r="K905" s="48">
        <f>SUBTOTAL(109,Program37[(K)
Established 
Accounts Receivable])</f>
        <v>7496</v>
      </c>
      <c r="L905" s="48">
        <f>SUBTOTAL(109,Program37[(L)
Recovered
 Accounts Receivable])</f>
        <v>-7496</v>
      </c>
      <c r="M905" s="48">
        <f>SUBTOTAL(109,Program37[(M)
Accounts Receivable Balance
(K + L)])</f>
        <v>0</v>
      </c>
      <c r="N905" s="48">
        <f>SUBTOTAL(109,Program37[(N)
Net Balance
(J minus M)])</f>
        <v>0</v>
      </c>
    </row>
    <row r="906" spans="1:14" outlineLevel="1" x14ac:dyDescent="0.35">
      <c r="A906" s="63" t="s">
        <v>33</v>
      </c>
      <c r="B906" s="62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</row>
    <row r="907" spans="1:14" ht="77.5" outlineLevel="2" x14ac:dyDescent="0.35">
      <c r="A907" s="60" t="s">
        <v>185</v>
      </c>
      <c r="B907" s="59" t="s">
        <v>184</v>
      </c>
      <c r="C907" s="58" t="s">
        <v>183</v>
      </c>
      <c r="D907" s="58" t="s">
        <v>182</v>
      </c>
      <c r="E907" s="56" t="s">
        <v>181</v>
      </c>
      <c r="F907" s="56" t="s">
        <v>180</v>
      </c>
      <c r="G907" s="56" t="s">
        <v>179</v>
      </c>
      <c r="H907" s="57" t="s">
        <v>674</v>
      </c>
      <c r="I907" s="55" t="s">
        <v>178</v>
      </c>
      <c r="J907" s="55" t="s">
        <v>177</v>
      </c>
      <c r="K907" s="56" t="s">
        <v>176</v>
      </c>
      <c r="L907" s="55" t="s">
        <v>175</v>
      </c>
      <c r="M907" s="55" t="s">
        <v>174</v>
      </c>
      <c r="N907" s="54" t="s">
        <v>173</v>
      </c>
    </row>
    <row r="908" spans="1:14" outlineLevel="2" x14ac:dyDescent="0.35">
      <c r="A908" s="53" t="s">
        <v>290</v>
      </c>
      <c r="B908" s="66" t="s">
        <v>219</v>
      </c>
      <c r="C908" s="51">
        <v>207021</v>
      </c>
      <c r="D908" s="51">
        <v>-207021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1">
        <v>0</v>
      </c>
    </row>
    <row r="909" spans="1:14" outlineLevel="2" x14ac:dyDescent="0.35">
      <c r="A909" s="53" t="s">
        <v>290</v>
      </c>
      <c r="B909" s="66" t="s">
        <v>208</v>
      </c>
      <c r="C909" s="51">
        <v>1840</v>
      </c>
      <c r="D909" s="51">
        <v>0</v>
      </c>
      <c r="E909" s="51">
        <v>0</v>
      </c>
      <c r="F909" s="51">
        <v>0</v>
      </c>
      <c r="G909" s="51">
        <v>0</v>
      </c>
      <c r="H909" s="51">
        <v>1840</v>
      </c>
      <c r="I909" s="51">
        <v>0</v>
      </c>
      <c r="J909" s="51">
        <v>1840</v>
      </c>
      <c r="K909" s="51">
        <v>0</v>
      </c>
      <c r="L909" s="51">
        <v>0</v>
      </c>
      <c r="M909" s="51">
        <v>0</v>
      </c>
      <c r="N909" s="51">
        <v>1840</v>
      </c>
    </row>
    <row r="910" spans="1:14" outlineLevel="1" x14ac:dyDescent="0.35">
      <c r="A910" s="53" t="s">
        <v>290</v>
      </c>
      <c r="B910" s="66" t="s">
        <v>206</v>
      </c>
      <c r="C910" s="51">
        <v>3944</v>
      </c>
      <c r="D910" s="51">
        <v>-394</v>
      </c>
      <c r="E910" s="51">
        <v>0</v>
      </c>
      <c r="F910" s="51">
        <v>0</v>
      </c>
      <c r="G910" s="51">
        <v>0</v>
      </c>
      <c r="H910" s="51">
        <v>3550</v>
      </c>
      <c r="I910" s="51">
        <v>0</v>
      </c>
      <c r="J910" s="51">
        <v>3550</v>
      </c>
      <c r="K910" s="51">
        <v>0</v>
      </c>
      <c r="L910" s="51">
        <v>0</v>
      </c>
      <c r="M910" s="51">
        <v>0</v>
      </c>
      <c r="N910" s="51">
        <v>3550</v>
      </c>
    </row>
    <row r="911" spans="1:14" ht="16" outlineLevel="2" thickBot="1" x14ac:dyDescent="0.4">
      <c r="A911" s="50" t="s">
        <v>107</v>
      </c>
      <c r="B911" s="67" t="s">
        <v>12</v>
      </c>
      <c r="C911" s="48">
        <f>SUBTOTAL(109,Program259[(C)
Program
Costs])</f>
        <v>212805</v>
      </c>
      <c r="D911" s="48">
        <f>SUBTOTAL(109,Program259[(D)
Prior Period Adjustments])</f>
        <v>-207415</v>
      </c>
      <c r="E911" s="48">
        <f>SUBTOTAL(109,Program259[(E)
Current Period Desk 
Reviews])</f>
        <v>0</v>
      </c>
      <c r="F911" s="48">
        <f>SUBTOTAL(109,Program259[(F)
Current Period 
Final 
Audits])</f>
        <v>0</v>
      </c>
      <c r="G911" s="48">
        <f>SUBTOTAL(109,Program259[(G)
Current Period 
Other Adjustments])</f>
        <v>0</v>
      </c>
      <c r="H911" s="48">
        <f>SUBTOTAL(109,Program259[(H)
Net Program Costs
Sum (C through G)])</f>
        <v>5390</v>
      </c>
      <c r="I911" s="48">
        <f>SUBTOTAL(109,Program259[(I)
Payments
 and Offsets])</f>
        <v>0</v>
      </c>
      <c r="J911" s="48">
        <f>SUBTOTAL(109,Program259[(J)
Accounts Payable Balance
(H + I)])</f>
        <v>5390</v>
      </c>
      <c r="K911" s="48">
        <f>SUBTOTAL(109,Program259[(K)
Established 
Accounts Receivable])</f>
        <v>0</v>
      </c>
      <c r="L911" s="48">
        <f>SUBTOTAL(109,Program259[(L)
Recovered
 Accounts Receivable])</f>
        <v>0</v>
      </c>
      <c r="M911" s="48">
        <f>SUBTOTAL(109,Program259[(M)
Accounts Receivable Balance
(K + L)])</f>
        <v>0</v>
      </c>
      <c r="N911" s="48">
        <f>SUBTOTAL(109,Program259[(N)
Net Balance
(J minus M)])</f>
        <v>5390</v>
      </c>
    </row>
    <row r="912" spans="1:14" outlineLevel="2" x14ac:dyDescent="0.35">
      <c r="A912" s="63" t="s">
        <v>33</v>
      </c>
      <c r="B912" s="62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</row>
    <row r="913" spans="1:14" ht="77.5" outlineLevel="2" x14ac:dyDescent="0.35">
      <c r="A913" s="60" t="s">
        <v>185</v>
      </c>
      <c r="B913" s="59" t="s">
        <v>184</v>
      </c>
      <c r="C913" s="58" t="s">
        <v>183</v>
      </c>
      <c r="D913" s="58" t="s">
        <v>182</v>
      </c>
      <c r="E913" s="56" t="s">
        <v>181</v>
      </c>
      <c r="F913" s="56" t="s">
        <v>180</v>
      </c>
      <c r="G913" s="56" t="s">
        <v>179</v>
      </c>
      <c r="H913" s="57" t="s">
        <v>674</v>
      </c>
      <c r="I913" s="55" t="s">
        <v>178</v>
      </c>
      <c r="J913" s="55" t="s">
        <v>177</v>
      </c>
      <c r="K913" s="56" t="s">
        <v>176</v>
      </c>
      <c r="L913" s="55" t="s">
        <v>175</v>
      </c>
      <c r="M913" s="55" t="s">
        <v>174</v>
      </c>
      <c r="N913" s="54" t="s">
        <v>173</v>
      </c>
    </row>
    <row r="914" spans="1:14" outlineLevel="2" x14ac:dyDescent="0.35">
      <c r="A914" s="53" t="s">
        <v>289</v>
      </c>
      <c r="B914" s="66" t="s">
        <v>215</v>
      </c>
      <c r="C914" s="51">
        <v>1657396</v>
      </c>
      <c r="D914" s="51">
        <v>0</v>
      </c>
      <c r="E914" s="51">
        <v>0</v>
      </c>
      <c r="F914" s="51">
        <v>0</v>
      </c>
      <c r="G914" s="51">
        <v>0</v>
      </c>
      <c r="H914" s="51">
        <v>1657396</v>
      </c>
      <c r="I914" s="51">
        <v>0</v>
      </c>
      <c r="J914" s="51">
        <v>1657396</v>
      </c>
      <c r="K914" s="51">
        <v>0</v>
      </c>
      <c r="L914" s="51">
        <v>0</v>
      </c>
      <c r="M914" s="51">
        <v>0</v>
      </c>
      <c r="N914" s="51">
        <v>1657396</v>
      </c>
    </row>
    <row r="915" spans="1:14" outlineLevel="2" x14ac:dyDescent="0.35">
      <c r="A915" s="53" t="s">
        <v>289</v>
      </c>
      <c r="B915" s="66" t="s">
        <v>214</v>
      </c>
      <c r="C915" s="51">
        <v>1500040</v>
      </c>
      <c r="D915" s="51">
        <v>-472</v>
      </c>
      <c r="E915" s="51">
        <v>0</v>
      </c>
      <c r="F915" s="51">
        <v>0</v>
      </c>
      <c r="G915" s="51">
        <v>-14782</v>
      </c>
      <c r="H915" s="51">
        <v>1484786</v>
      </c>
      <c r="I915" s="51">
        <v>0</v>
      </c>
      <c r="J915" s="51">
        <v>1484786</v>
      </c>
      <c r="K915" s="51">
        <v>0</v>
      </c>
      <c r="L915" s="51">
        <v>0</v>
      </c>
      <c r="M915" s="51">
        <v>0</v>
      </c>
      <c r="N915" s="51">
        <v>1484786</v>
      </c>
    </row>
    <row r="916" spans="1:14" outlineLevel="2" x14ac:dyDescent="0.35">
      <c r="A916" s="53" t="s">
        <v>289</v>
      </c>
      <c r="B916" s="66" t="s">
        <v>212</v>
      </c>
      <c r="C916" s="51">
        <v>1534666</v>
      </c>
      <c r="D916" s="51">
        <v>-118247</v>
      </c>
      <c r="E916" s="51">
        <v>0</v>
      </c>
      <c r="F916" s="51">
        <v>0</v>
      </c>
      <c r="G916" s="51">
        <v>0</v>
      </c>
      <c r="H916" s="51">
        <v>1416419</v>
      </c>
      <c r="I916" s="51">
        <v>0</v>
      </c>
      <c r="J916" s="51">
        <v>1416419</v>
      </c>
      <c r="K916" s="51">
        <v>0</v>
      </c>
      <c r="L916" s="51">
        <v>0</v>
      </c>
      <c r="M916" s="51">
        <v>0</v>
      </c>
      <c r="N916" s="51">
        <v>1416419</v>
      </c>
    </row>
    <row r="917" spans="1:14" outlineLevel="2" x14ac:dyDescent="0.35">
      <c r="A917" s="53" t="s">
        <v>289</v>
      </c>
      <c r="B917" s="66" t="s">
        <v>220</v>
      </c>
      <c r="C917" s="51">
        <v>1820303</v>
      </c>
      <c r="D917" s="51">
        <v>-93308</v>
      </c>
      <c r="E917" s="51">
        <v>0</v>
      </c>
      <c r="F917" s="51">
        <v>0</v>
      </c>
      <c r="G917" s="51">
        <v>0</v>
      </c>
      <c r="H917" s="51">
        <v>1726995</v>
      </c>
      <c r="I917" s="51">
        <v>0</v>
      </c>
      <c r="J917" s="51">
        <v>1726995</v>
      </c>
      <c r="K917" s="51">
        <v>0</v>
      </c>
      <c r="L917" s="51">
        <v>0</v>
      </c>
      <c r="M917" s="51">
        <v>0</v>
      </c>
      <c r="N917" s="51">
        <v>1726995</v>
      </c>
    </row>
    <row r="918" spans="1:14" outlineLevel="2" x14ac:dyDescent="0.35">
      <c r="A918" s="53" t="s">
        <v>289</v>
      </c>
      <c r="B918" s="66" t="s">
        <v>219</v>
      </c>
      <c r="C918" s="51">
        <v>1677709</v>
      </c>
      <c r="D918" s="51">
        <v>-15022</v>
      </c>
      <c r="E918" s="51">
        <v>0</v>
      </c>
      <c r="F918" s="51">
        <v>0</v>
      </c>
      <c r="G918" s="51">
        <v>0</v>
      </c>
      <c r="H918" s="51">
        <v>1662687</v>
      </c>
      <c r="I918" s="51">
        <v>0</v>
      </c>
      <c r="J918" s="51">
        <v>1662687</v>
      </c>
      <c r="K918" s="51">
        <v>0</v>
      </c>
      <c r="L918" s="51">
        <v>0</v>
      </c>
      <c r="M918" s="51">
        <v>0</v>
      </c>
      <c r="N918" s="51">
        <v>1662687</v>
      </c>
    </row>
    <row r="919" spans="1:14" outlineLevel="2" x14ac:dyDescent="0.35">
      <c r="A919" s="53" t="s">
        <v>289</v>
      </c>
      <c r="B919" s="66" t="s">
        <v>218</v>
      </c>
      <c r="C919" s="51">
        <v>2349888</v>
      </c>
      <c r="D919" s="51">
        <v>-25876</v>
      </c>
      <c r="E919" s="51">
        <v>0</v>
      </c>
      <c r="F919" s="51">
        <v>0</v>
      </c>
      <c r="G919" s="51">
        <v>0</v>
      </c>
      <c r="H919" s="51">
        <v>2324012</v>
      </c>
      <c r="I919" s="51">
        <v>0</v>
      </c>
      <c r="J919" s="51">
        <v>2324012</v>
      </c>
      <c r="K919" s="51">
        <v>0</v>
      </c>
      <c r="L919" s="51">
        <v>0</v>
      </c>
      <c r="M919" s="51">
        <v>0</v>
      </c>
      <c r="N919" s="51">
        <v>2324012</v>
      </c>
    </row>
    <row r="920" spans="1:14" outlineLevel="2" x14ac:dyDescent="0.35">
      <c r="A920" s="53" t="s">
        <v>289</v>
      </c>
      <c r="B920" s="66" t="s">
        <v>209</v>
      </c>
      <c r="C920" s="51">
        <v>2023914</v>
      </c>
      <c r="D920" s="51">
        <v>-91886</v>
      </c>
      <c r="E920" s="51">
        <v>0</v>
      </c>
      <c r="F920" s="51">
        <v>0</v>
      </c>
      <c r="G920" s="51">
        <v>0</v>
      </c>
      <c r="H920" s="51">
        <v>1932028</v>
      </c>
      <c r="I920" s="51">
        <v>0</v>
      </c>
      <c r="J920" s="51">
        <v>1932028</v>
      </c>
      <c r="K920" s="51">
        <v>0</v>
      </c>
      <c r="L920" s="51">
        <v>0</v>
      </c>
      <c r="M920" s="51">
        <v>0</v>
      </c>
      <c r="N920" s="51">
        <v>1932028</v>
      </c>
    </row>
    <row r="921" spans="1:14" outlineLevel="2" x14ac:dyDescent="0.35">
      <c r="A921" s="53" t="s">
        <v>289</v>
      </c>
      <c r="B921" s="66" t="s">
        <v>208</v>
      </c>
      <c r="C921" s="51">
        <v>1445944</v>
      </c>
      <c r="D921" s="51">
        <v>-9729</v>
      </c>
      <c r="E921" s="51">
        <v>0</v>
      </c>
      <c r="F921" s="51">
        <v>0</v>
      </c>
      <c r="G921" s="51">
        <v>0</v>
      </c>
      <c r="H921" s="51">
        <v>1436215</v>
      </c>
      <c r="I921" s="51">
        <v>0</v>
      </c>
      <c r="J921" s="51">
        <v>1436215</v>
      </c>
      <c r="K921" s="51">
        <v>0</v>
      </c>
      <c r="L921" s="51">
        <v>0</v>
      </c>
      <c r="M921" s="51">
        <v>0</v>
      </c>
      <c r="N921" s="51">
        <v>1436215</v>
      </c>
    </row>
    <row r="922" spans="1:14" outlineLevel="1" x14ac:dyDescent="0.35">
      <c r="A922" s="53" t="s">
        <v>289</v>
      </c>
      <c r="B922" s="66" t="s">
        <v>206</v>
      </c>
      <c r="C922" s="51">
        <v>1244135</v>
      </c>
      <c r="D922" s="51">
        <v>-106049</v>
      </c>
      <c r="E922" s="51">
        <v>0</v>
      </c>
      <c r="F922" s="51">
        <v>0</v>
      </c>
      <c r="G922" s="51">
        <v>0</v>
      </c>
      <c r="H922" s="51">
        <v>1138086</v>
      </c>
      <c r="I922" s="51">
        <v>0</v>
      </c>
      <c r="J922" s="51">
        <v>1138086</v>
      </c>
      <c r="K922" s="51">
        <v>0</v>
      </c>
      <c r="L922" s="51">
        <v>0</v>
      </c>
      <c r="M922" s="51">
        <v>0</v>
      </c>
      <c r="N922" s="51">
        <v>1138086</v>
      </c>
    </row>
    <row r="923" spans="1:14" outlineLevel="2" x14ac:dyDescent="0.35">
      <c r="A923" s="53" t="s">
        <v>289</v>
      </c>
      <c r="B923" s="66" t="s">
        <v>205</v>
      </c>
      <c r="C923" s="51">
        <v>708394</v>
      </c>
      <c r="D923" s="51">
        <v>-12032</v>
      </c>
      <c r="E923" s="51">
        <v>0</v>
      </c>
      <c r="F923" s="51">
        <v>0</v>
      </c>
      <c r="G923" s="51">
        <v>0</v>
      </c>
      <c r="H923" s="51">
        <v>696362</v>
      </c>
      <c r="I923" s="51">
        <v>0</v>
      </c>
      <c r="J923" s="51">
        <v>696362</v>
      </c>
      <c r="K923" s="51">
        <v>0</v>
      </c>
      <c r="L923" s="51">
        <v>0</v>
      </c>
      <c r="M923" s="51">
        <v>0</v>
      </c>
      <c r="N923" s="51">
        <v>696362</v>
      </c>
    </row>
    <row r="924" spans="1:14" outlineLevel="2" x14ac:dyDescent="0.35">
      <c r="A924" s="53" t="s">
        <v>289</v>
      </c>
      <c r="B924" s="66" t="s">
        <v>204</v>
      </c>
      <c r="C924" s="51">
        <v>862068</v>
      </c>
      <c r="D924" s="51">
        <v>-35786</v>
      </c>
      <c r="E924" s="51">
        <v>0</v>
      </c>
      <c r="F924" s="51">
        <v>0</v>
      </c>
      <c r="G924" s="51">
        <v>0</v>
      </c>
      <c r="H924" s="51">
        <v>826282</v>
      </c>
      <c r="I924" s="51">
        <v>0</v>
      </c>
      <c r="J924" s="51">
        <v>826282</v>
      </c>
      <c r="K924" s="51">
        <v>0</v>
      </c>
      <c r="L924" s="51">
        <v>0</v>
      </c>
      <c r="M924" s="51">
        <v>0</v>
      </c>
      <c r="N924" s="51">
        <v>826282</v>
      </c>
    </row>
    <row r="925" spans="1:14" outlineLevel="2" x14ac:dyDescent="0.35">
      <c r="A925" s="53" t="s">
        <v>289</v>
      </c>
      <c r="B925" s="66" t="s">
        <v>203</v>
      </c>
      <c r="C925" s="51">
        <v>1660650</v>
      </c>
      <c r="D925" s="51">
        <v>-81636</v>
      </c>
      <c r="E925" s="51">
        <v>0</v>
      </c>
      <c r="F925" s="51">
        <v>0</v>
      </c>
      <c r="G925" s="51">
        <v>0</v>
      </c>
      <c r="H925" s="51">
        <v>1579014</v>
      </c>
      <c r="I925" s="51">
        <v>0</v>
      </c>
      <c r="J925" s="51">
        <v>1579014</v>
      </c>
      <c r="K925" s="51">
        <v>0</v>
      </c>
      <c r="L925" s="51">
        <v>0</v>
      </c>
      <c r="M925" s="51">
        <v>0</v>
      </c>
      <c r="N925" s="51">
        <v>1579014</v>
      </c>
    </row>
    <row r="926" spans="1:14" outlineLevel="2" x14ac:dyDescent="0.35">
      <c r="A926" s="53" t="s">
        <v>289</v>
      </c>
      <c r="B926" s="66" t="s">
        <v>202</v>
      </c>
      <c r="C926" s="51">
        <v>1535244</v>
      </c>
      <c r="D926" s="51">
        <v>-51880</v>
      </c>
      <c r="E926" s="51">
        <v>0</v>
      </c>
      <c r="F926" s="51">
        <v>0</v>
      </c>
      <c r="G926" s="51">
        <v>0</v>
      </c>
      <c r="H926" s="51">
        <v>1483364</v>
      </c>
      <c r="I926" s="51">
        <v>0</v>
      </c>
      <c r="J926" s="51">
        <v>1483364</v>
      </c>
      <c r="K926" s="51">
        <v>0</v>
      </c>
      <c r="L926" s="51">
        <v>0</v>
      </c>
      <c r="M926" s="51">
        <v>0</v>
      </c>
      <c r="N926" s="51">
        <v>1483364</v>
      </c>
    </row>
    <row r="927" spans="1:14" outlineLevel="2" x14ac:dyDescent="0.35">
      <c r="A927" s="53" t="s">
        <v>289</v>
      </c>
      <c r="B927" s="66" t="s">
        <v>201</v>
      </c>
      <c r="C927" s="51">
        <v>635449</v>
      </c>
      <c r="D927" s="51">
        <v>-32032</v>
      </c>
      <c r="E927" s="51">
        <v>0</v>
      </c>
      <c r="F927" s="51">
        <v>0</v>
      </c>
      <c r="G927" s="51">
        <v>0</v>
      </c>
      <c r="H927" s="51">
        <v>603417</v>
      </c>
      <c r="I927" s="51">
        <v>0</v>
      </c>
      <c r="J927" s="51">
        <v>603417</v>
      </c>
      <c r="K927" s="51">
        <v>0</v>
      </c>
      <c r="L927" s="51">
        <v>0</v>
      </c>
      <c r="M927" s="51">
        <v>0</v>
      </c>
      <c r="N927" s="51">
        <v>603417</v>
      </c>
    </row>
    <row r="928" spans="1:14" outlineLevel="2" x14ac:dyDescent="0.35">
      <c r="A928" s="53" t="s">
        <v>289</v>
      </c>
      <c r="B928" s="66" t="s">
        <v>200</v>
      </c>
      <c r="C928" s="51">
        <v>577852</v>
      </c>
      <c r="D928" s="51">
        <v>-10507</v>
      </c>
      <c r="E928" s="51">
        <v>0</v>
      </c>
      <c r="F928" s="51">
        <v>0</v>
      </c>
      <c r="G928" s="51">
        <v>0</v>
      </c>
      <c r="H928" s="51">
        <v>567345</v>
      </c>
      <c r="I928" s="51">
        <v>0</v>
      </c>
      <c r="J928" s="51">
        <v>567345</v>
      </c>
      <c r="K928" s="51">
        <v>0</v>
      </c>
      <c r="L928" s="51">
        <v>0</v>
      </c>
      <c r="M928" s="51">
        <v>0</v>
      </c>
      <c r="N928" s="51">
        <v>567345</v>
      </c>
    </row>
    <row r="929" spans="1:14" outlineLevel="2" x14ac:dyDescent="0.35">
      <c r="A929" s="53" t="s">
        <v>289</v>
      </c>
      <c r="B929" s="66" t="s">
        <v>199</v>
      </c>
      <c r="C929" s="51">
        <v>282788</v>
      </c>
      <c r="D929" s="51">
        <v>-4516</v>
      </c>
      <c r="E929" s="51">
        <v>0</v>
      </c>
      <c r="F929" s="51">
        <v>0</v>
      </c>
      <c r="G929" s="51">
        <v>0</v>
      </c>
      <c r="H929" s="51">
        <v>278272</v>
      </c>
      <c r="I929" s="51">
        <v>0</v>
      </c>
      <c r="J929" s="51">
        <v>278272</v>
      </c>
      <c r="K929" s="51">
        <v>0</v>
      </c>
      <c r="L929" s="51">
        <v>0</v>
      </c>
      <c r="M929" s="51">
        <v>0</v>
      </c>
      <c r="N929" s="51">
        <v>278272</v>
      </c>
    </row>
    <row r="930" spans="1:14" outlineLevel="2" x14ac:dyDescent="0.35">
      <c r="A930" s="53" t="s">
        <v>289</v>
      </c>
      <c r="B930" s="66" t="s">
        <v>198</v>
      </c>
      <c r="C930" s="51">
        <v>221580</v>
      </c>
      <c r="D930" s="51">
        <v>-9922</v>
      </c>
      <c r="E930" s="51">
        <v>0</v>
      </c>
      <c r="F930" s="51">
        <v>0</v>
      </c>
      <c r="G930" s="51">
        <v>0</v>
      </c>
      <c r="H930" s="51">
        <v>211658</v>
      </c>
      <c r="I930" s="51">
        <v>0</v>
      </c>
      <c r="J930" s="51">
        <v>211658</v>
      </c>
      <c r="K930" s="51">
        <v>0</v>
      </c>
      <c r="L930" s="51">
        <v>0</v>
      </c>
      <c r="M930" s="51">
        <v>0</v>
      </c>
      <c r="N930" s="51">
        <v>211658</v>
      </c>
    </row>
    <row r="931" spans="1:14" outlineLevel="2" x14ac:dyDescent="0.35">
      <c r="A931" s="53" t="s">
        <v>289</v>
      </c>
      <c r="B931" s="66" t="s">
        <v>197</v>
      </c>
      <c r="C931" s="51">
        <v>197289</v>
      </c>
      <c r="D931" s="51">
        <v>-8560</v>
      </c>
      <c r="E931" s="51">
        <v>0</v>
      </c>
      <c r="F931" s="51">
        <v>0</v>
      </c>
      <c r="G931" s="51">
        <v>0</v>
      </c>
      <c r="H931" s="51">
        <v>188729</v>
      </c>
      <c r="I931" s="51">
        <v>0</v>
      </c>
      <c r="J931" s="51">
        <v>188729</v>
      </c>
      <c r="K931" s="51">
        <v>0</v>
      </c>
      <c r="L931" s="51">
        <v>0</v>
      </c>
      <c r="M931" s="51">
        <v>0</v>
      </c>
      <c r="N931" s="51">
        <v>188729</v>
      </c>
    </row>
    <row r="932" spans="1:14" ht="16" outlineLevel="2" thickBot="1" x14ac:dyDescent="0.4">
      <c r="A932" s="50" t="s">
        <v>106</v>
      </c>
      <c r="B932" s="67" t="s">
        <v>12</v>
      </c>
      <c r="C932" s="48">
        <f>SUBTOTAL(109,Program298[(C)
Program
Costs])</f>
        <v>21935309</v>
      </c>
      <c r="D932" s="48">
        <f>SUBTOTAL(109,Program298[(D)
Prior Period Adjustments])</f>
        <v>-707460</v>
      </c>
      <c r="E932" s="48">
        <f>SUBTOTAL(109,Program298[(E)
Current Period Desk 
Reviews])</f>
        <v>0</v>
      </c>
      <c r="F932" s="48">
        <f>SUBTOTAL(109,Program298[(F)
Current Period 
Final 
Audits])</f>
        <v>0</v>
      </c>
      <c r="G932" s="48">
        <f>SUBTOTAL(109,Program298[(G)
Current Period 
Other Adjustments])</f>
        <v>-14782</v>
      </c>
      <c r="H932" s="48">
        <f>SUBTOTAL(109,Program298[(H)
Net Program Costs
Sum (C through G)])</f>
        <v>21213067</v>
      </c>
      <c r="I932" s="48">
        <f>SUBTOTAL(109,Program298[(I)
Payments
 and Offsets])</f>
        <v>0</v>
      </c>
      <c r="J932" s="48">
        <f>SUBTOTAL(109,Program298[(J)
Accounts Payable Balance
(H + I)])</f>
        <v>21213067</v>
      </c>
      <c r="K932" s="48">
        <f>SUBTOTAL(109,Program298[(K)
Established 
Accounts Receivable])</f>
        <v>0</v>
      </c>
      <c r="L932" s="48">
        <f>SUBTOTAL(109,Program298[(L)
Recovered
 Accounts Receivable])</f>
        <v>0</v>
      </c>
      <c r="M932" s="48">
        <f>SUBTOTAL(109,Program298[(M)
Accounts Receivable Balance
(K + L)])</f>
        <v>0</v>
      </c>
      <c r="N932" s="48">
        <f>SUBTOTAL(109,Program298[(N)
Net Balance
(J minus M)])</f>
        <v>21213067</v>
      </c>
    </row>
    <row r="933" spans="1:14" outlineLevel="2" x14ac:dyDescent="0.35">
      <c r="A933" s="63" t="s">
        <v>33</v>
      </c>
      <c r="B933" s="62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</row>
    <row r="934" spans="1:14" ht="77.5" outlineLevel="2" x14ac:dyDescent="0.35">
      <c r="A934" s="60" t="s">
        <v>185</v>
      </c>
      <c r="B934" s="59" t="s">
        <v>184</v>
      </c>
      <c r="C934" s="58" t="s">
        <v>183</v>
      </c>
      <c r="D934" s="58" t="s">
        <v>182</v>
      </c>
      <c r="E934" s="56" t="s">
        <v>181</v>
      </c>
      <c r="F934" s="56" t="s">
        <v>180</v>
      </c>
      <c r="G934" s="56" t="s">
        <v>179</v>
      </c>
      <c r="H934" s="57" t="s">
        <v>674</v>
      </c>
      <c r="I934" s="55" t="s">
        <v>178</v>
      </c>
      <c r="J934" s="55" t="s">
        <v>177</v>
      </c>
      <c r="K934" s="56" t="s">
        <v>176</v>
      </c>
      <c r="L934" s="55" t="s">
        <v>175</v>
      </c>
      <c r="M934" s="55" t="s">
        <v>174</v>
      </c>
      <c r="N934" s="54" t="s">
        <v>173</v>
      </c>
    </row>
    <row r="935" spans="1:14" ht="31" outlineLevel="1" x14ac:dyDescent="0.35">
      <c r="A935" s="70" t="s">
        <v>288</v>
      </c>
      <c r="B935" s="69" t="s">
        <v>206</v>
      </c>
      <c r="C935" s="68">
        <v>77349</v>
      </c>
      <c r="D935" s="68">
        <v>0</v>
      </c>
      <c r="E935" s="68">
        <v>0</v>
      </c>
      <c r="F935" s="68">
        <v>0</v>
      </c>
      <c r="G935" s="68">
        <v>0</v>
      </c>
      <c r="H935" s="68">
        <v>77349</v>
      </c>
      <c r="I935" s="68">
        <v>-77349</v>
      </c>
      <c r="J935" s="68">
        <v>0</v>
      </c>
      <c r="K935" s="68">
        <v>0</v>
      </c>
      <c r="L935" s="68">
        <v>0</v>
      </c>
      <c r="M935" s="68">
        <v>0</v>
      </c>
      <c r="N935" s="68">
        <v>0</v>
      </c>
    </row>
    <row r="936" spans="1:14" ht="31" outlineLevel="1" x14ac:dyDescent="0.35">
      <c r="A936" s="70" t="s">
        <v>288</v>
      </c>
      <c r="B936" s="69" t="s">
        <v>205</v>
      </c>
      <c r="C936" s="68">
        <v>518899</v>
      </c>
      <c r="D936" s="68">
        <v>-214</v>
      </c>
      <c r="E936" s="68">
        <v>0</v>
      </c>
      <c r="F936" s="68">
        <v>0</v>
      </c>
      <c r="G936" s="68">
        <v>0</v>
      </c>
      <c r="H936" s="68">
        <v>518685</v>
      </c>
      <c r="I936" s="68">
        <v>-518685</v>
      </c>
      <c r="J936" s="68">
        <v>0</v>
      </c>
      <c r="K936" s="68">
        <v>0</v>
      </c>
      <c r="L936" s="68">
        <v>0</v>
      </c>
      <c r="M936" s="68">
        <v>0</v>
      </c>
      <c r="N936" s="68">
        <v>0</v>
      </c>
    </row>
    <row r="937" spans="1:14" ht="31" outlineLevel="2" x14ac:dyDescent="0.35">
      <c r="A937" s="70" t="s">
        <v>288</v>
      </c>
      <c r="B937" s="69" t="s">
        <v>204</v>
      </c>
      <c r="C937" s="68">
        <v>670232</v>
      </c>
      <c r="D937" s="68">
        <v>-387</v>
      </c>
      <c r="E937" s="68">
        <v>0</v>
      </c>
      <c r="F937" s="68">
        <v>0</v>
      </c>
      <c r="G937" s="68">
        <v>0</v>
      </c>
      <c r="H937" s="68">
        <v>669845</v>
      </c>
      <c r="I937" s="68">
        <v>-669845</v>
      </c>
      <c r="J937" s="68">
        <v>0</v>
      </c>
      <c r="K937" s="68">
        <v>0</v>
      </c>
      <c r="L937" s="68">
        <v>0</v>
      </c>
      <c r="M937" s="68">
        <v>0</v>
      </c>
      <c r="N937" s="68">
        <v>0</v>
      </c>
    </row>
    <row r="938" spans="1:14" ht="31" outlineLevel="2" x14ac:dyDescent="0.35">
      <c r="A938" s="70" t="s">
        <v>288</v>
      </c>
      <c r="B938" s="69" t="s">
        <v>203</v>
      </c>
      <c r="C938" s="68">
        <v>673547</v>
      </c>
      <c r="D938" s="68">
        <v>-12291</v>
      </c>
      <c r="E938" s="68">
        <v>0</v>
      </c>
      <c r="F938" s="68">
        <v>0</v>
      </c>
      <c r="G938" s="68">
        <v>0</v>
      </c>
      <c r="H938" s="68">
        <v>661256</v>
      </c>
      <c r="I938" s="68">
        <v>-661256</v>
      </c>
      <c r="J938" s="68">
        <v>0</v>
      </c>
      <c r="K938" s="68">
        <v>0</v>
      </c>
      <c r="L938" s="68">
        <v>0</v>
      </c>
      <c r="M938" s="68">
        <v>0</v>
      </c>
      <c r="N938" s="68">
        <v>0</v>
      </c>
    </row>
    <row r="939" spans="1:14" ht="31" outlineLevel="2" x14ac:dyDescent="0.35">
      <c r="A939" s="70" t="s">
        <v>288</v>
      </c>
      <c r="B939" s="69" t="s">
        <v>202</v>
      </c>
      <c r="C939" s="68">
        <v>612272</v>
      </c>
      <c r="D939" s="68">
        <v>-3533</v>
      </c>
      <c r="E939" s="68">
        <v>0</v>
      </c>
      <c r="F939" s="68">
        <v>0</v>
      </c>
      <c r="G939" s="68">
        <v>0</v>
      </c>
      <c r="H939" s="68">
        <v>608739</v>
      </c>
      <c r="I939" s="68">
        <v>-608739</v>
      </c>
      <c r="J939" s="68">
        <v>0</v>
      </c>
      <c r="K939" s="68">
        <v>0</v>
      </c>
      <c r="L939" s="68">
        <v>0</v>
      </c>
      <c r="M939" s="68">
        <v>0</v>
      </c>
      <c r="N939" s="68">
        <v>0</v>
      </c>
    </row>
    <row r="940" spans="1:14" ht="31" outlineLevel="2" x14ac:dyDescent="0.35">
      <c r="A940" s="70" t="s">
        <v>288</v>
      </c>
      <c r="B940" s="69" t="s">
        <v>201</v>
      </c>
      <c r="C940" s="68">
        <v>522749</v>
      </c>
      <c r="D940" s="68">
        <v>-2295</v>
      </c>
      <c r="E940" s="68">
        <v>0</v>
      </c>
      <c r="F940" s="68">
        <v>0</v>
      </c>
      <c r="G940" s="68">
        <v>0</v>
      </c>
      <c r="H940" s="68">
        <v>520454</v>
      </c>
      <c r="I940" s="68">
        <v>-520454</v>
      </c>
      <c r="J940" s="68">
        <v>0</v>
      </c>
      <c r="K940" s="68">
        <v>0</v>
      </c>
      <c r="L940" s="68">
        <v>0</v>
      </c>
      <c r="M940" s="68">
        <v>0</v>
      </c>
      <c r="N940" s="68">
        <v>0</v>
      </c>
    </row>
    <row r="941" spans="1:14" ht="31" outlineLevel="2" x14ac:dyDescent="0.35">
      <c r="A941" s="70" t="s">
        <v>288</v>
      </c>
      <c r="B941" s="69" t="s">
        <v>200</v>
      </c>
      <c r="C941" s="68">
        <v>425493</v>
      </c>
      <c r="D941" s="68">
        <v>-2007</v>
      </c>
      <c r="E941" s="68">
        <v>0</v>
      </c>
      <c r="F941" s="68">
        <v>0</v>
      </c>
      <c r="G941" s="68">
        <v>0</v>
      </c>
      <c r="H941" s="68">
        <v>423486</v>
      </c>
      <c r="I941" s="68">
        <v>-423486</v>
      </c>
      <c r="J941" s="68">
        <v>0</v>
      </c>
      <c r="K941" s="68">
        <v>0</v>
      </c>
      <c r="L941" s="68">
        <v>0</v>
      </c>
      <c r="M941" s="68">
        <v>0</v>
      </c>
      <c r="N941" s="68">
        <v>0</v>
      </c>
    </row>
    <row r="942" spans="1:14" ht="31" outlineLevel="2" x14ac:dyDescent="0.35">
      <c r="A942" s="70" t="s">
        <v>288</v>
      </c>
      <c r="B942" s="69" t="s">
        <v>199</v>
      </c>
      <c r="C942" s="68">
        <v>391602</v>
      </c>
      <c r="D942" s="68">
        <v>-1606</v>
      </c>
      <c r="E942" s="68">
        <v>0</v>
      </c>
      <c r="F942" s="68">
        <v>0</v>
      </c>
      <c r="G942" s="68">
        <v>0</v>
      </c>
      <c r="H942" s="68">
        <v>389996</v>
      </c>
      <c r="I942" s="68">
        <v>-389996</v>
      </c>
      <c r="J942" s="68">
        <v>0</v>
      </c>
      <c r="K942" s="68">
        <v>0</v>
      </c>
      <c r="L942" s="68">
        <v>0</v>
      </c>
      <c r="M942" s="68">
        <v>0</v>
      </c>
      <c r="N942" s="68">
        <v>0</v>
      </c>
    </row>
    <row r="943" spans="1:14" ht="31" outlineLevel="1" x14ac:dyDescent="0.35">
      <c r="A943" s="70" t="s">
        <v>288</v>
      </c>
      <c r="B943" s="69" t="s">
        <v>198</v>
      </c>
      <c r="C943" s="68">
        <v>399367</v>
      </c>
      <c r="D943" s="68">
        <v>-1585</v>
      </c>
      <c r="E943" s="68">
        <v>0</v>
      </c>
      <c r="F943" s="68">
        <v>0</v>
      </c>
      <c r="G943" s="68">
        <v>0</v>
      </c>
      <c r="H943" s="68">
        <v>397782</v>
      </c>
      <c r="I943" s="68">
        <v>-397782</v>
      </c>
      <c r="J943" s="68">
        <v>0</v>
      </c>
      <c r="K943" s="68">
        <v>0</v>
      </c>
      <c r="L943" s="68">
        <v>0</v>
      </c>
      <c r="M943" s="68">
        <v>0</v>
      </c>
      <c r="N943" s="68">
        <v>0</v>
      </c>
    </row>
    <row r="944" spans="1:14" ht="31" outlineLevel="2" x14ac:dyDescent="0.35">
      <c r="A944" s="70" t="s">
        <v>288</v>
      </c>
      <c r="B944" s="69" t="s">
        <v>197</v>
      </c>
      <c r="C944" s="68">
        <v>172255</v>
      </c>
      <c r="D944" s="68">
        <v>-794</v>
      </c>
      <c r="E944" s="68">
        <v>0</v>
      </c>
      <c r="F944" s="68">
        <v>0</v>
      </c>
      <c r="G944" s="68">
        <v>0</v>
      </c>
      <c r="H944" s="68">
        <v>171461</v>
      </c>
      <c r="I944" s="68">
        <v>-171461</v>
      </c>
      <c r="J944" s="68">
        <v>0</v>
      </c>
      <c r="K944" s="68">
        <v>0</v>
      </c>
      <c r="L944" s="68">
        <v>0</v>
      </c>
      <c r="M944" s="68">
        <v>0</v>
      </c>
      <c r="N944" s="68">
        <v>0</v>
      </c>
    </row>
    <row r="945" spans="1:14" ht="16" outlineLevel="2" thickBot="1" x14ac:dyDescent="0.4">
      <c r="A945" s="50" t="s">
        <v>105</v>
      </c>
      <c r="B945" s="67" t="s">
        <v>12</v>
      </c>
      <c r="C945" s="48">
        <f>SUBTOTAL(109,Program285[(C)
Program
Costs])</f>
        <v>4463765</v>
      </c>
      <c r="D945" s="48">
        <f>SUBTOTAL(109,Program285[(D)
Prior Period Adjustments])</f>
        <v>-24712</v>
      </c>
      <c r="E945" s="48">
        <f>SUBTOTAL(109,Program285[(E)
Current Period Desk 
Reviews])</f>
        <v>0</v>
      </c>
      <c r="F945" s="48">
        <f>SUBTOTAL(109,Program285[(F)
Current Period 
Final 
Audits])</f>
        <v>0</v>
      </c>
      <c r="G945" s="48">
        <f>SUBTOTAL(109,Program285[(G)
Current Period 
Other Adjustments])</f>
        <v>0</v>
      </c>
      <c r="H945" s="48">
        <f>SUBTOTAL(109,Program285[(H)
Net Program Costs
Sum (C through G)])</f>
        <v>4439053</v>
      </c>
      <c r="I945" s="48">
        <f>SUBTOTAL(109,Program285[(I)
Payments
 and Offsets])</f>
        <v>-4439053</v>
      </c>
      <c r="J945" s="48">
        <f>SUBTOTAL(109,Program285[(J)
Accounts Payable Balance
(H + I)])</f>
        <v>0</v>
      </c>
      <c r="K945" s="48">
        <f>SUBTOTAL(109,Program285[(K)
Established 
Accounts Receivable])</f>
        <v>0</v>
      </c>
      <c r="L945" s="48">
        <f>SUBTOTAL(109,Program285[(L)
Recovered
 Accounts Receivable])</f>
        <v>0</v>
      </c>
      <c r="M945" s="48">
        <f>SUBTOTAL(109,Program285[(M)
Accounts Receivable Balance
(K + L)])</f>
        <v>0</v>
      </c>
      <c r="N945" s="48">
        <f>SUBTOTAL(109,Program285[(N)
Net Balance
(J minus M)])</f>
        <v>0</v>
      </c>
    </row>
    <row r="946" spans="1:14" outlineLevel="2" x14ac:dyDescent="0.35">
      <c r="A946" s="63" t="s">
        <v>33</v>
      </c>
      <c r="B946" s="62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</row>
    <row r="947" spans="1:14" ht="77.5" outlineLevel="2" x14ac:dyDescent="0.35">
      <c r="A947" s="60" t="s">
        <v>185</v>
      </c>
      <c r="B947" s="59" t="s">
        <v>184</v>
      </c>
      <c r="C947" s="58" t="s">
        <v>183</v>
      </c>
      <c r="D947" s="58" t="s">
        <v>182</v>
      </c>
      <c r="E947" s="56" t="s">
        <v>181</v>
      </c>
      <c r="F947" s="56" t="s">
        <v>180</v>
      </c>
      <c r="G947" s="56" t="s">
        <v>179</v>
      </c>
      <c r="H947" s="57" t="s">
        <v>674</v>
      </c>
      <c r="I947" s="55" t="s">
        <v>178</v>
      </c>
      <c r="J947" s="55" t="s">
        <v>177</v>
      </c>
      <c r="K947" s="56" t="s">
        <v>176</v>
      </c>
      <c r="L947" s="55" t="s">
        <v>175</v>
      </c>
      <c r="M947" s="55" t="s">
        <v>174</v>
      </c>
      <c r="N947" s="54" t="s">
        <v>173</v>
      </c>
    </row>
    <row r="948" spans="1:14" outlineLevel="2" x14ac:dyDescent="0.35">
      <c r="A948" s="53" t="s">
        <v>287</v>
      </c>
      <c r="B948" s="66" t="s">
        <v>206</v>
      </c>
      <c r="C948" s="51">
        <v>1439816</v>
      </c>
      <c r="D948" s="51">
        <v>-29007</v>
      </c>
      <c r="E948" s="51">
        <v>0</v>
      </c>
      <c r="F948" s="51">
        <v>0</v>
      </c>
      <c r="G948" s="51">
        <v>0</v>
      </c>
      <c r="H948" s="51">
        <v>1410809</v>
      </c>
      <c r="I948" s="51">
        <v>0</v>
      </c>
      <c r="J948" s="51">
        <v>1410809</v>
      </c>
      <c r="K948" s="51">
        <v>0</v>
      </c>
      <c r="L948" s="51">
        <v>0</v>
      </c>
      <c r="M948" s="51">
        <v>0</v>
      </c>
      <c r="N948" s="51">
        <v>1410809</v>
      </c>
    </row>
    <row r="949" spans="1:14" outlineLevel="1" x14ac:dyDescent="0.35">
      <c r="A949" s="53" t="s">
        <v>287</v>
      </c>
      <c r="B949" s="66" t="s">
        <v>205</v>
      </c>
      <c r="C949" s="51">
        <v>5520819</v>
      </c>
      <c r="D949" s="51">
        <v>-45401</v>
      </c>
      <c r="E949" s="51">
        <v>0</v>
      </c>
      <c r="F949" s="51">
        <v>0</v>
      </c>
      <c r="G949" s="51">
        <v>0</v>
      </c>
      <c r="H949" s="51">
        <v>5475418</v>
      </c>
      <c r="I949" s="51">
        <v>0</v>
      </c>
      <c r="J949" s="51">
        <v>5475418</v>
      </c>
      <c r="K949" s="51">
        <v>0</v>
      </c>
      <c r="L949" s="51">
        <v>0</v>
      </c>
      <c r="M949" s="51">
        <v>0</v>
      </c>
      <c r="N949" s="51">
        <v>5475418</v>
      </c>
    </row>
    <row r="950" spans="1:14" outlineLevel="1" x14ac:dyDescent="0.35">
      <c r="A950" s="53" t="s">
        <v>287</v>
      </c>
      <c r="B950" s="66" t="s">
        <v>200</v>
      </c>
      <c r="C950" s="51">
        <v>6851878</v>
      </c>
      <c r="D950" s="51">
        <v>-60063</v>
      </c>
      <c r="E950" s="51">
        <v>0</v>
      </c>
      <c r="F950" s="51">
        <v>0</v>
      </c>
      <c r="G950" s="51">
        <v>0</v>
      </c>
      <c r="H950" s="51">
        <v>6791815</v>
      </c>
      <c r="I950" s="51">
        <v>-6791815</v>
      </c>
      <c r="J950" s="51">
        <v>0</v>
      </c>
      <c r="K950" s="51">
        <v>23851</v>
      </c>
      <c r="L950" s="51">
        <v>-23851</v>
      </c>
      <c r="M950" s="51">
        <v>0</v>
      </c>
      <c r="N950" s="51">
        <v>0</v>
      </c>
    </row>
    <row r="951" spans="1:14" outlineLevel="2" x14ac:dyDescent="0.35">
      <c r="A951" s="53" t="s">
        <v>287</v>
      </c>
      <c r="B951" s="66" t="s">
        <v>199</v>
      </c>
      <c r="C951" s="51">
        <v>6015866</v>
      </c>
      <c r="D951" s="51">
        <v>-103563</v>
      </c>
      <c r="E951" s="51">
        <v>0</v>
      </c>
      <c r="F951" s="51">
        <v>0</v>
      </c>
      <c r="G951" s="51">
        <v>0</v>
      </c>
      <c r="H951" s="51">
        <v>5912303</v>
      </c>
      <c r="I951" s="51">
        <v>-5912303</v>
      </c>
      <c r="J951" s="51">
        <v>0</v>
      </c>
      <c r="K951" s="51">
        <v>0</v>
      </c>
      <c r="L951" s="51">
        <v>0</v>
      </c>
      <c r="M951" s="51">
        <v>0</v>
      </c>
      <c r="N951" s="51">
        <v>0</v>
      </c>
    </row>
    <row r="952" spans="1:14" outlineLevel="2" x14ac:dyDescent="0.35">
      <c r="A952" s="53" t="s">
        <v>287</v>
      </c>
      <c r="B952" s="66" t="s">
        <v>198</v>
      </c>
      <c r="C952" s="51">
        <v>6684069</v>
      </c>
      <c r="D952" s="51">
        <v>-44063</v>
      </c>
      <c r="E952" s="51">
        <v>0</v>
      </c>
      <c r="F952" s="51">
        <v>0</v>
      </c>
      <c r="G952" s="51">
        <v>0</v>
      </c>
      <c r="H952" s="51">
        <v>6640006</v>
      </c>
      <c r="I952" s="51">
        <v>-6640006</v>
      </c>
      <c r="J952" s="51">
        <v>0</v>
      </c>
      <c r="K952" s="51">
        <v>47</v>
      </c>
      <c r="L952" s="51">
        <v>-47</v>
      </c>
      <c r="M952" s="51">
        <v>0</v>
      </c>
      <c r="N952" s="51">
        <v>0</v>
      </c>
    </row>
    <row r="953" spans="1:14" outlineLevel="2" x14ac:dyDescent="0.35">
      <c r="A953" s="53" t="s">
        <v>287</v>
      </c>
      <c r="B953" s="66" t="s">
        <v>197</v>
      </c>
      <c r="C953" s="51">
        <v>7463365</v>
      </c>
      <c r="D953" s="51">
        <v>-51534</v>
      </c>
      <c r="E953" s="51">
        <v>0</v>
      </c>
      <c r="F953" s="51">
        <v>0</v>
      </c>
      <c r="G953" s="51">
        <v>0</v>
      </c>
      <c r="H953" s="51">
        <v>7411831</v>
      </c>
      <c r="I953" s="51">
        <v>-7411831</v>
      </c>
      <c r="J953" s="51">
        <v>0</v>
      </c>
      <c r="K953" s="51">
        <v>79707</v>
      </c>
      <c r="L953" s="51">
        <v>-79707</v>
      </c>
      <c r="M953" s="51">
        <v>0</v>
      </c>
      <c r="N953" s="51">
        <v>0</v>
      </c>
    </row>
    <row r="954" spans="1:14" outlineLevel="2" x14ac:dyDescent="0.35">
      <c r="A954" s="53" t="s">
        <v>287</v>
      </c>
      <c r="B954" s="66" t="s">
        <v>196</v>
      </c>
      <c r="C954" s="51">
        <v>6957752</v>
      </c>
      <c r="D954" s="51">
        <v>1086</v>
      </c>
      <c r="E954" s="51">
        <v>0</v>
      </c>
      <c r="F954" s="51">
        <v>0</v>
      </c>
      <c r="G954" s="51">
        <v>0</v>
      </c>
      <c r="H954" s="51">
        <v>6958838</v>
      </c>
      <c r="I954" s="51">
        <v>-6958838</v>
      </c>
      <c r="J954" s="51">
        <v>0</v>
      </c>
      <c r="K954" s="51">
        <v>62912</v>
      </c>
      <c r="L954" s="51">
        <v>-62912</v>
      </c>
      <c r="M954" s="51">
        <v>0</v>
      </c>
      <c r="N954" s="51">
        <v>0</v>
      </c>
    </row>
    <row r="955" spans="1:14" outlineLevel="2" x14ac:dyDescent="0.35">
      <c r="A955" s="53" t="s">
        <v>287</v>
      </c>
      <c r="B955" s="66" t="s">
        <v>195</v>
      </c>
      <c r="C955" s="51">
        <v>5252430</v>
      </c>
      <c r="D955" s="51">
        <v>-4396</v>
      </c>
      <c r="E955" s="51">
        <v>0</v>
      </c>
      <c r="F955" s="51">
        <v>0</v>
      </c>
      <c r="G955" s="51">
        <v>0</v>
      </c>
      <c r="H955" s="51">
        <v>5248034</v>
      </c>
      <c r="I955" s="51">
        <v>-5248034</v>
      </c>
      <c r="J955" s="51">
        <v>0</v>
      </c>
      <c r="K955" s="51">
        <v>115251</v>
      </c>
      <c r="L955" s="51">
        <v>-115251</v>
      </c>
      <c r="M955" s="51">
        <v>0</v>
      </c>
      <c r="N955" s="51">
        <v>0</v>
      </c>
    </row>
    <row r="956" spans="1:14" outlineLevel="2" x14ac:dyDescent="0.35">
      <c r="A956" s="53" t="s">
        <v>287</v>
      </c>
      <c r="B956" s="66" t="s">
        <v>194</v>
      </c>
      <c r="C956" s="51">
        <v>4261498</v>
      </c>
      <c r="D956" s="51">
        <v>-117646</v>
      </c>
      <c r="E956" s="51">
        <v>0</v>
      </c>
      <c r="F956" s="51">
        <v>0</v>
      </c>
      <c r="G956" s="51">
        <v>0</v>
      </c>
      <c r="H956" s="51">
        <v>4143852</v>
      </c>
      <c r="I956" s="51">
        <v>-4143852</v>
      </c>
      <c r="J956" s="51">
        <v>0</v>
      </c>
      <c r="K956" s="51">
        <v>322637</v>
      </c>
      <c r="L956" s="51">
        <v>-322637</v>
      </c>
      <c r="M956" s="51">
        <v>0</v>
      </c>
      <c r="N956" s="51">
        <v>0</v>
      </c>
    </row>
    <row r="957" spans="1:14" outlineLevel="2" x14ac:dyDescent="0.35">
      <c r="A957" s="53" t="s">
        <v>287</v>
      </c>
      <c r="B957" s="66" t="s">
        <v>193</v>
      </c>
      <c r="C957" s="51">
        <v>3983668</v>
      </c>
      <c r="D957" s="51">
        <v>-142274</v>
      </c>
      <c r="E957" s="51">
        <v>0</v>
      </c>
      <c r="F957" s="51">
        <v>0</v>
      </c>
      <c r="G957" s="51">
        <v>0</v>
      </c>
      <c r="H957" s="51">
        <v>3841394</v>
      </c>
      <c r="I957" s="51">
        <v>-3841394</v>
      </c>
      <c r="J957" s="51">
        <v>0</v>
      </c>
      <c r="K957" s="51">
        <v>230325</v>
      </c>
      <c r="L957" s="51">
        <v>-229212</v>
      </c>
      <c r="M957" s="51">
        <v>1113</v>
      </c>
      <c r="N957" s="51">
        <v>-1113</v>
      </c>
    </row>
    <row r="958" spans="1:14" outlineLevel="2" x14ac:dyDescent="0.35">
      <c r="A958" s="53" t="s">
        <v>287</v>
      </c>
      <c r="B958" s="66" t="s">
        <v>192</v>
      </c>
      <c r="C958" s="51">
        <v>3722350</v>
      </c>
      <c r="D958" s="51">
        <v>-161870</v>
      </c>
      <c r="E958" s="51">
        <v>0</v>
      </c>
      <c r="F958" s="51">
        <v>0</v>
      </c>
      <c r="G958" s="51">
        <v>0</v>
      </c>
      <c r="H958" s="51">
        <v>3560480</v>
      </c>
      <c r="I958" s="51">
        <v>-3560480</v>
      </c>
      <c r="J958" s="51">
        <v>0</v>
      </c>
      <c r="K958" s="51">
        <v>319940</v>
      </c>
      <c r="L958" s="51">
        <v>-319763</v>
      </c>
      <c r="M958" s="51">
        <v>177</v>
      </c>
      <c r="N958" s="51">
        <v>-177</v>
      </c>
    </row>
    <row r="959" spans="1:14" outlineLevel="2" x14ac:dyDescent="0.35">
      <c r="A959" s="53" t="s">
        <v>287</v>
      </c>
      <c r="B959" s="66" t="s">
        <v>191</v>
      </c>
      <c r="C959" s="51">
        <v>3007283</v>
      </c>
      <c r="D959" s="51">
        <v>-39139</v>
      </c>
      <c r="E959" s="51">
        <v>0</v>
      </c>
      <c r="F959" s="51">
        <v>0</v>
      </c>
      <c r="G959" s="51">
        <v>0</v>
      </c>
      <c r="H959" s="51">
        <v>2968144</v>
      </c>
      <c r="I959" s="51">
        <v>-2968144</v>
      </c>
      <c r="J959" s="51">
        <v>0</v>
      </c>
      <c r="K959" s="51">
        <v>661263</v>
      </c>
      <c r="L959" s="51">
        <v>-657646</v>
      </c>
      <c r="M959" s="51">
        <v>3617</v>
      </c>
      <c r="N959" s="51">
        <v>-3617</v>
      </c>
    </row>
    <row r="960" spans="1:14" outlineLevel="2" x14ac:dyDescent="0.35">
      <c r="A960" s="53" t="s">
        <v>287</v>
      </c>
      <c r="B960" s="66" t="s">
        <v>190</v>
      </c>
      <c r="C960" s="51">
        <v>3233966</v>
      </c>
      <c r="D960" s="51">
        <v>-136783</v>
      </c>
      <c r="E960" s="51">
        <v>0</v>
      </c>
      <c r="F960" s="51">
        <v>0</v>
      </c>
      <c r="G960" s="51">
        <v>0</v>
      </c>
      <c r="H960" s="51">
        <v>3097183</v>
      </c>
      <c r="I960" s="51">
        <v>-3097183</v>
      </c>
      <c r="J960" s="51">
        <v>0</v>
      </c>
      <c r="K960" s="51">
        <v>201105</v>
      </c>
      <c r="L960" s="51">
        <v>-200520</v>
      </c>
      <c r="M960" s="51">
        <v>585</v>
      </c>
      <c r="N960" s="51">
        <v>-585</v>
      </c>
    </row>
    <row r="961" spans="1:14" outlineLevel="2" x14ac:dyDescent="0.35">
      <c r="A961" s="53" t="s">
        <v>287</v>
      </c>
      <c r="B961" s="66" t="s">
        <v>189</v>
      </c>
      <c r="C961" s="51">
        <v>2930350</v>
      </c>
      <c r="D961" s="51">
        <v>108220</v>
      </c>
      <c r="E961" s="51">
        <v>0</v>
      </c>
      <c r="F961" s="51">
        <v>0</v>
      </c>
      <c r="G961" s="51">
        <v>0</v>
      </c>
      <c r="H961" s="51">
        <v>3038570</v>
      </c>
      <c r="I961" s="51">
        <v>-3038570</v>
      </c>
      <c r="J961" s="51">
        <v>0</v>
      </c>
      <c r="K961" s="51">
        <v>215053</v>
      </c>
      <c r="L961" s="51">
        <v>-215053</v>
      </c>
      <c r="M961" s="51">
        <v>0</v>
      </c>
      <c r="N961" s="51">
        <v>0</v>
      </c>
    </row>
    <row r="962" spans="1:14" outlineLevel="2" x14ac:dyDescent="0.35">
      <c r="A962" s="53" t="s">
        <v>287</v>
      </c>
      <c r="B962" s="66" t="s">
        <v>188</v>
      </c>
      <c r="C962" s="51">
        <v>2505191</v>
      </c>
      <c r="D962" s="51">
        <v>-178064</v>
      </c>
      <c r="E962" s="51">
        <v>0</v>
      </c>
      <c r="F962" s="51">
        <v>0</v>
      </c>
      <c r="G962" s="51">
        <v>0</v>
      </c>
      <c r="H962" s="51">
        <v>2327127</v>
      </c>
      <c r="I962" s="51">
        <v>-2327127</v>
      </c>
      <c r="J962" s="51">
        <v>0</v>
      </c>
      <c r="K962" s="51">
        <v>126202</v>
      </c>
      <c r="L962" s="51">
        <v>-126202</v>
      </c>
      <c r="M962" s="51">
        <v>0</v>
      </c>
      <c r="N962" s="51">
        <v>0</v>
      </c>
    </row>
    <row r="963" spans="1:14" outlineLevel="2" x14ac:dyDescent="0.35">
      <c r="A963" s="53" t="s">
        <v>287</v>
      </c>
      <c r="B963" s="66" t="s">
        <v>186</v>
      </c>
      <c r="C963" s="51">
        <v>2339370</v>
      </c>
      <c r="D963" s="51">
        <v>-237227</v>
      </c>
      <c r="E963" s="51">
        <v>0</v>
      </c>
      <c r="F963" s="51">
        <v>0</v>
      </c>
      <c r="G963" s="51">
        <v>0</v>
      </c>
      <c r="H963" s="51">
        <v>2102143</v>
      </c>
      <c r="I963" s="51">
        <v>-2102143</v>
      </c>
      <c r="J963" s="51">
        <v>0</v>
      </c>
      <c r="K963" s="51">
        <v>153432</v>
      </c>
      <c r="L963" s="51">
        <v>-114504</v>
      </c>
      <c r="M963" s="51">
        <v>38928</v>
      </c>
      <c r="N963" s="51">
        <v>-38928</v>
      </c>
    </row>
    <row r="964" spans="1:14" outlineLevel="1" x14ac:dyDescent="0.35">
      <c r="A964" s="53" t="s">
        <v>287</v>
      </c>
      <c r="B964" s="66" t="s">
        <v>227</v>
      </c>
      <c r="C964" s="51">
        <v>0</v>
      </c>
      <c r="D964" s="51">
        <v>0</v>
      </c>
      <c r="E964" s="51">
        <v>0</v>
      </c>
      <c r="F964" s="51">
        <v>0</v>
      </c>
      <c r="G964" s="51">
        <v>0</v>
      </c>
      <c r="H964" s="51">
        <v>0</v>
      </c>
      <c r="I964" s="51">
        <v>0</v>
      </c>
      <c r="J964" s="51">
        <v>0</v>
      </c>
      <c r="K964" s="51">
        <v>437488</v>
      </c>
      <c r="L964" s="51">
        <v>-437488</v>
      </c>
      <c r="M964" s="51">
        <v>0</v>
      </c>
      <c r="N964" s="51">
        <v>0</v>
      </c>
    </row>
    <row r="965" spans="1:14" outlineLevel="1" x14ac:dyDescent="0.35">
      <c r="A965" s="53" t="s">
        <v>287</v>
      </c>
      <c r="B965" s="66" t="s">
        <v>226</v>
      </c>
      <c r="C965" s="51">
        <v>0</v>
      </c>
      <c r="D965" s="51">
        <v>0</v>
      </c>
      <c r="E965" s="51">
        <v>0</v>
      </c>
      <c r="F965" s="51">
        <v>0</v>
      </c>
      <c r="G965" s="51">
        <v>0</v>
      </c>
      <c r="H965" s="51">
        <v>0</v>
      </c>
      <c r="I965" s="51">
        <v>0</v>
      </c>
      <c r="J965" s="51">
        <v>0</v>
      </c>
      <c r="K965" s="51">
        <v>561</v>
      </c>
      <c r="L965" s="51">
        <v>-561</v>
      </c>
      <c r="M965" s="51">
        <v>0</v>
      </c>
      <c r="N965" s="51">
        <v>0</v>
      </c>
    </row>
    <row r="966" spans="1:14" outlineLevel="2" x14ac:dyDescent="0.35">
      <c r="A966" s="53" t="s">
        <v>287</v>
      </c>
      <c r="B966" s="66" t="s">
        <v>225</v>
      </c>
      <c r="C966" s="51">
        <v>0</v>
      </c>
      <c r="D966" s="51">
        <v>0</v>
      </c>
      <c r="E966" s="51">
        <v>0</v>
      </c>
      <c r="F966" s="51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2456</v>
      </c>
      <c r="L966" s="51">
        <v>-2456</v>
      </c>
      <c r="M966" s="51">
        <v>0</v>
      </c>
      <c r="N966" s="51">
        <v>0</v>
      </c>
    </row>
    <row r="967" spans="1:14" ht="16" outlineLevel="2" thickBot="1" x14ac:dyDescent="0.4">
      <c r="A967" s="50" t="s">
        <v>104</v>
      </c>
      <c r="B967" s="67" t="s">
        <v>12</v>
      </c>
      <c r="C967" s="48">
        <f>SUBTOTAL(109,Program41[(C)
Program
Costs])</f>
        <v>72169671</v>
      </c>
      <c r="D967" s="48">
        <f>SUBTOTAL(109,Program41[(D)
Prior Period Adjustments])</f>
        <v>-1241724</v>
      </c>
      <c r="E967" s="48">
        <f>SUBTOTAL(109,Program41[(E)
Current Period Desk 
Reviews])</f>
        <v>0</v>
      </c>
      <c r="F967" s="48">
        <f>SUBTOTAL(109,Program41[(F)
Current Period 
Final 
Audits])</f>
        <v>0</v>
      </c>
      <c r="G967" s="48">
        <f>SUBTOTAL(109,Program41[(G)
Current Period 
Other Adjustments])</f>
        <v>0</v>
      </c>
      <c r="H967" s="48">
        <f>SUBTOTAL(109,Program41[(H)
Net Program Costs
Sum (C through G)])</f>
        <v>70927947</v>
      </c>
      <c r="I967" s="48">
        <f>SUBTOTAL(109,Program41[(I)
Payments
 and Offsets])</f>
        <v>-64041720</v>
      </c>
      <c r="J967" s="48">
        <f>SUBTOTAL(109,Program41[(J)
Accounts Payable Balance
(H + I)])</f>
        <v>6886227</v>
      </c>
      <c r="K967" s="48">
        <f>SUBTOTAL(109,Program41[(K)
Established 
Accounts Receivable])</f>
        <v>2952230</v>
      </c>
      <c r="L967" s="48">
        <f>SUBTOTAL(109,Program41[(L)
Recovered
 Accounts Receivable])</f>
        <v>-2907810</v>
      </c>
      <c r="M967" s="48">
        <f>SUBTOTAL(109,Program41[(M)
Accounts Receivable Balance
(K + L)])</f>
        <v>44420</v>
      </c>
      <c r="N967" s="48">
        <f>SUBTOTAL(109,Program41[(N)
Net Balance
(J minus M)])</f>
        <v>6841807</v>
      </c>
    </row>
    <row r="968" spans="1:14" outlineLevel="2" x14ac:dyDescent="0.35">
      <c r="A968" s="63" t="s">
        <v>33</v>
      </c>
      <c r="B968" s="62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</row>
    <row r="969" spans="1:14" ht="77.5" outlineLevel="2" x14ac:dyDescent="0.35">
      <c r="A969" s="60" t="s">
        <v>185</v>
      </c>
      <c r="B969" s="59" t="s">
        <v>184</v>
      </c>
      <c r="C969" s="58" t="s">
        <v>183</v>
      </c>
      <c r="D969" s="58" t="s">
        <v>182</v>
      </c>
      <c r="E969" s="56" t="s">
        <v>181</v>
      </c>
      <c r="F969" s="56" t="s">
        <v>180</v>
      </c>
      <c r="G969" s="56" t="s">
        <v>179</v>
      </c>
      <c r="H969" s="57" t="s">
        <v>674</v>
      </c>
      <c r="I969" s="55" t="s">
        <v>178</v>
      </c>
      <c r="J969" s="55" t="s">
        <v>177</v>
      </c>
      <c r="K969" s="56" t="s">
        <v>176</v>
      </c>
      <c r="L969" s="55" t="s">
        <v>175</v>
      </c>
      <c r="M969" s="55" t="s">
        <v>174</v>
      </c>
      <c r="N969" s="54" t="s">
        <v>173</v>
      </c>
    </row>
    <row r="970" spans="1:14" outlineLevel="2" x14ac:dyDescent="0.35">
      <c r="A970" s="53" t="s">
        <v>286</v>
      </c>
      <c r="B970" s="66" t="s">
        <v>206</v>
      </c>
      <c r="C970" s="51">
        <v>39154</v>
      </c>
      <c r="D970" s="51">
        <v>-39154</v>
      </c>
      <c r="E970" s="51">
        <v>0</v>
      </c>
      <c r="F970" s="51">
        <v>0</v>
      </c>
      <c r="G970" s="51">
        <v>0</v>
      </c>
      <c r="H970" s="51">
        <v>0</v>
      </c>
      <c r="I970" s="51">
        <v>0</v>
      </c>
      <c r="J970" s="51">
        <v>0</v>
      </c>
      <c r="K970" s="51">
        <v>0</v>
      </c>
      <c r="L970" s="51">
        <v>0</v>
      </c>
      <c r="M970" s="51">
        <v>0</v>
      </c>
      <c r="N970" s="51">
        <v>0</v>
      </c>
    </row>
    <row r="971" spans="1:14" outlineLevel="2" x14ac:dyDescent="0.35">
      <c r="A971" s="53" t="s">
        <v>286</v>
      </c>
      <c r="B971" s="66" t="s">
        <v>202</v>
      </c>
      <c r="C971" s="51">
        <v>33872</v>
      </c>
      <c r="D971" s="51">
        <v>-33872</v>
      </c>
      <c r="E971" s="51">
        <v>0</v>
      </c>
      <c r="F971" s="51">
        <v>0</v>
      </c>
      <c r="G971" s="51">
        <v>0</v>
      </c>
      <c r="H971" s="51">
        <v>0</v>
      </c>
      <c r="I971" s="51">
        <v>0</v>
      </c>
      <c r="J971" s="51">
        <v>0</v>
      </c>
      <c r="K971" s="51">
        <v>0</v>
      </c>
      <c r="L971" s="51">
        <v>0</v>
      </c>
      <c r="M971" s="51">
        <v>0</v>
      </c>
      <c r="N971" s="51">
        <v>0</v>
      </c>
    </row>
    <row r="972" spans="1:14" outlineLevel="2" x14ac:dyDescent="0.35">
      <c r="A972" s="53" t="s">
        <v>286</v>
      </c>
      <c r="B972" s="66" t="s">
        <v>201</v>
      </c>
      <c r="C972" s="51">
        <v>24984</v>
      </c>
      <c r="D972" s="51">
        <v>-24984</v>
      </c>
      <c r="E972" s="51">
        <v>0</v>
      </c>
      <c r="F972" s="51">
        <v>0</v>
      </c>
      <c r="G972" s="51">
        <v>0</v>
      </c>
      <c r="H972" s="51">
        <v>0</v>
      </c>
      <c r="I972" s="51">
        <v>0</v>
      </c>
      <c r="J972" s="51">
        <v>0</v>
      </c>
      <c r="K972" s="51">
        <v>0</v>
      </c>
      <c r="L972" s="51">
        <v>0</v>
      </c>
      <c r="M972" s="51">
        <v>0</v>
      </c>
      <c r="N972" s="51">
        <v>0</v>
      </c>
    </row>
    <row r="973" spans="1:14" outlineLevel="2" x14ac:dyDescent="0.35">
      <c r="A973" s="53" t="s">
        <v>286</v>
      </c>
      <c r="B973" s="66" t="s">
        <v>200</v>
      </c>
      <c r="C973" s="51">
        <v>35500</v>
      </c>
      <c r="D973" s="51">
        <v>-35500</v>
      </c>
      <c r="E973" s="51">
        <v>0</v>
      </c>
      <c r="F973" s="51">
        <v>0</v>
      </c>
      <c r="G973" s="51">
        <v>0</v>
      </c>
      <c r="H973" s="51">
        <v>0</v>
      </c>
      <c r="I973" s="51">
        <v>0</v>
      </c>
      <c r="J973" s="51">
        <v>0</v>
      </c>
      <c r="K973" s="51">
        <v>0</v>
      </c>
      <c r="L973" s="51">
        <v>0</v>
      </c>
      <c r="M973" s="51">
        <v>0</v>
      </c>
      <c r="N973" s="51">
        <v>0</v>
      </c>
    </row>
    <row r="974" spans="1:14" ht="16" outlineLevel="2" thickBot="1" x14ac:dyDescent="0.4">
      <c r="A974" s="50" t="s">
        <v>103</v>
      </c>
      <c r="B974" s="67" t="s">
        <v>12</v>
      </c>
      <c r="C974" s="48">
        <f>SUBTOTAL(109,Program315[(C)
Program
Costs])</f>
        <v>133510</v>
      </c>
      <c r="D974" s="48">
        <f>SUBTOTAL(109,Program315[(D)
Prior Period Adjustments])</f>
        <v>-133510</v>
      </c>
      <c r="E974" s="48">
        <f>SUBTOTAL(109,Program315[(E)
Current Period Desk 
Reviews])</f>
        <v>0</v>
      </c>
      <c r="F974" s="48">
        <f>SUBTOTAL(109,Program315[(F)
Current Period 
Final 
Audits])</f>
        <v>0</v>
      </c>
      <c r="G974" s="48">
        <f>SUBTOTAL(109,Program315[(G)
Current Period 
Other Adjustments])</f>
        <v>0</v>
      </c>
      <c r="H974" s="48">
        <f>SUBTOTAL(109,Program315[(H)
Net Program Costs
Sum (C through G)])</f>
        <v>0</v>
      </c>
      <c r="I974" s="48">
        <f>SUBTOTAL(109,Program315[(I)
Payments
 and Offsets])</f>
        <v>0</v>
      </c>
      <c r="J974" s="48">
        <f>SUBTOTAL(109,Program315[(J)
Accounts Payable Balance
(H + I)])</f>
        <v>0</v>
      </c>
      <c r="K974" s="48">
        <f>SUBTOTAL(109,Program315[(K)
Established 
Accounts Receivable])</f>
        <v>0</v>
      </c>
      <c r="L974" s="48">
        <f>SUBTOTAL(109,Program315[(L)
Recovered
 Accounts Receivable])</f>
        <v>0</v>
      </c>
      <c r="M974" s="48">
        <f>SUBTOTAL(109,Program315[(M)
Accounts Receivable Balance
(K + L)])</f>
        <v>0</v>
      </c>
      <c r="N974" s="48">
        <f>SUBTOTAL(109,Program315[(N)
Net Balance
(J minus M)])</f>
        <v>0</v>
      </c>
    </row>
    <row r="975" spans="1:14" outlineLevel="2" x14ac:dyDescent="0.35">
      <c r="A975" s="63" t="s">
        <v>33</v>
      </c>
      <c r="B975" s="62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</row>
    <row r="976" spans="1:14" ht="77.5" outlineLevel="1" x14ac:dyDescent="0.35">
      <c r="A976" s="60" t="s">
        <v>185</v>
      </c>
      <c r="B976" s="59" t="s">
        <v>184</v>
      </c>
      <c r="C976" s="58" t="s">
        <v>183</v>
      </c>
      <c r="D976" s="58" t="s">
        <v>182</v>
      </c>
      <c r="E976" s="56" t="s">
        <v>181</v>
      </c>
      <c r="F976" s="56" t="s">
        <v>180</v>
      </c>
      <c r="G976" s="56" t="s">
        <v>179</v>
      </c>
      <c r="H976" s="57" t="s">
        <v>674</v>
      </c>
      <c r="I976" s="55" t="s">
        <v>178</v>
      </c>
      <c r="J976" s="55" t="s">
        <v>177</v>
      </c>
      <c r="K976" s="56" t="s">
        <v>176</v>
      </c>
      <c r="L976" s="55" t="s">
        <v>175</v>
      </c>
      <c r="M976" s="55" t="s">
        <v>174</v>
      </c>
      <c r="N976" s="54" t="s">
        <v>173</v>
      </c>
    </row>
    <row r="977" spans="1:14" outlineLevel="1" x14ac:dyDescent="0.35">
      <c r="A977" s="53" t="s">
        <v>285</v>
      </c>
      <c r="B977" s="66" t="s">
        <v>215</v>
      </c>
      <c r="C977" s="51">
        <v>8146</v>
      </c>
      <c r="D977" s="51">
        <v>0</v>
      </c>
      <c r="E977" s="51">
        <v>0</v>
      </c>
      <c r="F977" s="51">
        <v>0</v>
      </c>
      <c r="G977" s="51">
        <v>0</v>
      </c>
      <c r="H977" s="51">
        <v>8146</v>
      </c>
      <c r="I977" s="51">
        <v>0</v>
      </c>
      <c r="J977" s="51">
        <v>8146</v>
      </c>
      <c r="K977" s="51">
        <v>0</v>
      </c>
      <c r="L977" s="51">
        <v>0</v>
      </c>
      <c r="M977" s="51">
        <v>0</v>
      </c>
      <c r="N977" s="51">
        <v>8146</v>
      </c>
    </row>
    <row r="978" spans="1:14" outlineLevel="2" x14ac:dyDescent="0.35">
      <c r="A978" s="53" t="s">
        <v>285</v>
      </c>
      <c r="B978" s="66" t="s">
        <v>214</v>
      </c>
      <c r="C978" s="51">
        <v>14847</v>
      </c>
      <c r="D978" s="51">
        <v>0</v>
      </c>
      <c r="E978" s="51">
        <v>0</v>
      </c>
      <c r="F978" s="51">
        <v>0</v>
      </c>
      <c r="G978" s="51">
        <v>0</v>
      </c>
      <c r="H978" s="51">
        <v>14847</v>
      </c>
      <c r="I978" s="51">
        <v>-14847</v>
      </c>
      <c r="J978" s="51">
        <v>0</v>
      </c>
      <c r="K978" s="51">
        <v>0</v>
      </c>
      <c r="L978" s="51">
        <v>0</v>
      </c>
      <c r="M978" s="51">
        <v>0</v>
      </c>
      <c r="N978" s="51">
        <v>0</v>
      </c>
    </row>
    <row r="979" spans="1:14" outlineLevel="1" x14ac:dyDescent="0.35">
      <c r="A979" s="53" t="s">
        <v>285</v>
      </c>
      <c r="B979" s="66" t="s">
        <v>212</v>
      </c>
      <c r="C979" s="51">
        <v>7327</v>
      </c>
      <c r="D979" s="51">
        <v>0</v>
      </c>
      <c r="E979" s="51">
        <v>0</v>
      </c>
      <c r="F979" s="51">
        <v>0</v>
      </c>
      <c r="G979" s="51">
        <v>0</v>
      </c>
      <c r="H979" s="51">
        <v>7327</v>
      </c>
      <c r="I979" s="51">
        <v>-7327</v>
      </c>
      <c r="J979" s="51">
        <v>0</v>
      </c>
      <c r="K979" s="51">
        <v>0</v>
      </c>
      <c r="L979" s="51">
        <v>0</v>
      </c>
      <c r="M979" s="51">
        <v>0</v>
      </c>
      <c r="N979" s="51">
        <v>0</v>
      </c>
    </row>
    <row r="980" spans="1:14" outlineLevel="2" x14ac:dyDescent="0.35">
      <c r="A980" s="53" t="s">
        <v>285</v>
      </c>
      <c r="B980" s="66" t="s">
        <v>220</v>
      </c>
      <c r="C980" s="51">
        <v>19792</v>
      </c>
      <c r="D980" s="51">
        <v>0</v>
      </c>
      <c r="E980" s="51">
        <v>0</v>
      </c>
      <c r="F980" s="51">
        <v>0</v>
      </c>
      <c r="G980" s="51">
        <v>0</v>
      </c>
      <c r="H980" s="51">
        <v>19792</v>
      </c>
      <c r="I980" s="51">
        <v>-19792</v>
      </c>
      <c r="J980" s="51">
        <v>0</v>
      </c>
      <c r="K980" s="51">
        <v>0</v>
      </c>
      <c r="L980" s="51">
        <v>0</v>
      </c>
      <c r="M980" s="51">
        <v>0</v>
      </c>
      <c r="N980" s="51">
        <v>0</v>
      </c>
    </row>
    <row r="981" spans="1:14" outlineLevel="2" x14ac:dyDescent="0.35">
      <c r="A981" s="53" t="s">
        <v>285</v>
      </c>
      <c r="B981" s="66" t="s">
        <v>219</v>
      </c>
      <c r="C981" s="51">
        <v>15343</v>
      </c>
      <c r="D981" s="51">
        <v>1163</v>
      </c>
      <c r="E981" s="51">
        <v>0</v>
      </c>
      <c r="F981" s="51">
        <v>0</v>
      </c>
      <c r="G981" s="51">
        <v>0</v>
      </c>
      <c r="H981" s="51">
        <v>16506</v>
      </c>
      <c r="I981" s="51">
        <v>-16506</v>
      </c>
      <c r="J981" s="51">
        <v>0</v>
      </c>
      <c r="K981" s="51">
        <v>0</v>
      </c>
      <c r="L981" s="51">
        <v>0</v>
      </c>
      <c r="M981" s="51">
        <v>0</v>
      </c>
      <c r="N981" s="51">
        <v>0</v>
      </c>
    </row>
    <row r="982" spans="1:14" outlineLevel="2" x14ac:dyDescent="0.35">
      <c r="A982" s="53" t="s">
        <v>285</v>
      </c>
      <c r="B982" s="66" t="s">
        <v>218</v>
      </c>
      <c r="C982" s="51">
        <v>13277</v>
      </c>
      <c r="D982" s="51">
        <v>0</v>
      </c>
      <c r="E982" s="51">
        <v>0</v>
      </c>
      <c r="F982" s="51">
        <v>0</v>
      </c>
      <c r="G982" s="51">
        <v>0</v>
      </c>
      <c r="H982" s="51">
        <v>13277</v>
      </c>
      <c r="I982" s="51">
        <v>-13277</v>
      </c>
      <c r="J982" s="51">
        <v>0</v>
      </c>
      <c r="K982" s="51">
        <v>0</v>
      </c>
      <c r="L982" s="51">
        <v>0</v>
      </c>
      <c r="M982" s="51">
        <v>0</v>
      </c>
      <c r="N982" s="51">
        <v>0</v>
      </c>
    </row>
    <row r="983" spans="1:14" outlineLevel="2" x14ac:dyDescent="0.35">
      <c r="A983" s="53" t="s">
        <v>285</v>
      </c>
      <c r="B983" s="66" t="s">
        <v>209</v>
      </c>
      <c r="C983" s="51">
        <v>11363</v>
      </c>
      <c r="D983" s="51">
        <v>-931</v>
      </c>
      <c r="E983" s="51">
        <v>0</v>
      </c>
      <c r="F983" s="51">
        <v>0</v>
      </c>
      <c r="G983" s="51">
        <v>0</v>
      </c>
      <c r="H983" s="51">
        <v>10432</v>
      </c>
      <c r="I983" s="51">
        <v>-10432</v>
      </c>
      <c r="J983" s="51">
        <v>0</v>
      </c>
      <c r="K983" s="51">
        <v>0</v>
      </c>
      <c r="L983" s="51">
        <v>0</v>
      </c>
      <c r="M983" s="51">
        <v>0</v>
      </c>
      <c r="N983" s="51">
        <v>0</v>
      </c>
    </row>
    <row r="984" spans="1:14" outlineLevel="2" x14ac:dyDescent="0.35">
      <c r="A984" s="53" t="s">
        <v>285</v>
      </c>
      <c r="B984" s="66" t="s">
        <v>208</v>
      </c>
      <c r="C984" s="51">
        <v>9047</v>
      </c>
      <c r="D984" s="51">
        <v>0</v>
      </c>
      <c r="E984" s="51">
        <v>0</v>
      </c>
      <c r="F984" s="51">
        <v>0</v>
      </c>
      <c r="G984" s="51">
        <v>0</v>
      </c>
      <c r="H984" s="51">
        <v>9047</v>
      </c>
      <c r="I984" s="51">
        <v>-9047</v>
      </c>
      <c r="J984" s="51">
        <v>0</v>
      </c>
      <c r="K984" s="51">
        <v>0</v>
      </c>
      <c r="L984" s="51">
        <v>0</v>
      </c>
      <c r="M984" s="51">
        <v>0</v>
      </c>
      <c r="N984" s="51">
        <v>0</v>
      </c>
    </row>
    <row r="985" spans="1:14" outlineLevel="2" x14ac:dyDescent="0.35">
      <c r="A985" s="53" t="s">
        <v>285</v>
      </c>
      <c r="B985" s="66" t="s">
        <v>206</v>
      </c>
      <c r="C985" s="51">
        <v>9436</v>
      </c>
      <c r="D985" s="51">
        <v>0</v>
      </c>
      <c r="E985" s="51">
        <v>0</v>
      </c>
      <c r="F985" s="51">
        <v>0</v>
      </c>
      <c r="G985" s="51">
        <v>0</v>
      </c>
      <c r="H985" s="51">
        <v>9436</v>
      </c>
      <c r="I985" s="51">
        <v>-9436</v>
      </c>
      <c r="J985" s="51">
        <v>0</v>
      </c>
      <c r="K985" s="51">
        <v>0</v>
      </c>
      <c r="L985" s="51">
        <v>0</v>
      </c>
      <c r="M985" s="51">
        <v>0</v>
      </c>
      <c r="N985" s="51">
        <v>0</v>
      </c>
    </row>
    <row r="986" spans="1:14" outlineLevel="2" x14ac:dyDescent="0.35">
      <c r="A986" s="53" t="s">
        <v>285</v>
      </c>
      <c r="B986" s="66" t="s">
        <v>205</v>
      </c>
      <c r="C986" s="51">
        <v>9850</v>
      </c>
      <c r="D986" s="51">
        <v>0</v>
      </c>
      <c r="E986" s="51">
        <v>0</v>
      </c>
      <c r="F986" s="51">
        <v>0</v>
      </c>
      <c r="G986" s="51">
        <v>0</v>
      </c>
      <c r="H986" s="51">
        <v>9850</v>
      </c>
      <c r="I986" s="51">
        <v>-9850</v>
      </c>
      <c r="J986" s="51">
        <v>0</v>
      </c>
      <c r="K986" s="51">
        <v>0</v>
      </c>
      <c r="L986" s="51">
        <v>0</v>
      </c>
      <c r="M986" s="51">
        <v>0</v>
      </c>
      <c r="N986" s="51">
        <v>0</v>
      </c>
    </row>
    <row r="987" spans="1:14" outlineLevel="2" x14ac:dyDescent="0.35">
      <c r="A987" s="53" t="s">
        <v>285</v>
      </c>
      <c r="B987" s="66" t="s">
        <v>204</v>
      </c>
      <c r="C987" s="51">
        <v>19275</v>
      </c>
      <c r="D987" s="51">
        <v>0</v>
      </c>
      <c r="E987" s="51">
        <v>0</v>
      </c>
      <c r="F987" s="51">
        <v>0</v>
      </c>
      <c r="G987" s="51">
        <v>0</v>
      </c>
      <c r="H987" s="51">
        <v>19275</v>
      </c>
      <c r="I987" s="51">
        <v>-19275</v>
      </c>
      <c r="J987" s="51">
        <v>0</v>
      </c>
      <c r="K987" s="51">
        <v>0</v>
      </c>
      <c r="L987" s="51">
        <v>0</v>
      </c>
      <c r="M987" s="51">
        <v>0</v>
      </c>
      <c r="N987" s="51">
        <v>0</v>
      </c>
    </row>
    <row r="988" spans="1:14" outlineLevel="2" x14ac:dyDescent="0.35">
      <c r="A988" s="53" t="s">
        <v>285</v>
      </c>
      <c r="B988" s="66" t="s">
        <v>203</v>
      </c>
      <c r="C988" s="51">
        <v>17371</v>
      </c>
      <c r="D988" s="51">
        <v>-456</v>
      </c>
      <c r="E988" s="51">
        <v>0</v>
      </c>
      <c r="F988" s="51">
        <v>0</v>
      </c>
      <c r="G988" s="51">
        <v>0</v>
      </c>
      <c r="H988" s="51">
        <v>16915</v>
      </c>
      <c r="I988" s="51">
        <v>-16915</v>
      </c>
      <c r="J988" s="51">
        <v>0</v>
      </c>
      <c r="K988" s="51">
        <v>0</v>
      </c>
      <c r="L988" s="51">
        <v>0</v>
      </c>
      <c r="M988" s="51">
        <v>0</v>
      </c>
      <c r="N988" s="51">
        <v>0</v>
      </c>
    </row>
    <row r="989" spans="1:14" outlineLevel="2" x14ac:dyDescent="0.35">
      <c r="A989" s="53" t="s">
        <v>285</v>
      </c>
      <c r="B989" s="66" t="s">
        <v>202</v>
      </c>
      <c r="C989" s="51">
        <v>16975</v>
      </c>
      <c r="D989" s="51">
        <v>-371</v>
      </c>
      <c r="E989" s="51">
        <v>0</v>
      </c>
      <c r="F989" s="51">
        <v>0</v>
      </c>
      <c r="G989" s="51">
        <v>0</v>
      </c>
      <c r="H989" s="51">
        <v>16604</v>
      </c>
      <c r="I989" s="51">
        <v>-16604</v>
      </c>
      <c r="J989" s="51">
        <v>0</v>
      </c>
      <c r="K989" s="51">
        <v>2137</v>
      </c>
      <c r="L989" s="51">
        <v>-2137</v>
      </c>
      <c r="M989" s="51">
        <v>0</v>
      </c>
      <c r="N989" s="51">
        <v>0</v>
      </c>
    </row>
    <row r="990" spans="1:14" outlineLevel="2" x14ac:dyDescent="0.35">
      <c r="A990" s="53" t="s">
        <v>285</v>
      </c>
      <c r="B990" s="66" t="s">
        <v>201</v>
      </c>
      <c r="C990" s="51">
        <v>18025</v>
      </c>
      <c r="D990" s="51">
        <v>-473</v>
      </c>
      <c r="E990" s="51">
        <v>0</v>
      </c>
      <c r="F990" s="51">
        <v>0</v>
      </c>
      <c r="G990" s="51">
        <v>0</v>
      </c>
      <c r="H990" s="51">
        <v>17552</v>
      </c>
      <c r="I990" s="51">
        <v>-17552</v>
      </c>
      <c r="J990" s="51">
        <v>0</v>
      </c>
      <c r="K990" s="51">
        <v>235</v>
      </c>
      <c r="L990" s="51">
        <v>-235</v>
      </c>
      <c r="M990" s="51">
        <v>0</v>
      </c>
      <c r="N990" s="51">
        <v>0</v>
      </c>
    </row>
    <row r="991" spans="1:14" outlineLevel="2" x14ac:dyDescent="0.35">
      <c r="A991" s="53" t="s">
        <v>285</v>
      </c>
      <c r="B991" s="66" t="s">
        <v>200</v>
      </c>
      <c r="C991" s="51">
        <v>18202</v>
      </c>
      <c r="D991" s="51">
        <v>0</v>
      </c>
      <c r="E991" s="51">
        <v>0</v>
      </c>
      <c r="F991" s="51">
        <v>0</v>
      </c>
      <c r="G991" s="51">
        <v>0</v>
      </c>
      <c r="H991" s="51">
        <v>18202</v>
      </c>
      <c r="I991" s="51">
        <v>-18202</v>
      </c>
      <c r="J991" s="51">
        <v>0</v>
      </c>
      <c r="K991" s="51">
        <v>4820</v>
      </c>
      <c r="L991" s="51">
        <v>-4820</v>
      </c>
      <c r="M991" s="51">
        <v>0</v>
      </c>
      <c r="N991" s="51">
        <v>0</v>
      </c>
    </row>
    <row r="992" spans="1:14" outlineLevel="2" x14ac:dyDescent="0.35">
      <c r="A992" s="53" t="s">
        <v>285</v>
      </c>
      <c r="B992" s="66" t="s">
        <v>199</v>
      </c>
      <c r="C992" s="51">
        <v>19422</v>
      </c>
      <c r="D992" s="51">
        <v>0</v>
      </c>
      <c r="E992" s="51">
        <v>0</v>
      </c>
      <c r="F992" s="51">
        <v>0</v>
      </c>
      <c r="G992" s="51">
        <v>0</v>
      </c>
      <c r="H992" s="51">
        <v>19422</v>
      </c>
      <c r="I992" s="51">
        <v>-19422</v>
      </c>
      <c r="J992" s="51">
        <v>0</v>
      </c>
      <c r="K992" s="51">
        <v>0</v>
      </c>
      <c r="L992" s="51">
        <v>0</v>
      </c>
      <c r="M992" s="51">
        <v>0</v>
      </c>
      <c r="N992" s="51">
        <v>0</v>
      </c>
    </row>
    <row r="993" spans="1:14" outlineLevel="1" x14ac:dyDescent="0.35">
      <c r="A993" s="53" t="s">
        <v>285</v>
      </c>
      <c r="B993" s="66" t="s">
        <v>198</v>
      </c>
      <c r="C993" s="51">
        <v>21253</v>
      </c>
      <c r="D993" s="51">
        <v>0</v>
      </c>
      <c r="E993" s="51">
        <v>0</v>
      </c>
      <c r="F993" s="51">
        <v>0</v>
      </c>
      <c r="G993" s="51">
        <v>0</v>
      </c>
      <c r="H993" s="51">
        <v>21253</v>
      </c>
      <c r="I993" s="51">
        <v>-21253</v>
      </c>
      <c r="J993" s="51">
        <v>0</v>
      </c>
      <c r="K993" s="51">
        <v>0</v>
      </c>
      <c r="L993" s="51">
        <v>0</v>
      </c>
      <c r="M993" s="51">
        <v>0</v>
      </c>
      <c r="N993" s="51">
        <v>0</v>
      </c>
    </row>
    <row r="994" spans="1:14" outlineLevel="2" x14ac:dyDescent="0.35">
      <c r="A994" s="53" t="s">
        <v>285</v>
      </c>
      <c r="B994" s="66" t="s">
        <v>197</v>
      </c>
      <c r="C994" s="51">
        <v>17162</v>
      </c>
      <c r="D994" s="51">
        <v>-867</v>
      </c>
      <c r="E994" s="51">
        <v>0</v>
      </c>
      <c r="F994" s="51">
        <v>0</v>
      </c>
      <c r="G994" s="51">
        <v>0</v>
      </c>
      <c r="H994" s="51">
        <v>16295</v>
      </c>
      <c r="I994" s="51">
        <v>-16295</v>
      </c>
      <c r="J994" s="51">
        <v>0</v>
      </c>
      <c r="K994" s="51">
        <v>2176</v>
      </c>
      <c r="L994" s="51">
        <v>-2176</v>
      </c>
      <c r="M994" s="51">
        <v>0</v>
      </c>
      <c r="N994" s="51">
        <v>0</v>
      </c>
    </row>
    <row r="995" spans="1:14" outlineLevel="2" x14ac:dyDescent="0.35">
      <c r="A995" s="53" t="s">
        <v>285</v>
      </c>
      <c r="B995" s="66" t="s">
        <v>196</v>
      </c>
      <c r="C995" s="51">
        <v>15468</v>
      </c>
      <c r="D995" s="51">
        <v>0</v>
      </c>
      <c r="E995" s="51">
        <v>0</v>
      </c>
      <c r="F995" s="51">
        <v>0</v>
      </c>
      <c r="G995" s="51">
        <v>0</v>
      </c>
      <c r="H995" s="51">
        <v>15468</v>
      </c>
      <c r="I995" s="51">
        <v>-15468</v>
      </c>
      <c r="J995" s="51">
        <v>0</v>
      </c>
      <c r="K995" s="51">
        <v>2943</v>
      </c>
      <c r="L995" s="51">
        <v>-2943</v>
      </c>
      <c r="M995" s="51">
        <v>0</v>
      </c>
      <c r="N995" s="51">
        <v>0</v>
      </c>
    </row>
    <row r="996" spans="1:14" outlineLevel="2" x14ac:dyDescent="0.35">
      <c r="A996" s="53" t="s">
        <v>285</v>
      </c>
      <c r="B996" s="66" t="s">
        <v>195</v>
      </c>
      <c r="C996" s="51">
        <v>19898</v>
      </c>
      <c r="D996" s="51">
        <v>-381</v>
      </c>
      <c r="E996" s="51">
        <v>0</v>
      </c>
      <c r="F996" s="51">
        <v>0</v>
      </c>
      <c r="G996" s="51">
        <v>0</v>
      </c>
      <c r="H996" s="51">
        <v>19517</v>
      </c>
      <c r="I996" s="51">
        <v>-19517</v>
      </c>
      <c r="J996" s="51">
        <v>0</v>
      </c>
      <c r="K996" s="51">
        <v>153</v>
      </c>
      <c r="L996" s="51">
        <v>-153</v>
      </c>
      <c r="M996" s="51">
        <v>0</v>
      </c>
      <c r="N996" s="51">
        <v>0</v>
      </c>
    </row>
    <row r="997" spans="1:14" outlineLevel="1" x14ac:dyDescent="0.35">
      <c r="A997" s="53" t="s">
        <v>285</v>
      </c>
      <c r="B997" s="66" t="s">
        <v>194</v>
      </c>
      <c r="C997" s="51">
        <v>16658</v>
      </c>
      <c r="D997" s="51">
        <v>0</v>
      </c>
      <c r="E997" s="51">
        <v>0</v>
      </c>
      <c r="F997" s="51">
        <v>0</v>
      </c>
      <c r="G997" s="51">
        <v>0</v>
      </c>
      <c r="H997" s="51">
        <v>16658</v>
      </c>
      <c r="I997" s="51">
        <v>-16658</v>
      </c>
      <c r="J997" s="51">
        <v>0</v>
      </c>
      <c r="K997" s="51">
        <v>64</v>
      </c>
      <c r="L997" s="51">
        <v>-64</v>
      </c>
      <c r="M997" s="51">
        <v>0</v>
      </c>
      <c r="N997" s="51">
        <v>0</v>
      </c>
    </row>
    <row r="998" spans="1:14" outlineLevel="1" x14ac:dyDescent="0.35">
      <c r="A998" s="53" t="s">
        <v>285</v>
      </c>
      <c r="B998" s="66" t="s">
        <v>193</v>
      </c>
      <c r="C998" s="51">
        <v>15437</v>
      </c>
      <c r="D998" s="51">
        <v>0</v>
      </c>
      <c r="E998" s="51">
        <v>0</v>
      </c>
      <c r="F998" s="51">
        <v>0</v>
      </c>
      <c r="G998" s="51">
        <v>0</v>
      </c>
      <c r="H998" s="51">
        <v>15437</v>
      </c>
      <c r="I998" s="51">
        <v>-15437</v>
      </c>
      <c r="J998" s="51">
        <v>0</v>
      </c>
      <c r="K998" s="51">
        <v>1352</v>
      </c>
      <c r="L998" s="51">
        <v>-1352</v>
      </c>
      <c r="M998" s="51">
        <v>0</v>
      </c>
      <c r="N998" s="51">
        <v>0</v>
      </c>
    </row>
    <row r="999" spans="1:14" outlineLevel="2" x14ac:dyDescent="0.35">
      <c r="A999" s="53" t="s">
        <v>285</v>
      </c>
      <c r="B999" s="66" t="s">
        <v>192</v>
      </c>
      <c r="C999" s="51">
        <v>15453</v>
      </c>
      <c r="D999" s="51">
        <v>0</v>
      </c>
      <c r="E999" s="51">
        <v>0</v>
      </c>
      <c r="F999" s="51">
        <v>0</v>
      </c>
      <c r="G999" s="51">
        <v>0</v>
      </c>
      <c r="H999" s="51">
        <v>15453</v>
      </c>
      <c r="I999" s="51">
        <v>-15453</v>
      </c>
      <c r="J999" s="51">
        <v>0</v>
      </c>
      <c r="K999" s="51">
        <v>8351</v>
      </c>
      <c r="L999" s="51">
        <v>-8351</v>
      </c>
      <c r="M999" s="51">
        <v>0</v>
      </c>
      <c r="N999" s="51">
        <v>0</v>
      </c>
    </row>
    <row r="1000" spans="1:14" outlineLevel="2" x14ac:dyDescent="0.35">
      <c r="A1000" s="53" t="s">
        <v>285</v>
      </c>
      <c r="B1000" s="66" t="s">
        <v>191</v>
      </c>
      <c r="C1000" s="51">
        <v>18597</v>
      </c>
      <c r="D1000" s="51">
        <v>-57</v>
      </c>
      <c r="E1000" s="51">
        <v>0</v>
      </c>
      <c r="F1000" s="51">
        <v>0</v>
      </c>
      <c r="G1000" s="51">
        <v>0</v>
      </c>
      <c r="H1000" s="51">
        <v>18540</v>
      </c>
      <c r="I1000" s="51">
        <v>-18540</v>
      </c>
      <c r="J1000" s="51">
        <v>0</v>
      </c>
      <c r="K1000" s="51">
        <v>57</v>
      </c>
      <c r="L1000" s="51">
        <v>-57</v>
      </c>
      <c r="M1000" s="51">
        <v>0</v>
      </c>
      <c r="N1000" s="51">
        <v>0</v>
      </c>
    </row>
    <row r="1001" spans="1:14" outlineLevel="2" x14ac:dyDescent="0.35">
      <c r="A1001" s="53" t="s">
        <v>285</v>
      </c>
      <c r="B1001" s="66" t="s">
        <v>190</v>
      </c>
      <c r="C1001" s="51">
        <v>15706</v>
      </c>
      <c r="D1001" s="51">
        <v>0</v>
      </c>
      <c r="E1001" s="51">
        <v>0</v>
      </c>
      <c r="F1001" s="51">
        <v>0</v>
      </c>
      <c r="G1001" s="51">
        <v>0</v>
      </c>
      <c r="H1001" s="51">
        <v>15706</v>
      </c>
      <c r="I1001" s="51">
        <v>-15706</v>
      </c>
      <c r="J1001" s="51">
        <v>0</v>
      </c>
      <c r="K1001" s="51">
        <v>2000</v>
      </c>
      <c r="L1001" s="51">
        <v>-2000</v>
      </c>
      <c r="M1001" s="51">
        <v>0</v>
      </c>
      <c r="N1001" s="51">
        <v>0</v>
      </c>
    </row>
    <row r="1002" spans="1:14" outlineLevel="2" x14ac:dyDescent="0.35">
      <c r="A1002" s="53" t="s">
        <v>285</v>
      </c>
      <c r="B1002" s="66" t="s">
        <v>189</v>
      </c>
      <c r="C1002" s="51">
        <v>14928</v>
      </c>
      <c r="D1002" s="51">
        <v>0</v>
      </c>
      <c r="E1002" s="51">
        <v>0</v>
      </c>
      <c r="F1002" s="51">
        <v>0</v>
      </c>
      <c r="G1002" s="51">
        <v>0</v>
      </c>
      <c r="H1002" s="51">
        <v>14928</v>
      </c>
      <c r="I1002" s="51">
        <v>-14928</v>
      </c>
      <c r="J1002" s="51">
        <v>0</v>
      </c>
      <c r="K1002" s="51">
        <v>5519</v>
      </c>
      <c r="L1002" s="51">
        <v>-5519</v>
      </c>
      <c r="M1002" s="51">
        <v>0</v>
      </c>
      <c r="N1002" s="51">
        <v>0</v>
      </c>
    </row>
    <row r="1003" spans="1:14" outlineLevel="2" x14ac:dyDescent="0.35">
      <c r="A1003" s="53" t="s">
        <v>285</v>
      </c>
      <c r="B1003" s="66" t="s">
        <v>188</v>
      </c>
      <c r="C1003" s="51">
        <v>15753</v>
      </c>
      <c r="D1003" s="51">
        <v>0</v>
      </c>
      <c r="E1003" s="51">
        <v>0</v>
      </c>
      <c r="F1003" s="51">
        <v>0</v>
      </c>
      <c r="G1003" s="51">
        <v>0</v>
      </c>
      <c r="H1003" s="51">
        <v>15753</v>
      </c>
      <c r="I1003" s="51">
        <v>-15753</v>
      </c>
      <c r="J1003" s="51">
        <v>0</v>
      </c>
      <c r="K1003" s="51">
        <v>1300</v>
      </c>
      <c r="L1003" s="51">
        <v>-1300</v>
      </c>
      <c r="M1003" s="51">
        <v>0</v>
      </c>
      <c r="N1003" s="51">
        <v>0</v>
      </c>
    </row>
    <row r="1004" spans="1:14" outlineLevel="2" x14ac:dyDescent="0.35">
      <c r="A1004" s="53" t="s">
        <v>285</v>
      </c>
      <c r="B1004" s="66" t="s">
        <v>186</v>
      </c>
      <c r="C1004" s="51">
        <v>12509</v>
      </c>
      <c r="D1004" s="51">
        <v>0</v>
      </c>
      <c r="E1004" s="51">
        <v>0</v>
      </c>
      <c r="F1004" s="51">
        <v>0</v>
      </c>
      <c r="G1004" s="51">
        <v>0</v>
      </c>
      <c r="H1004" s="51">
        <v>12509</v>
      </c>
      <c r="I1004" s="51">
        <v>-12509</v>
      </c>
      <c r="J1004" s="51">
        <v>0</v>
      </c>
      <c r="K1004" s="51">
        <v>3673</v>
      </c>
      <c r="L1004" s="51">
        <v>-3673</v>
      </c>
      <c r="M1004" s="51">
        <v>0</v>
      </c>
      <c r="N1004" s="51">
        <v>0</v>
      </c>
    </row>
    <row r="1005" spans="1:14" ht="16" outlineLevel="2" thickBot="1" x14ac:dyDescent="0.4">
      <c r="A1005" s="50" t="s">
        <v>102</v>
      </c>
      <c r="B1005" s="67" t="s">
        <v>12</v>
      </c>
      <c r="C1005" s="48">
        <f>SUBTOTAL(109,Program43[(C)
Program
Costs])</f>
        <v>426520</v>
      </c>
      <c r="D1005" s="48">
        <f>SUBTOTAL(109,Program43[(D)
Prior Period Adjustments])</f>
        <v>-2373</v>
      </c>
      <c r="E1005" s="48">
        <f>SUBTOTAL(109,Program43[(E)
Current Period Desk 
Reviews])</f>
        <v>0</v>
      </c>
      <c r="F1005" s="48">
        <f>SUBTOTAL(109,Program43[(F)
Current Period 
Final 
Audits])</f>
        <v>0</v>
      </c>
      <c r="G1005" s="48">
        <f>SUBTOTAL(109,Program43[(G)
Current Period 
Other Adjustments])</f>
        <v>0</v>
      </c>
      <c r="H1005" s="48">
        <f>SUBTOTAL(109,Program43[(H)
Net Program Costs
Sum (C through G)])</f>
        <v>424147</v>
      </c>
      <c r="I1005" s="48">
        <f>SUBTOTAL(109,Program43[(I)
Payments
 and Offsets])</f>
        <v>-416001</v>
      </c>
      <c r="J1005" s="48">
        <f>SUBTOTAL(109,Program43[(J)
Accounts Payable Balance
(H + I)])</f>
        <v>8146</v>
      </c>
      <c r="K1005" s="48">
        <f>SUBTOTAL(109,Program43[(K)
Established 
Accounts Receivable])</f>
        <v>34780</v>
      </c>
      <c r="L1005" s="48">
        <f>SUBTOTAL(109,Program43[(L)
Recovered
 Accounts Receivable])</f>
        <v>-34780</v>
      </c>
      <c r="M1005" s="48">
        <f>SUBTOTAL(109,Program43[(M)
Accounts Receivable Balance
(K + L)])</f>
        <v>0</v>
      </c>
      <c r="N1005" s="48">
        <f>SUBTOTAL(109,Program43[(N)
Net Balance
(J minus M)])</f>
        <v>8146</v>
      </c>
    </row>
    <row r="1006" spans="1:14" outlineLevel="2" x14ac:dyDescent="0.35">
      <c r="A1006" s="63" t="s">
        <v>33</v>
      </c>
      <c r="B1006" s="62"/>
      <c r="C1006" s="61"/>
      <c r="D1006" s="61"/>
      <c r="E1006" s="61"/>
      <c r="F1006" s="61"/>
      <c r="G1006" s="61"/>
      <c r="H1006" s="61"/>
      <c r="I1006" s="61"/>
      <c r="J1006" s="61"/>
      <c r="K1006" s="61"/>
      <c r="L1006" s="61"/>
      <c r="M1006" s="61"/>
      <c r="N1006" s="61"/>
    </row>
    <row r="1007" spans="1:14" ht="77.5" outlineLevel="2" x14ac:dyDescent="0.35">
      <c r="A1007" s="60" t="s">
        <v>185</v>
      </c>
      <c r="B1007" s="59" t="s">
        <v>184</v>
      </c>
      <c r="C1007" s="58" t="s">
        <v>183</v>
      </c>
      <c r="D1007" s="58" t="s">
        <v>182</v>
      </c>
      <c r="E1007" s="56" t="s">
        <v>181</v>
      </c>
      <c r="F1007" s="56" t="s">
        <v>180</v>
      </c>
      <c r="G1007" s="56" t="s">
        <v>179</v>
      </c>
      <c r="H1007" s="57" t="s">
        <v>674</v>
      </c>
      <c r="I1007" s="55" t="s">
        <v>178</v>
      </c>
      <c r="J1007" s="55" t="s">
        <v>177</v>
      </c>
      <c r="K1007" s="56" t="s">
        <v>176</v>
      </c>
      <c r="L1007" s="55" t="s">
        <v>175</v>
      </c>
      <c r="M1007" s="55" t="s">
        <v>174</v>
      </c>
      <c r="N1007" s="54" t="s">
        <v>173</v>
      </c>
    </row>
    <row r="1008" spans="1:14" outlineLevel="1" x14ac:dyDescent="0.35">
      <c r="A1008" s="53" t="s">
        <v>284</v>
      </c>
      <c r="B1008" s="66" t="s">
        <v>215</v>
      </c>
      <c r="C1008" s="51">
        <v>1628</v>
      </c>
      <c r="D1008" s="51">
        <v>0</v>
      </c>
      <c r="E1008" s="51">
        <v>0</v>
      </c>
      <c r="F1008" s="51">
        <v>0</v>
      </c>
      <c r="G1008" s="51">
        <v>0</v>
      </c>
      <c r="H1008" s="51">
        <v>1628</v>
      </c>
      <c r="I1008" s="51">
        <v>0</v>
      </c>
      <c r="J1008" s="51">
        <v>1628</v>
      </c>
      <c r="K1008" s="51">
        <v>0</v>
      </c>
      <c r="L1008" s="51">
        <v>0</v>
      </c>
      <c r="M1008" s="51">
        <v>0</v>
      </c>
      <c r="N1008" s="51">
        <v>1628</v>
      </c>
    </row>
    <row r="1009" spans="1:14" outlineLevel="2" x14ac:dyDescent="0.35">
      <c r="A1009" s="53" t="s">
        <v>284</v>
      </c>
      <c r="B1009" s="66" t="s">
        <v>214</v>
      </c>
      <c r="C1009" s="51">
        <v>4050</v>
      </c>
      <c r="D1009" s="51">
        <v>0</v>
      </c>
      <c r="E1009" s="51">
        <v>0</v>
      </c>
      <c r="F1009" s="51">
        <v>0</v>
      </c>
      <c r="G1009" s="51">
        <v>0</v>
      </c>
      <c r="H1009" s="51">
        <v>4050</v>
      </c>
      <c r="I1009" s="51">
        <v>-4050</v>
      </c>
      <c r="J1009" s="51">
        <v>0</v>
      </c>
      <c r="K1009" s="51">
        <v>0</v>
      </c>
      <c r="L1009" s="51">
        <v>0</v>
      </c>
      <c r="M1009" s="51">
        <v>0</v>
      </c>
      <c r="N1009" s="51">
        <v>0</v>
      </c>
    </row>
    <row r="1010" spans="1:14" outlineLevel="2" x14ac:dyDescent="0.35">
      <c r="A1010" s="53" t="s">
        <v>284</v>
      </c>
      <c r="B1010" s="66" t="s">
        <v>212</v>
      </c>
      <c r="C1010" s="51">
        <v>3707</v>
      </c>
      <c r="D1010" s="51">
        <v>0</v>
      </c>
      <c r="E1010" s="51">
        <v>0</v>
      </c>
      <c r="F1010" s="51">
        <v>0</v>
      </c>
      <c r="G1010" s="51">
        <v>0</v>
      </c>
      <c r="H1010" s="51">
        <v>3707</v>
      </c>
      <c r="I1010" s="51">
        <v>-3707</v>
      </c>
      <c r="J1010" s="51">
        <v>0</v>
      </c>
      <c r="K1010" s="51">
        <v>0</v>
      </c>
      <c r="L1010" s="51">
        <v>0</v>
      </c>
      <c r="M1010" s="51">
        <v>0</v>
      </c>
      <c r="N1010" s="51">
        <v>0</v>
      </c>
    </row>
    <row r="1011" spans="1:14" outlineLevel="2" x14ac:dyDescent="0.35">
      <c r="A1011" s="53" t="s">
        <v>284</v>
      </c>
      <c r="B1011" s="66" t="s">
        <v>220</v>
      </c>
      <c r="C1011" s="51">
        <v>3912</v>
      </c>
      <c r="D1011" s="51">
        <v>0</v>
      </c>
      <c r="E1011" s="51">
        <v>0</v>
      </c>
      <c r="F1011" s="51">
        <v>0</v>
      </c>
      <c r="G1011" s="51">
        <v>0</v>
      </c>
      <c r="H1011" s="51">
        <v>3912</v>
      </c>
      <c r="I1011" s="51">
        <v>-3912</v>
      </c>
      <c r="J1011" s="51">
        <v>0</v>
      </c>
      <c r="K1011" s="51">
        <v>0</v>
      </c>
      <c r="L1011" s="51">
        <v>0</v>
      </c>
      <c r="M1011" s="51">
        <v>0</v>
      </c>
      <c r="N1011" s="51">
        <v>0</v>
      </c>
    </row>
    <row r="1012" spans="1:14" outlineLevel="2" x14ac:dyDescent="0.35">
      <c r="A1012" s="53" t="s">
        <v>284</v>
      </c>
      <c r="B1012" s="66" t="s">
        <v>219</v>
      </c>
      <c r="C1012" s="51">
        <v>2930</v>
      </c>
      <c r="D1012" s="51">
        <v>0</v>
      </c>
      <c r="E1012" s="51">
        <v>0</v>
      </c>
      <c r="F1012" s="51">
        <v>0</v>
      </c>
      <c r="G1012" s="51">
        <v>0</v>
      </c>
      <c r="H1012" s="51">
        <v>2930</v>
      </c>
      <c r="I1012" s="51">
        <v>-2930</v>
      </c>
      <c r="J1012" s="51">
        <v>0</v>
      </c>
      <c r="K1012" s="51">
        <v>0</v>
      </c>
      <c r="L1012" s="51">
        <v>0</v>
      </c>
      <c r="M1012" s="51">
        <v>0</v>
      </c>
      <c r="N1012" s="51">
        <v>0</v>
      </c>
    </row>
    <row r="1013" spans="1:14" outlineLevel="2" x14ac:dyDescent="0.35">
      <c r="A1013" s="53" t="s">
        <v>284</v>
      </c>
      <c r="B1013" s="66" t="s">
        <v>218</v>
      </c>
      <c r="C1013" s="51">
        <v>5378</v>
      </c>
      <c r="D1013" s="51">
        <v>0</v>
      </c>
      <c r="E1013" s="51">
        <v>0</v>
      </c>
      <c r="F1013" s="51">
        <v>0</v>
      </c>
      <c r="G1013" s="51">
        <v>0</v>
      </c>
      <c r="H1013" s="51">
        <v>5378</v>
      </c>
      <c r="I1013" s="51">
        <v>-5378</v>
      </c>
      <c r="J1013" s="51">
        <v>0</v>
      </c>
      <c r="K1013" s="51">
        <v>0</v>
      </c>
      <c r="L1013" s="51">
        <v>0</v>
      </c>
      <c r="M1013" s="51">
        <v>0</v>
      </c>
      <c r="N1013" s="51">
        <v>0</v>
      </c>
    </row>
    <row r="1014" spans="1:14" outlineLevel="2" x14ac:dyDescent="0.35">
      <c r="A1014" s="53" t="s">
        <v>284</v>
      </c>
      <c r="B1014" s="66" t="s">
        <v>209</v>
      </c>
      <c r="C1014" s="51">
        <v>4604</v>
      </c>
      <c r="D1014" s="51">
        <v>0</v>
      </c>
      <c r="E1014" s="51">
        <v>0</v>
      </c>
      <c r="F1014" s="51">
        <v>0</v>
      </c>
      <c r="G1014" s="51">
        <v>0</v>
      </c>
      <c r="H1014" s="51">
        <v>4604</v>
      </c>
      <c r="I1014" s="51">
        <v>-4604</v>
      </c>
      <c r="J1014" s="51">
        <v>0</v>
      </c>
      <c r="K1014" s="51">
        <v>0</v>
      </c>
      <c r="L1014" s="51">
        <v>0</v>
      </c>
      <c r="M1014" s="51">
        <v>0</v>
      </c>
      <c r="N1014" s="51">
        <v>0</v>
      </c>
    </row>
    <row r="1015" spans="1:14" outlineLevel="2" x14ac:dyDescent="0.35">
      <c r="A1015" s="53" t="s">
        <v>284</v>
      </c>
      <c r="B1015" s="66" t="s">
        <v>208</v>
      </c>
      <c r="C1015" s="51">
        <v>5519</v>
      </c>
      <c r="D1015" s="51">
        <v>0</v>
      </c>
      <c r="E1015" s="51">
        <v>0</v>
      </c>
      <c r="F1015" s="51">
        <v>0</v>
      </c>
      <c r="G1015" s="51">
        <v>0</v>
      </c>
      <c r="H1015" s="51">
        <v>5519</v>
      </c>
      <c r="I1015" s="51">
        <v>-5519</v>
      </c>
      <c r="J1015" s="51">
        <v>0</v>
      </c>
      <c r="K1015" s="51">
        <v>0</v>
      </c>
      <c r="L1015" s="51">
        <v>0</v>
      </c>
      <c r="M1015" s="51">
        <v>0</v>
      </c>
      <c r="N1015" s="51">
        <v>0</v>
      </c>
    </row>
    <row r="1016" spans="1:14" outlineLevel="2" x14ac:dyDescent="0.35">
      <c r="A1016" s="53" t="s">
        <v>284</v>
      </c>
      <c r="B1016" s="66" t="s">
        <v>206</v>
      </c>
      <c r="C1016" s="51">
        <v>6160</v>
      </c>
      <c r="D1016" s="51">
        <v>0</v>
      </c>
      <c r="E1016" s="51">
        <v>0</v>
      </c>
      <c r="F1016" s="51">
        <v>0</v>
      </c>
      <c r="G1016" s="51">
        <v>0</v>
      </c>
      <c r="H1016" s="51">
        <v>6160</v>
      </c>
      <c r="I1016" s="51">
        <v>-6160</v>
      </c>
      <c r="J1016" s="51">
        <v>0</v>
      </c>
      <c r="K1016" s="51">
        <v>0</v>
      </c>
      <c r="L1016" s="51">
        <v>0</v>
      </c>
      <c r="M1016" s="51">
        <v>0</v>
      </c>
      <c r="N1016" s="51">
        <v>0</v>
      </c>
    </row>
    <row r="1017" spans="1:14" outlineLevel="2" x14ac:dyDescent="0.35">
      <c r="A1017" s="53" t="s">
        <v>284</v>
      </c>
      <c r="B1017" s="66" t="s">
        <v>205</v>
      </c>
      <c r="C1017" s="51">
        <v>5273</v>
      </c>
      <c r="D1017" s="51">
        <v>0</v>
      </c>
      <c r="E1017" s="51">
        <v>0</v>
      </c>
      <c r="F1017" s="51">
        <v>0</v>
      </c>
      <c r="G1017" s="51">
        <v>0</v>
      </c>
      <c r="H1017" s="51">
        <v>5273</v>
      </c>
      <c r="I1017" s="51">
        <v>-5273</v>
      </c>
      <c r="J1017" s="51">
        <v>0</v>
      </c>
      <c r="K1017" s="51">
        <v>0</v>
      </c>
      <c r="L1017" s="51">
        <v>0</v>
      </c>
      <c r="M1017" s="51">
        <v>0</v>
      </c>
      <c r="N1017" s="51">
        <v>0</v>
      </c>
    </row>
    <row r="1018" spans="1:14" outlineLevel="1" x14ac:dyDescent="0.35">
      <c r="A1018" s="53" t="s">
        <v>284</v>
      </c>
      <c r="B1018" s="66" t="s">
        <v>204</v>
      </c>
      <c r="C1018" s="51">
        <v>3758</v>
      </c>
      <c r="D1018" s="51">
        <v>0</v>
      </c>
      <c r="E1018" s="51">
        <v>0</v>
      </c>
      <c r="F1018" s="51">
        <v>0</v>
      </c>
      <c r="G1018" s="51">
        <v>0</v>
      </c>
      <c r="H1018" s="51">
        <v>3758</v>
      </c>
      <c r="I1018" s="51">
        <v>-3758</v>
      </c>
      <c r="J1018" s="51">
        <v>0</v>
      </c>
      <c r="K1018" s="51">
        <v>0</v>
      </c>
      <c r="L1018" s="51">
        <v>0</v>
      </c>
      <c r="M1018" s="51">
        <v>0</v>
      </c>
      <c r="N1018" s="51">
        <v>0</v>
      </c>
    </row>
    <row r="1019" spans="1:14" outlineLevel="1" x14ac:dyDescent="0.35">
      <c r="A1019" s="53" t="s">
        <v>284</v>
      </c>
      <c r="B1019" s="66" t="s">
        <v>203</v>
      </c>
      <c r="C1019" s="51">
        <v>2155</v>
      </c>
      <c r="D1019" s="51">
        <v>0</v>
      </c>
      <c r="E1019" s="51">
        <v>0</v>
      </c>
      <c r="F1019" s="51">
        <v>0</v>
      </c>
      <c r="G1019" s="51">
        <v>0</v>
      </c>
      <c r="H1019" s="51">
        <v>2155</v>
      </c>
      <c r="I1019" s="51">
        <v>-2155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</row>
    <row r="1020" spans="1:14" ht="16" outlineLevel="1" thickBot="1" x14ac:dyDescent="0.4">
      <c r="A1020" s="50" t="s">
        <v>101</v>
      </c>
      <c r="B1020" s="67" t="s">
        <v>12</v>
      </c>
      <c r="C1020" s="48">
        <f>SUBTOTAL(109,Program361[(C)
Program
Costs])</f>
        <v>49074</v>
      </c>
      <c r="D1020" s="48">
        <f>SUBTOTAL(109,Program361[(D)
Prior Period Adjustments])</f>
        <v>0</v>
      </c>
      <c r="E1020" s="48">
        <f>SUBTOTAL(109,Program361[(E)
Current Period Desk 
Reviews])</f>
        <v>0</v>
      </c>
      <c r="F1020" s="48">
        <f>SUBTOTAL(105,Program361[(F)
Current Period 
Final 
Audits])</f>
        <v>0</v>
      </c>
      <c r="G1020" s="48">
        <f>SUBTOTAL(109,Program361[(G)
Current Period 
Other Adjustments])</f>
        <v>0</v>
      </c>
      <c r="H1020" s="48">
        <f>SUBTOTAL(109,Program361[(H)
Net Program Costs
Sum (C through G)])</f>
        <v>49074</v>
      </c>
      <c r="I1020" s="48">
        <f>SUBTOTAL(109,Program361[(I)
Payments
 and Offsets])</f>
        <v>-47446</v>
      </c>
      <c r="J1020" s="48">
        <f>SUBTOTAL(109,Program361[(J)
Accounts Payable Balance
(H + I)])</f>
        <v>1628</v>
      </c>
      <c r="K1020" s="48">
        <f>SUBTOTAL(109,Program361[(K)
Established 
Accounts Receivable])</f>
        <v>0</v>
      </c>
      <c r="L1020" s="48">
        <f>SUBTOTAL(109,Program361[(L)
Recovered
 Accounts Receivable])</f>
        <v>0</v>
      </c>
      <c r="M1020" s="48">
        <f>SUBTOTAL(109,Program361[(M)
Accounts Receivable Balance
(K + L)])</f>
        <v>0</v>
      </c>
      <c r="N1020" s="48">
        <f>SUBTOTAL(109,Program361[(N)
Net Balance
(J minus M)])</f>
        <v>1628</v>
      </c>
    </row>
    <row r="1021" spans="1:14" outlineLevel="2" x14ac:dyDescent="0.35">
      <c r="A1021" s="63" t="s">
        <v>33</v>
      </c>
      <c r="B1021" s="62"/>
      <c r="C1021" s="61"/>
      <c r="D1021" s="61"/>
      <c r="E1021" s="61"/>
      <c r="F1021" s="61"/>
      <c r="G1021" s="61"/>
      <c r="H1021" s="61"/>
      <c r="I1021" s="61"/>
      <c r="J1021" s="61"/>
      <c r="K1021" s="61"/>
      <c r="L1021" s="61"/>
      <c r="M1021" s="61"/>
      <c r="N1021" s="61"/>
    </row>
    <row r="1022" spans="1:14" ht="77.5" outlineLevel="2" x14ac:dyDescent="0.35">
      <c r="A1022" s="60" t="s">
        <v>185</v>
      </c>
      <c r="B1022" s="59" t="s">
        <v>184</v>
      </c>
      <c r="C1022" s="58" t="s">
        <v>183</v>
      </c>
      <c r="D1022" s="58" t="s">
        <v>182</v>
      </c>
      <c r="E1022" s="56" t="s">
        <v>181</v>
      </c>
      <c r="F1022" s="56" t="s">
        <v>180</v>
      </c>
      <c r="G1022" s="56" t="s">
        <v>179</v>
      </c>
      <c r="H1022" s="57" t="s">
        <v>674</v>
      </c>
      <c r="I1022" s="55" t="s">
        <v>178</v>
      </c>
      <c r="J1022" s="55" t="s">
        <v>177</v>
      </c>
      <c r="K1022" s="56" t="s">
        <v>176</v>
      </c>
      <c r="L1022" s="55" t="s">
        <v>175</v>
      </c>
      <c r="M1022" s="55" t="s">
        <v>174</v>
      </c>
      <c r="N1022" s="54" t="s">
        <v>173</v>
      </c>
    </row>
    <row r="1023" spans="1:14" ht="31" outlineLevel="2" x14ac:dyDescent="0.35">
      <c r="A1023" s="70" t="s">
        <v>283</v>
      </c>
      <c r="B1023" s="69" t="s">
        <v>205</v>
      </c>
      <c r="C1023" s="68">
        <v>219819</v>
      </c>
      <c r="D1023" s="68">
        <v>0</v>
      </c>
      <c r="E1023" s="68">
        <v>0</v>
      </c>
      <c r="F1023" s="68">
        <v>0</v>
      </c>
      <c r="G1023" s="68">
        <v>0</v>
      </c>
      <c r="H1023" s="68">
        <v>219819</v>
      </c>
      <c r="I1023" s="68">
        <v>0</v>
      </c>
      <c r="J1023" s="68">
        <v>219819</v>
      </c>
      <c r="K1023" s="68">
        <v>0</v>
      </c>
      <c r="L1023" s="68">
        <v>0</v>
      </c>
      <c r="M1023" s="68">
        <v>0</v>
      </c>
      <c r="N1023" s="68">
        <v>219819</v>
      </c>
    </row>
    <row r="1024" spans="1:14" ht="31" outlineLevel="2" x14ac:dyDescent="0.35">
      <c r="A1024" s="70" t="s">
        <v>283</v>
      </c>
      <c r="B1024" s="69" t="s">
        <v>204</v>
      </c>
      <c r="C1024" s="68">
        <v>3814067</v>
      </c>
      <c r="D1024" s="68">
        <v>-11643</v>
      </c>
      <c r="E1024" s="68">
        <v>0</v>
      </c>
      <c r="F1024" s="68">
        <v>0</v>
      </c>
      <c r="G1024" s="68">
        <v>0</v>
      </c>
      <c r="H1024" s="68">
        <v>3802424</v>
      </c>
      <c r="I1024" s="68">
        <v>0</v>
      </c>
      <c r="J1024" s="68">
        <v>3802424</v>
      </c>
      <c r="K1024" s="68">
        <v>0</v>
      </c>
      <c r="L1024" s="68">
        <v>0</v>
      </c>
      <c r="M1024" s="68">
        <v>0</v>
      </c>
      <c r="N1024" s="68">
        <v>3802424</v>
      </c>
    </row>
    <row r="1025" spans="1:14" ht="31" outlineLevel="2" x14ac:dyDescent="0.35">
      <c r="A1025" s="70" t="s">
        <v>283</v>
      </c>
      <c r="B1025" s="69" t="s">
        <v>203</v>
      </c>
      <c r="C1025" s="68">
        <v>3159330</v>
      </c>
      <c r="D1025" s="68">
        <v>-12817</v>
      </c>
      <c r="E1025" s="68">
        <v>0</v>
      </c>
      <c r="F1025" s="68">
        <v>0</v>
      </c>
      <c r="G1025" s="68">
        <v>0</v>
      </c>
      <c r="H1025" s="68">
        <v>3146513</v>
      </c>
      <c r="I1025" s="68">
        <v>0</v>
      </c>
      <c r="J1025" s="68">
        <v>3146513</v>
      </c>
      <c r="K1025" s="68">
        <v>0</v>
      </c>
      <c r="L1025" s="68">
        <v>0</v>
      </c>
      <c r="M1025" s="68">
        <v>0</v>
      </c>
      <c r="N1025" s="68">
        <v>3146513</v>
      </c>
    </row>
    <row r="1026" spans="1:14" ht="31" outlineLevel="2" x14ac:dyDescent="0.35">
      <c r="A1026" s="70" t="s">
        <v>283</v>
      </c>
      <c r="B1026" s="69" t="s">
        <v>202</v>
      </c>
      <c r="C1026" s="68">
        <v>3132065</v>
      </c>
      <c r="D1026" s="68">
        <v>-128327</v>
      </c>
      <c r="E1026" s="68">
        <v>0</v>
      </c>
      <c r="F1026" s="68">
        <v>0</v>
      </c>
      <c r="G1026" s="68">
        <v>0</v>
      </c>
      <c r="H1026" s="68">
        <v>3003738</v>
      </c>
      <c r="I1026" s="68">
        <v>-2950498</v>
      </c>
      <c r="J1026" s="68">
        <v>53240</v>
      </c>
      <c r="K1026" s="68">
        <v>341376</v>
      </c>
      <c r="L1026" s="68">
        <v>-341376</v>
      </c>
      <c r="M1026" s="68">
        <v>0</v>
      </c>
      <c r="N1026" s="68">
        <v>53240</v>
      </c>
    </row>
    <row r="1027" spans="1:14" ht="31" outlineLevel="2" x14ac:dyDescent="0.35">
      <c r="A1027" s="70" t="s">
        <v>283</v>
      </c>
      <c r="B1027" s="69" t="s">
        <v>201</v>
      </c>
      <c r="C1027" s="68">
        <v>2382605</v>
      </c>
      <c r="D1027" s="68">
        <v>-84550</v>
      </c>
      <c r="E1027" s="68">
        <v>0</v>
      </c>
      <c r="F1027" s="68">
        <v>0</v>
      </c>
      <c r="G1027" s="68">
        <v>0</v>
      </c>
      <c r="H1027" s="68">
        <v>2298055</v>
      </c>
      <c r="I1027" s="68">
        <v>-2298055</v>
      </c>
      <c r="J1027" s="68">
        <v>0</v>
      </c>
      <c r="K1027" s="68">
        <v>92221</v>
      </c>
      <c r="L1027" s="68">
        <v>-92221</v>
      </c>
      <c r="M1027" s="68">
        <v>0</v>
      </c>
      <c r="N1027" s="68">
        <v>0</v>
      </c>
    </row>
    <row r="1028" spans="1:14" ht="31" outlineLevel="2" x14ac:dyDescent="0.35">
      <c r="A1028" s="70" t="s">
        <v>283</v>
      </c>
      <c r="B1028" s="69" t="s">
        <v>200</v>
      </c>
      <c r="C1028" s="68">
        <v>2310436</v>
      </c>
      <c r="D1028" s="68">
        <v>-79219</v>
      </c>
      <c r="E1028" s="68">
        <v>0</v>
      </c>
      <c r="F1028" s="68">
        <v>0</v>
      </c>
      <c r="G1028" s="68">
        <v>0</v>
      </c>
      <c r="H1028" s="68">
        <v>2231217</v>
      </c>
      <c r="I1028" s="68">
        <v>-2231217</v>
      </c>
      <c r="J1028" s="68">
        <v>0</v>
      </c>
      <c r="K1028" s="68">
        <v>254164</v>
      </c>
      <c r="L1028" s="68">
        <v>-254164</v>
      </c>
      <c r="M1028" s="68">
        <v>0</v>
      </c>
      <c r="N1028" s="68">
        <v>0</v>
      </c>
    </row>
    <row r="1029" spans="1:14" ht="31" outlineLevel="2" x14ac:dyDescent="0.35">
      <c r="A1029" s="70" t="s">
        <v>283</v>
      </c>
      <c r="B1029" s="69" t="s">
        <v>199</v>
      </c>
      <c r="C1029" s="68">
        <v>2098301</v>
      </c>
      <c r="D1029" s="68">
        <v>-121566</v>
      </c>
      <c r="E1029" s="68">
        <v>0</v>
      </c>
      <c r="F1029" s="68">
        <v>0</v>
      </c>
      <c r="G1029" s="68">
        <v>0</v>
      </c>
      <c r="H1029" s="68">
        <v>1976735</v>
      </c>
      <c r="I1029" s="68">
        <v>-1976735</v>
      </c>
      <c r="J1029" s="68">
        <v>0</v>
      </c>
      <c r="K1029" s="68">
        <v>0</v>
      </c>
      <c r="L1029" s="68">
        <v>0</v>
      </c>
      <c r="M1029" s="68">
        <v>0</v>
      </c>
      <c r="N1029" s="68">
        <v>0</v>
      </c>
    </row>
    <row r="1030" spans="1:14" ht="31" outlineLevel="2" x14ac:dyDescent="0.35">
      <c r="A1030" s="70" t="s">
        <v>283</v>
      </c>
      <c r="B1030" s="69" t="s">
        <v>198</v>
      </c>
      <c r="C1030" s="68">
        <v>2019788</v>
      </c>
      <c r="D1030" s="68">
        <v>-110264</v>
      </c>
      <c r="E1030" s="68">
        <v>0</v>
      </c>
      <c r="F1030" s="68">
        <v>0</v>
      </c>
      <c r="G1030" s="68">
        <v>0</v>
      </c>
      <c r="H1030" s="68">
        <v>1909524</v>
      </c>
      <c r="I1030" s="68">
        <v>-1909524</v>
      </c>
      <c r="J1030" s="68">
        <v>0</v>
      </c>
      <c r="K1030" s="68">
        <v>0</v>
      </c>
      <c r="L1030" s="68">
        <v>0</v>
      </c>
      <c r="M1030" s="68">
        <v>0</v>
      </c>
      <c r="N1030" s="68">
        <v>0</v>
      </c>
    </row>
    <row r="1031" spans="1:14" ht="31" outlineLevel="1" x14ac:dyDescent="0.35">
      <c r="A1031" s="70" t="s">
        <v>283</v>
      </c>
      <c r="B1031" s="69" t="s">
        <v>197</v>
      </c>
      <c r="C1031" s="68">
        <v>1696215</v>
      </c>
      <c r="D1031" s="68">
        <v>-9868</v>
      </c>
      <c r="E1031" s="68">
        <v>0</v>
      </c>
      <c r="F1031" s="68">
        <v>0</v>
      </c>
      <c r="G1031" s="68">
        <v>0</v>
      </c>
      <c r="H1031" s="68">
        <v>1686347</v>
      </c>
      <c r="I1031" s="68">
        <v>-1686347</v>
      </c>
      <c r="J1031" s="68">
        <v>0</v>
      </c>
      <c r="K1031" s="68">
        <v>0</v>
      </c>
      <c r="L1031" s="68">
        <v>0</v>
      </c>
      <c r="M1031" s="68">
        <v>0</v>
      </c>
      <c r="N1031" s="68">
        <v>0</v>
      </c>
    </row>
    <row r="1032" spans="1:14" ht="31" outlineLevel="1" x14ac:dyDescent="0.35">
      <c r="A1032" s="70" t="s">
        <v>283</v>
      </c>
      <c r="B1032" s="69" t="s">
        <v>196</v>
      </c>
      <c r="C1032" s="68">
        <v>2949117</v>
      </c>
      <c r="D1032" s="68">
        <v>-17398</v>
      </c>
      <c r="E1032" s="68">
        <v>0</v>
      </c>
      <c r="F1032" s="68">
        <v>0</v>
      </c>
      <c r="G1032" s="68">
        <v>0</v>
      </c>
      <c r="H1032" s="68">
        <v>2931719</v>
      </c>
      <c r="I1032" s="68">
        <v>-2931719</v>
      </c>
      <c r="J1032" s="68">
        <v>0</v>
      </c>
      <c r="K1032" s="68">
        <v>0</v>
      </c>
      <c r="L1032" s="68">
        <v>0</v>
      </c>
      <c r="M1032" s="68">
        <v>0</v>
      </c>
      <c r="N1032" s="68">
        <v>0</v>
      </c>
    </row>
    <row r="1033" spans="1:14" ht="31" outlineLevel="2" x14ac:dyDescent="0.35">
      <c r="A1033" s="70" t="s">
        <v>283</v>
      </c>
      <c r="B1033" s="69" t="s">
        <v>195</v>
      </c>
      <c r="C1033" s="68">
        <v>2174418</v>
      </c>
      <c r="D1033" s="68">
        <v>-3000</v>
      </c>
      <c r="E1033" s="68">
        <v>0</v>
      </c>
      <c r="F1033" s="68">
        <v>0</v>
      </c>
      <c r="G1033" s="68">
        <v>0</v>
      </c>
      <c r="H1033" s="68">
        <v>2171418</v>
      </c>
      <c r="I1033" s="68">
        <v>-2171418</v>
      </c>
      <c r="J1033" s="68">
        <v>0</v>
      </c>
      <c r="K1033" s="68">
        <v>0</v>
      </c>
      <c r="L1033" s="68">
        <v>0</v>
      </c>
      <c r="M1033" s="68">
        <v>0</v>
      </c>
      <c r="N1033" s="68">
        <v>0</v>
      </c>
    </row>
    <row r="1034" spans="1:14" ht="31" outlineLevel="2" x14ac:dyDescent="0.35">
      <c r="A1034" s="70" t="s">
        <v>283</v>
      </c>
      <c r="B1034" s="69" t="s">
        <v>194</v>
      </c>
      <c r="C1034" s="68">
        <v>1613538</v>
      </c>
      <c r="D1034" s="68">
        <v>-312</v>
      </c>
      <c r="E1034" s="68">
        <v>0</v>
      </c>
      <c r="F1034" s="68">
        <v>0</v>
      </c>
      <c r="G1034" s="68">
        <v>0</v>
      </c>
      <c r="H1034" s="68">
        <v>1613226</v>
      </c>
      <c r="I1034" s="68">
        <v>-1613226</v>
      </c>
      <c r="J1034" s="68">
        <v>0</v>
      </c>
      <c r="K1034" s="68">
        <v>0</v>
      </c>
      <c r="L1034" s="68">
        <v>0</v>
      </c>
      <c r="M1034" s="68">
        <v>0</v>
      </c>
      <c r="N1034" s="68">
        <v>0</v>
      </c>
    </row>
    <row r="1035" spans="1:14" ht="31" outlineLevel="2" x14ac:dyDescent="0.35">
      <c r="A1035" s="70" t="s">
        <v>283</v>
      </c>
      <c r="B1035" s="69" t="s">
        <v>193</v>
      </c>
      <c r="C1035" s="68">
        <v>1343914</v>
      </c>
      <c r="D1035" s="68">
        <v>-1206</v>
      </c>
      <c r="E1035" s="68">
        <v>0</v>
      </c>
      <c r="F1035" s="68">
        <v>0</v>
      </c>
      <c r="G1035" s="68">
        <v>0</v>
      </c>
      <c r="H1035" s="68">
        <v>1342708</v>
      </c>
      <c r="I1035" s="68">
        <v>-1342708</v>
      </c>
      <c r="J1035" s="68">
        <v>0</v>
      </c>
      <c r="K1035" s="68">
        <v>0</v>
      </c>
      <c r="L1035" s="68">
        <v>0</v>
      </c>
      <c r="M1035" s="68">
        <v>0</v>
      </c>
      <c r="N1035" s="68">
        <v>0</v>
      </c>
    </row>
    <row r="1036" spans="1:14" ht="16" outlineLevel="1" thickBot="1" x14ac:dyDescent="0.4">
      <c r="A1036" s="50" t="s">
        <v>100</v>
      </c>
      <c r="B1036" s="67" t="s">
        <v>12</v>
      </c>
      <c r="C1036" s="48">
        <f>SUBTOTAL(109,Program203[(C)
Program
Costs])</f>
        <v>28913613</v>
      </c>
      <c r="D1036" s="48">
        <f>SUBTOTAL(109,Program203[(D)
Prior Period Adjustments])</f>
        <v>-580170</v>
      </c>
      <c r="E1036" s="48">
        <f>SUBTOTAL(109,Program203[(E)
Current Period Desk 
Reviews])</f>
        <v>0</v>
      </c>
      <c r="F1036" s="48">
        <f>SUBTOTAL(109,Program203[(F)
Current Period 
Final 
Audits])</f>
        <v>0</v>
      </c>
      <c r="G1036" s="48">
        <f>SUBTOTAL(109,Program203[(G)
Current Period 
Other Adjustments])</f>
        <v>0</v>
      </c>
      <c r="H1036" s="48">
        <f>SUBTOTAL(109,Program203[(H)
Net Program Costs
Sum (C through G)])</f>
        <v>28333443</v>
      </c>
      <c r="I1036" s="48">
        <f>SUBTOTAL(109,Program203[(I)
Payments
 and Offsets])</f>
        <v>-21111447</v>
      </c>
      <c r="J1036" s="48">
        <f>SUBTOTAL(109,Program203[(J)
Accounts Payable Balance
(H + I)])</f>
        <v>7221996</v>
      </c>
      <c r="K1036" s="48">
        <f>SUBTOTAL(109,Program203[(K)
Established 
Accounts Receivable])</f>
        <v>687761</v>
      </c>
      <c r="L1036" s="48">
        <f>SUBTOTAL(109,Program203[(L)
Recovered
 Accounts Receivable])</f>
        <v>-687761</v>
      </c>
      <c r="M1036" s="48">
        <f>SUBTOTAL(109,Program203[(M)
Accounts Receivable Balance
(K + L)])</f>
        <v>0</v>
      </c>
      <c r="N1036" s="48">
        <f>SUBTOTAL(109,Program203[(N)
Net Balance
(J minus M)])</f>
        <v>7221996</v>
      </c>
    </row>
    <row r="1037" spans="1:14" outlineLevel="1" x14ac:dyDescent="0.35">
      <c r="A1037" s="63" t="s">
        <v>33</v>
      </c>
      <c r="B1037" s="62"/>
      <c r="C1037" s="61"/>
      <c r="D1037" s="61"/>
      <c r="E1037" s="61"/>
      <c r="F1037" s="61"/>
      <c r="G1037" s="61"/>
      <c r="H1037" s="61"/>
      <c r="I1037" s="61"/>
      <c r="J1037" s="61"/>
      <c r="K1037" s="61"/>
      <c r="L1037" s="61"/>
      <c r="M1037" s="61"/>
      <c r="N1037" s="61"/>
    </row>
    <row r="1038" spans="1:14" ht="77.5" outlineLevel="2" x14ac:dyDescent="0.35">
      <c r="A1038" s="60" t="s">
        <v>185</v>
      </c>
      <c r="B1038" s="59" t="s">
        <v>184</v>
      </c>
      <c r="C1038" s="58" t="s">
        <v>183</v>
      </c>
      <c r="D1038" s="58" t="s">
        <v>182</v>
      </c>
      <c r="E1038" s="56" t="s">
        <v>181</v>
      </c>
      <c r="F1038" s="56" t="s">
        <v>180</v>
      </c>
      <c r="G1038" s="56" t="s">
        <v>179</v>
      </c>
      <c r="H1038" s="57" t="s">
        <v>674</v>
      </c>
      <c r="I1038" s="55" t="s">
        <v>178</v>
      </c>
      <c r="J1038" s="55" t="s">
        <v>177</v>
      </c>
      <c r="K1038" s="56" t="s">
        <v>176</v>
      </c>
      <c r="L1038" s="55" t="s">
        <v>175</v>
      </c>
      <c r="M1038" s="55" t="s">
        <v>174</v>
      </c>
      <c r="N1038" s="54" t="s">
        <v>173</v>
      </c>
    </row>
    <row r="1039" spans="1:14" ht="31" outlineLevel="2" x14ac:dyDescent="0.35">
      <c r="A1039" s="70" t="s">
        <v>282</v>
      </c>
      <c r="B1039" s="69" t="s">
        <v>205</v>
      </c>
      <c r="C1039" s="68">
        <v>17935</v>
      </c>
      <c r="D1039" s="68">
        <v>0</v>
      </c>
      <c r="E1039" s="68">
        <v>0</v>
      </c>
      <c r="F1039" s="68">
        <v>0</v>
      </c>
      <c r="G1039" s="68">
        <v>0</v>
      </c>
      <c r="H1039" s="68">
        <v>17935</v>
      </c>
      <c r="I1039" s="68">
        <v>0</v>
      </c>
      <c r="J1039" s="68">
        <v>17935</v>
      </c>
      <c r="K1039" s="68">
        <v>0</v>
      </c>
      <c r="L1039" s="68">
        <v>0</v>
      </c>
      <c r="M1039" s="68">
        <v>0</v>
      </c>
      <c r="N1039" s="68">
        <v>17935</v>
      </c>
    </row>
    <row r="1040" spans="1:14" ht="31" outlineLevel="2" x14ac:dyDescent="0.35">
      <c r="A1040" s="70" t="s">
        <v>282</v>
      </c>
      <c r="B1040" s="69" t="s">
        <v>204</v>
      </c>
      <c r="C1040" s="68">
        <v>383293</v>
      </c>
      <c r="D1040" s="68">
        <v>0</v>
      </c>
      <c r="E1040" s="68">
        <v>0</v>
      </c>
      <c r="F1040" s="68">
        <v>0</v>
      </c>
      <c r="G1040" s="68">
        <v>0</v>
      </c>
      <c r="H1040" s="68">
        <v>383293</v>
      </c>
      <c r="I1040" s="68">
        <v>0</v>
      </c>
      <c r="J1040" s="68">
        <v>383293</v>
      </c>
      <c r="K1040" s="68">
        <v>0</v>
      </c>
      <c r="L1040" s="68">
        <v>0</v>
      </c>
      <c r="M1040" s="68">
        <v>0</v>
      </c>
      <c r="N1040" s="68">
        <v>383293</v>
      </c>
    </row>
    <row r="1041" spans="1:14" ht="31" outlineLevel="1" x14ac:dyDescent="0.35">
      <c r="A1041" s="70" t="s">
        <v>282</v>
      </c>
      <c r="B1041" s="69" t="s">
        <v>203</v>
      </c>
      <c r="C1041" s="68">
        <v>681608</v>
      </c>
      <c r="D1041" s="68">
        <v>0</v>
      </c>
      <c r="E1041" s="68">
        <v>0</v>
      </c>
      <c r="F1041" s="68">
        <v>0</v>
      </c>
      <c r="G1041" s="68">
        <v>0</v>
      </c>
      <c r="H1041" s="68">
        <v>681608</v>
      </c>
      <c r="I1041" s="68">
        <v>0</v>
      </c>
      <c r="J1041" s="68">
        <v>681608</v>
      </c>
      <c r="K1041" s="68">
        <v>0</v>
      </c>
      <c r="L1041" s="68">
        <v>0</v>
      </c>
      <c r="M1041" s="68">
        <v>0</v>
      </c>
      <c r="N1041" s="68">
        <v>681608</v>
      </c>
    </row>
    <row r="1042" spans="1:14" ht="31" outlineLevel="2" x14ac:dyDescent="0.35">
      <c r="A1042" s="70" t="s">
        <v>282</v>
      </c>
      <c r="B1042" s="69" t="s">
        <v>202</v>
      </c>
      <c r="C1042" s="68">
        <v>649974</v>
      </c>
      <c r="D1042" s="68">
        <v>0</v>
      </c>
      <c r="E1042" s="68">
        <v>0</v>
      </c>
      <c r="F1042" s="68">
        <v>0</v>
      </c>
      <c r="G1042" s="68">
        <v>0</v>
      </c>
      <c r="H1042" s="68">
        <v>649974</v>
      </c>
      <c r="I1042" s="68">
        <v>0</v>
      </c>
      <c r="J1042" s="68">
        <v>649974</v>
      </c>
      <c r="K1042" s="68">
        <v>0</v>
      </c>
      <c r="L1042" s="68">
        <v>0</v>
      </c>
      <c r="M1042" s="68">
        <v>0</v>
      </c>
      <c r="N1042" s="68">
        <v>649974</v>
      </c>
    </row>
    <row r="1043" spans="1:14" ht="31" outlineLevel="2" x14ac:dyDescent="0.35">
      <c r="A1043" s="70" t="s">
        <v>282</v>
      </c>
      <c r="B1043" s="69" t="s">
        <v>201</v>
      </c>
      <c r="C1043" s="68">
        <v>680286</v>
      </c>
      <c r="D1043" s="68">
        <v>0</v>
      </c>
      <c r="E1043" s="68">
        <v>0</v>
      </c>
      <c r="F1043" s="68">
        <v>0</v>
      </c>
      <c r="G1043" s="68">
        <v>0</v>
      </c>
      <c r="H1043" s="68">
        <v>680286</v>
      </c>
      <c r="I1043" s="68">
        <v>0</v>
      </c>
      <c r="J1043" s="68">
        <v>680286</v>
      </c>
      <c r="K1043" s="68">
        <v>0</v>
      </c>
      <c r="L1043" s="68">
        <v>0</v>
      </c>
      <c r="M1043" s="68">
        <v>0</v>
      </c>
      <c r="N1043" s="68">
        <v>680286</v>
      </c>
    </row>
    <row r="1044" spans="1:14" ht="31" outlineLevel="2" x14ac:dyDescent="0.35">
      <c r="A1044" s="70" t="s">
        <v>282</v>
      </c>
      <c r="B1044" s="69" t="s">
        <v>200</v>
      </c>
      <c r="C1044" s="68">
        <v>427477</v>
      </c>
      <c r="D1044" s="68">
        <v>0</v>
      </c>
      <c r="E1044" s="68">
        <v>0</v>
      </c>
      <c r="F1044" s="68">
        <v>0</v>
      </c>
      <c r="G1044" s="68">
        <v>0</v>
      </c>
      <c r="H1044" s="68">
        <v>427477</v>
      </c>
      <c r="I1044" s="68">
        <v>0</v>
      </c>
      <c r="J1044" s="68">
        <v>427477</v>
      </c>
      <c r="K1044" s="68">
        <v>0</v>
      </c>
      <c r="L1044" s="68">
        <v>0</v>
      </c>
      <c r="M1044" s="68">
        <v>0</v>
      </c>
      <c r="N1044" s="68">
        <v>427477</v>
      </c>
    </row>
    <row r="1045" spans="1:14" ht="31" outlineLevel="1" x14ac:dyDescent="0.35">
      <c r="A1045" s="70" t="s">
        <v>282</v>
      </c>
      <c r="B1045" s="69" t="s">
        <v>199</v>
      </c>
      <c r="C1045" s="68">
        <v>446868</v>
      </c>
      <c r="D1045" s="68">
        <v>0</v>
      </c>
      <c r="E1045" s="68">
        <v>0</v>
      </c>
      <c r="F1045" s="68">
        <v>0</v>
      </c>
      <c r="G1045" s="68">
        <v>0</v>
      </c>
      <c r="H1045" s="68">
        <v>446868</v>
      </c>
      <c r="I1045" s="68">
        <v>0</v>
      </c>
      <c r="J1045" s="68">
        <v>446868</v>
      </c>
      <c r="K1045" s="68">
        <v>0</v>
      </c>
      <c r="L1045" s="68">
        <v>0</v>
      </c>
      <c r="M1045" s="68">
        <v>0</v>
      </c>
      <c r="N1045" s="68">
        <v>446868</v>
      </c>
    </row>
    <row r="1046" spans="1:14" ht="31" outlineLevel="1" x14ac:dyDescent="0.35">
      <c r="A1046" s="70" t="s">
        <v>282</v>
      </c>
      <c r="B1046" s="69" t="s">
        <v>198</v>
      </c>
      <c r="C1046" s="68">
        <v>821319</v>
      </c>
      <c r="D1046" s="68">
        <v>0</v>
      </c>
      <c r="E1046" s="68">
        <v>0</v>
      </c>
      <c r="F1046" s="68">
        <v>0</v>
      </c>
      <c r="G1046" s="68">
        <v>0</v>
      </c>
      <c r="H1046" s="68">
        <v>821319</v>
      </c>
      <c r="I1046" s="68">
        <v>0</v>
      </c>
      <c r="J1046" s="68">
        <v>821319</v>
      </c>
      <c r="K1046" s="68">
        <v>0</v>
      </c>
      <c r="L1046" s="68">
        <v>0</v>
      </c>
      <c r="M1046" s="68">
        <v>0</v>
      </c>
      <c r="N1046" s="68">
        <v>821319</v>
      </c>
    </row>
    <row r="1047" spans="1:14" ht="31" outlineLevel="2" x14ac:dyDescent="0.35">
      <c r="A1047" s="70" t="s">
        <v>282</v>
      </c>
      <c r="B1047" s="69" t="s">
        <v>197</v>
      </c>
      <c r="C1047" s="68">
        <v>565634</v>
      </c>
      <c r="D1047" s="68">
        <v>0</v>
      </c>
      <c r="E1047" s="68">
        <v>0</v>
      </c>
      <c r="F1047" s="68">
        <v>0</v>
      </c>
      <c r="G1047" s="68">
        <v>0</v>
      </c>
      <c r="H1047" s="68">
        <v>565634</v>
      </c>
      <c r="I1047" s="68">
        <v>0</v>
      </c>
      <c r="J1047" s="68">
        <v>565634</v>
      </c>
      <c r="K1047" s="68">
        <v>0</v>
      </c>
      <c r="L1047" s="68">
        <v>0</v>
      </c>
      <c r="M1047" s="68">
        <v>0</v>
      </c>
      <c r="N1047" s="68">
        <v>565634</v>
      </c>
    </row>
    <row r="1048" spans="1:14" ht="31" outlineLevel="2" x14ac:dyDescent="0.35">
      <c r="A1048" s="70" t="s">
        <v>282</v>
      </c>
      <c r="B1048" s="69" t="s">
        <v>196</v>
      </c>
      <c r="C1048" s="68">
        <v>235446</v>
      </c>
      <c r="D1048" s="68">
        <v>0</v>
      </c>
      <c r="E1048" s="68">
        <v>0</v>
      </c>
      <c r="F1048" s="68">
        <v>0</v>
      </c>
      <c r="G1048" s="68">
        <v>0</v>
      </c>
      <c r="H1048" s="68">
        <v>235446</v>
      </c>
      <c r="I1048" s="68">
        <v>0</v>
      </c>
      <c r="J1048" s="68">
        <v>235446</v>
      </c>
      <c r="K1048" s="68">
        <v>0</v>
      </c>
      <c r="L1048" s="68">
        <v>0</v>
      </c>
      <c r="M1048" s="68">
        <v>0</v>
      </c>
      <c r="N1048" s="68">
        <v>235446</v>
      </c>
    </row>
    <row r="1049" spans="1:14" ht="16" outlineLevel="2" thickBot="1" x14ac:dyDescent="0.4">
      <c r="A1049" s="50" t="s">
        <v>99</v>
      </c>
      <c r="B1049" s="67" t="s">
        <v>12</v>
      </c>
      <c r="C1049" s="48">
        <f>SUBTOTAL(109,Program281[(C)
Program
Costs])</f>
        <v>4909840</v>
      </c>
      <c r="D1049" s="48">
        <f>SUBTOTAL(109,Program281[(D)
Prior Period Adjustments])</f>
        <v>0</v>
      </c>
      <c r="E1049" s="48">
        <f>SUBTOTAL(109,Program281[(E)
Current Period Desk 
Reviews])</f>
        <v>0</v>
      </c>
      <c r="F1049" s="48">
        <f>SUBTOTAL(109,Program281[(F)
Current Period 
Final 
Audits])</f>
        <v>0</v>
      </c>
      <c r="G1049" s="48">
        <f>SUBTOTAL(109,Program281[(G)
Current Period 
Other Adjustments])</f>
        <v>0</v>
      </c>
      <c r="H1049" s="48">
        <f>SUBTOTAL(109,Program281[(H)
Net Program Costs
Sum (C through G)])</f>
        <v>4909840</v>
      </c>
      <c r="I1049" s="48">
        <f>SUBTOTAL(109,Program281[(I)
Payments
 and Offsets])</f>
        <v>0</v>
      </c>
      <c r="J1049" s="48">
        <f>SUBTOTAL(109,Program281[(J)
Accounts Payable Balance
(H + I)])</f>
        <v>4909840</v>
      </c>
      <c r="K1049" s="48">
        <f>SUBTOTAL(109,Program281[(K)
Established 
Accounts Receivable])</f>
        <v>0</v>
      </c>
      <c r="L1049" s="48">
        <f>SUBTOTAL(109,Program281[(L)
Recovered
 Accounts Receivable])</f>
        <v>0</v>
      </c>
      <c r="M1049" s="48">
        <f>SUBTOTAL(109,Program281[(M)
Accounts Receivable Balance
(K + L)])</f>
        <v>0</v>
      </c>
      <c r="N1049" s="48">
        <f>SUBTOTAL(109,Program281[(N)
Net Balance
(J minus M)])</f>
        <v>4909840</v>
      </c>
    </row>
    <row r="1050" spans="1:14" outlineLevel="2" x14ac:dyDescent="0.35">
      <c r="A1050" s="63" t="s">
        <v>33</v>
      </c>
      <c r="B1050" s="62"/>
      <c r="C1050" s="61"/>
      <c r="D1050" s="61"/>
      <c r="E1050" s="61"/>
      <c r="F1050" s="61"/>
      <c r="G1050" s="61"/>
      <c r="H1050" s="61"/>
      <c r="I1050" s="61"/>
      <c r="J1050" s="61"/>
      <c r="K1050" s="61"/>
      <c r="L1050" s="61"/>
      <c r="M1050" s="61"/>
      <c r="N1050" s="61"/>
    </row>
    <row r="1051" spans="1:14" ht="77.5" outlineLevel="2" x14ac:dyDescent="0.35">
      <c r="A1051" s="60" t="s">
        <v>185</v>
      </c>
      <c r="B1051" s="59" t="s">
        <v>184</v>
      </c>
      <c r="C1051" s="58" t="s">
        <v>183</v>
      </c>
      <c r="D1051" s="58" t="s">
        <v>182</v>
      </c>
      <c r="E1051" s="56" t="s">
        <v>181</v>
      </c>
      <c r="F1051" s="56" t="s">
        <v>180</v>
      </c>
      <c r="G1051" s="56" t="s">
        <v>179</v>
      </c>
      <c r="H1051" s="57" t="s">
        <v>674</v>
      </c>
      <c r="I1051" s="55" t="s">
        <v>178</v>
      </c>
      <c r="J1051" s="55" t="s">
        <v>177</v>
      </c>
      <c r="K1051" s="56" t="s">
        <v>176</v>
      </c>
      <c r="L1051" s="55" t="s">
        <v>175</v>
      </c>
      <c r="M1051" s="55" t="s">
        <v>174</v>
      </c>
      <c r="N1051" s="54" t="s">
        <v>173</v>
      </c>
    </row>
    <row r="1052" spans="1:14" ht="31" outlineLevel="2" x14ac:dyDescent="0.35">
      <c r="A1052" s="70" t="s">
        <v>281</v>
      </c>
      <c r="B1052" s="69" t="s">
        <v>205</v>
      </c>
      <c r="C1052" s="68">
        <v>3011</v>
      </c>
      <c r="D1052" s="68">
        <v>0</v>
      </c>
      <c r="E1052" s="68">
        <v>0</v>
      </c>
      <c r="F1052" s="68">
        <v>0</v>
      </c>
      <c r="G1052" s="68">
        <v>0</v>
      </c>
      <c r="H1052" s="68">
        <v>3011</v>
      </c>
      <c r="I1052" s="68">
        <v>0</v>
      </c>
      <c r="J1052" s="68">
        <v>3011</v>
      </c>
      <c r="K1052" s="68">
        <v>0</v>
      </c>
      <c r="L1052" s="68">
        <v>0</v>
      </c>
      <c r="M1052" s="68">
        <v>0</v>
      </c>
      <c r="N1052" s="68">
        <v>3011</v>
      </c>
    </row>
    <row r="1053" spans="1:14" ht="31" outlineLevel="2" x14ac:dyDescent="0.35">
      <c r="A1053" s="70" t="s">
        <v>281</v>
      </c>
      <c r="B1053" s="69" t="s">
        <v>204</v>
      </c>
      <c r="C1053" s="68">
        <v>40980</v>
      </c>
      <c r="D1053" s="68">
        <v>0</v>
      </c>
      <c r="E1053" s="68">
        <v>0</v>
      </c>
      <c r="F1053" s="68">
        <v>0</v>
      </c>
      <c r="G1053" s="68">
        <v>0</v>
      </c>
      <c r="H1053" s="68">
        <v>40980</v>
      </c>
      <c r="I1053" s="68">
        <v>0</v>
      </c>
      <c r="J1053" s="68">
        <v>40980</v>
      </c>
      <c r="K1053" s="68">
        <v>0</v>
      </c>
      <c r="L1053" s="68">
        <v>0</v>
      </c>
      <c r="M1053" s="68">
        <v>0</v>
      </c>
      <c r="N1053" s="68">
        <v>40980</v>
      </c>
    </row>
    <row r="1054" spans="1:14" ht="31" outlineLevel="2" x14ac:dyDescent="0.35">
      <c r="A1054" s="70" t="s">
        <v>281</v>
      </c>
      <c r="B1054" s="69" t="s">
        <v>203</v>
      </c>
      <c r="C1054" s="68">
        <v>295550</v>
      </c>
      <c r="D1054" s="68">
        <v>0</v>
      </c>
      <c r="E1054" s="68">
        <v>0</v>
      </c>
      <c r="F1054" s="68">
        <v>0</v>
      </c>
      <c r="G1054" s="68">
        <v>0</v>
      </c>
      <c r="H1054" s="68">
        <v>295550</v>
      </c>
      <c r="I1054" s="68">
        <v>0</v>
      </c>
      <c r="J1054" s="68">
        <v>295550</v>
      </c>
      <c r="K1054" s="68">
        <v>0</v>
      </c>
      <c r="L1054" s="68">
        <v>0</v>
      </c>
      <c r="M1054" s="68">
        <v>0</v>
      </c>
      <c r="N1054" s="68">
        <v>295550</v>
      </c>
    </row>
    <row r="1055" spans="1:14" ht="31" outlineLevel="2" x14ac:dyDescent="0.35">
      <c r="A1055" s="70" t="s">
        <v>281</v>
      </c>
      <c r="B1055" s="69" t="s">
        <v>202</v>
      </c>
      <c r="C1055" s="68">
        <v>179685</v>
      </c>
      <c r="D1055" s="68">
        <v>0</v>
      </c>
      <c r="E1055" s="68">
        <v>0</v>
      </c>
      <c r="F1055" s="68">
        <v>0</v>
      </c>
      <c r="G1055" s="68">
        <v>0</v>
      </c>
      <c r="H1055" s="68">
        <v>179685</v>
      </c>
      <c r="I1055" s="68">
        <v>-179685</v>
      </c>
      <c r="J1055" s="68">
        <v>0</v>
      </c>
      <c r="K1055" s="68">
        <v>65209</v>
      </c>
      <c r="L1055" s="68">
        <v>-65209</v>
      </c>
      <c r="M1055" s="68">
        <v>0</v>
      </c>
      <c r="N1055" s="68">
        <v>0</v>
      </c>
    </row>
    <row r="1056" spans="1:14" ht="31" outlineLevel="2" x14ac:dyDescent="0.35">
      <c r="A1056" s="70" t="s">
        <v>281</v>
      </c>
      <c r="B1056" s="69" t="s">
        <v>201</v>
      </c>
      <c r="C1056" s="68">
        <v>273112</v>
      </c>
      <c r="D1056" s="68">
        <v>0</v>
      </c>
      <c r="E1056" s="68">
        <v>0</v>
      </c>
      <c r="F1056" s="68">
        <v>0</v>
      </c>
      <c r="G1056" s="68">
        <v>0</v>
      </c>
      <c r="H1056" s="68">
        <v>273112</v>
      </c>
      <c r="I1056" s="68">
        <v>-273112</v>
      </c>
      <c r="J1056" s="68">
        <v>0</v>
      </c>
      <c r="K1056" s="68">
        <v>297</v>
      </c>
      <c r="L1056" s="68">
        <v>-297</v>
      </c>
      <c r="M1056" s="68">
        <v>0</v>
      </c>
      <c r="N1056" s="68">
        <v>0</v>
      </c>
    </row>
    <row r="1057" spans="1:14" ht="31" outlineLevel="2" x14ac:dyDescent="0.35">
      <c r="A1057" s="70" t="s">
        <v>281</v>
      </c>
      <c r="B1057" s="69" t="s">
        <v>200</v>
      </c>
      <c r="C1057" s="68">
        <v>167431</v>
      </c>
      <c r="D1057" s="68">
        <v>-1000</v>
      </c>
      <c r="E1057" s="68">
        <v>0</v>
      </c>
      <c r="F1057" s="68">
        <v>0</v>
      </c>
      <c r="G1057" s="68">
        <v>0</v>
      </c>
      <c r="H1057" s="68">
        <v>166431</v>
      </c>
      <c r="I1057" s="68">
        <v>-166431</v>
      </c>
      <c r="J1057" s="68">
        <v>0</v>
      </c>
      <c r="K1057" s="68">
        <v>8371</v>
      </c>
      <c r="L1057" s="68">
        <v>-8371</v>
      </c>
      <c r="M1057" s="68">
        <v>0</v>
      </c>
      <c r="N1057" s="68">
        <v>0</v>
      </c>
    </row>
    <row r="1058" spans="1:14" ht="31" outlineLevel="2" x14ac:dyDescent="0.35">
      <c r="A1058" s="70" t="s">
        <v>281</v>
      </c>
      <c r="B1058" s="69" t="s">
        <v>199</v>
      </c>
      <c r="C1058" s="68">
        <v>40675</v>
      </c>
      <c r="D1058" s="68">
        <v>0</v>
      </c>
      <c r="E1058" s="68">
        <v>0</v>
      </c>
      <c r="F1058" s="68">
        <v>0</v>
      </c>
      <c r="G1058" s="68">
        <v>0</v>
      </c>
      <c r="H1058" s="68">
        <v>40675</v>
      </c>
      <c r="I1058" s="68">
        <v>-40675</v>
      </c>
      <c r="J1058" s="68">
        <v>0</v>
      </c>
      <c r="K1058" s="68">
        <v>0</v>
      </c>
      <c r="L1058" s="68">
        <v>0</v>
      </c>
      <c r="M1058" s="68">
        <v>0</v>
      </c>
      <c r="N1058" s="68">
        <v>0</v>
      </c>
    </row>
    <row r="1059" spans="1:14" ht="31" outlineLevel="1" x14ac:dyDescent="0.35">
      <c r="A1059" s="70" t="s">
        <v>281</v>
      </c>
      <c r="B1059" s="69" t="s">
        <v>198</v>
      </c>
      <c r="C1059" s="68">
        <v>95696</v>
      </c>
      <c r="D1059" s="68">
        <v>0</v>
      </c>
      <c r="E1059" s="68">
        <v>0</v>
      </c>
      <c r="F1059" s="68">
        <v>0</v>
      </c>
      <c r="G1059" s="68">
        <v>0</v>
      </c>
      <c r="H1059" s="68">
        <v>95696</v>
      </c>
      <c r="I1059" s="68">
        <v>-95696</v>
      </c>
      <c r="J1059" s="68">
        <v>0</v>
      </c>
      <c r="K1059" s="68">
        <v>11</v>
      </c>
      <c r="L1059" s="68">
        <v>-11</v>
      </c>
      <c r="M1059" s="68">
        <v>0</v>
      </c>
      <c r="N1059" s="68">
        <v>0</v>
      </c>
    </row>
    <row r="1060" spans="1:14" ht="31" outlineLevel="1" x14ac:dyDescent="0.35">
      <c r="A1060" s="70" t="s">
        <v>281</v>
      </c>
      <c r="B1060" s="69" t="s">
        <v>197</v>
      </c>
      <c r="C1060" s="68">
        <v>175714</v>
      </c>
      <c r="D1060" s="68">
        <v>-1544</v>
      </c>
      <c r="E1060" s="68">
        <v>0</v>
      </c>
      <c r="F1060" s="68">
        <v>0</v>
      </c>
      <c r="G1060" s="68">
        <v>0</v>
      </c>
      <c r="H1060" s="68">
        <v>174170</v>
      </c>
      <c r="I1060" s="68">
        <v>-174170</v>
      </c>
      <c r="J1060" s="68">
        <v>0</v>
      </c>
      <c r="K1060" s="68">
        <v>42182</v>
      </c>
      <c r="L1060" s="68">
        <v>-42182</v>
      </c>
      <c r="M1060" s="68">
        <v>0</v>
      </c>
      <c r="N1060" s="68">
        <v>0</v>
      </c>
    </row>
    <row r="1061" spans="1:14" ht="31" outlineLevel="2" x14ac:dyDescent="0.35">
      <c r="A1061" s="70" t="s">
        <v>281</v>
      </c>
      <c r="B1061" s="69" t="s">
        <v>196</v>
      </c>
      <c r="C1061" s="68">
        <v>203140</v>
      </c>
      <c r="D1061" s="68">
        <v>-1000</v>
      </c>
      <c r="E1061" s="68">
        <v>0</v>
      </c>
      <c r="F1061" s="68">
        <v>0</v>
      </c>
      <c r="G1061" s="68">
        <v>0</v>
      </c>
      <c r="H1061" s="68">
        <v>202140</v>
      </c>
      <c r="I1061" s="68">
        <v>-202140</v>
      </c>
      <c r="J1061" s="68">
        <v>0</v>
      </c>
      <c r="K1061" s="68">
        <v>45901</v>
      </c>
      <c r="L1061" s="68">
        <v>-45901</v>
      </c>
      <c r="M1061" s="68">
        <v>0</v>
      </c>
      <c r="N1061" s="68">
        <v>0</v>
      </c>
    </row>
    <row r="1062" spans="1:14" ht="31" outlineLevel="1" x14ac:dyDescent="0.35">
      <c r="A1062" s="70" t="s">
        <v>281</v>
      </c>
      <c r="B1062" s="69" t="s">
        <v>195</v>
      </c>
      <c r="C1062" s="68">
        <v>93601</v>
      </c>
      <c r="D1062" s="68">
        <v>-561</v>
      </c>
      <c r="E1062" s="68">
        <v>0</v>
      </c>
      <c r="F1062" s="68">
        <v>0</v>
      </c>
      <c r="G1062" s="68">
        <v>0</v>
      </c>
      <c r="H1062" s="68">
        <v>93040</v>
      </c>
      <c r="I1062" s="68">
        <v>-93040</v>
      </c>
      <c r="J1062" s="68">
        <v>0</v>
      </c>
      <c r="K1062" s="68">
        <v>17557</v>
      </c>
      <c r="L1062" s="68">
        <v>-17557</v>
      </c>
      <c r="M1062" s="68">
        <v>0</v>
      </c>
      <c r="N1062" s="68">
        <v>0</v>
      </c>
    </row>
    <row r="1063" spans="1:14" ht="31" outlineLevel="2" x14ac:dyDescent="0.35">
      <c r="A1063" s="70" t="s">
        <v>281</v>
      </c>
      <c r="B1063" s="69" t="s">
        <v>194</v>
      </c>
      <c r="C1063" s="68">
        <v>126116</v>
      </c>
      <c r="D1063" s="68">
        <v>-4559</v>
      </c>
      <c r="E1063" s="68">
        <v>0</v>
      </c>
      <c r="F1063" s="68">
        <v>0</v>
      </c>
      <c r="G1063" s="68">
        <v>0</v>
      </c>
      <c r="H1063" s="68">
        <v>121557</v>
      </c>
      <c r="I1063" s="68">
        <v>-121557</v>
      </c>
      <c r="J1063" s="68">
        <v>0</v>
      </c>
      <c r="K1063" s="68">
        <v>145029</v>
      </c>
      <c r="L1063" s="68">
        <v>-145029</v>
      </c>
      <c r="M1063" s="68">
        <v>0</v>
      </c>
      <c r="N1063" s="68">
        <v>0</v>
      </c>
    </row>
    <row r="1064" spans="1:14" ht="31" outlineLevel="2" x14ac:dyDescent="0.35">
      <c r="A1064" s="70" t="s">
        <v>281</v>
      </c>
      <c r="B1064" s="69" t="s">
        <v>193</v>
      </c>
      <c r="C1064" s="68">
        <v>231605</v>
      </c>
      <c r="D1064" s="68">
        <v>-1000</v>
      </c>
      <c r="E1064" s="68">
        <v>0</v>
      </c>
      <c r="F1064" s="68">
        <v>0</v>
      </c>
      <c r="G1064" s="68">
        <v>0</v>
      </c>
      <c r="H1064" s="68">
        <v>230605</v>
      </c>
      <c r="I1064" s="68">
        <v>-230605</v>
      </c>
      <c r="J1064" s="68">
        <v>0</v>
      </c>
      <c r="K1064" s="68">
        <v>7000</v>
      </c>
      <c r="L1064" s="68">
        <v>-7000</v>
      </c>
      <c r="M1064" s="68">
        <v>0</v>
      </c>
      <c r="N1064" s="68">
        <v>0</v>
      </c>
    </row>
    <row r="1065" spans="1:14" ht="31" outlineLevel="2" x14ac:dyDescent="0.35">
      <c r="A1065" s="70" t="s">
        <v>281</v>
      </c>
      <c r="B1065" s="69" t="s">
        <v>192</v>
      </c>
      <c r="C1065" s="68">
        <v>119657</v>
      </c>
      <c r="D1065" s="68">
        <v>-5276</v>
      </c>
      <c r="E1065" s="68">
        <v>0</v>
      </c>
      <c r="F1065" s="68">
        <v>0</v>
      </c>
      <c r="G1065" s="68">
        <v>0</v>
      </c>
      <c r="H1065" s="68">
        <v>114381</v>
      </c>
      <c r="I1065" s="68">
        <v>-114381</v>
      </c>
      <c r="J1065" s="68">
        <v>0</v>
      </c>
      <c r="K1065" s="68">
        <v>11631</v>
      </c>
      <c r="L1065" s="68">
        <v>-11631</v>
      </c>
      <c r="M1065" s="68">
        <v>0</v>
      </c>
      <c r="N1065" s="68">
        <v>0</v>
      </c>
    </row>
    <row r="1066" spans="1:14" ht="31" outlineLevel="2" x14ac:dyDescent="0.35">
      <c r="A1066" s="70" t="s">
        <v>281</v>
      </c>
      <c r="B1066" s="69" t="s">
        <v>191</v>
      </c>
      <c r="C1066" s="68">
        <v>114822</v>
      </c>
      <c r="D1066" s="68">
        <v>-1299</v>
      </c>
      <c r="E1066" s="68">
        <v>0</v>
      </c>
      <c r="F1066" s="68">
        <v>0</v>
      </c>
      <c r="G1066" s="68">
        <v>0</v>
      </c>
      <c r="H1066" s="68">
        <v>113523</v>
      </c>
      <c r="I1066" s="68">
        <v>-113523</v>
      </c>
      <c r="J1066" s="68">
        <v>0</v>
      </c>
      <c r="K1066" s="68">
        <v>69324</v>
      </c>
      <c r="L1066" s="68">
        <v>-69324</v>
      </c>
      <c r="M1066" s="68">
        <v>0</v>
      </c>
      <c r="N1066" s="68">
        <v>0</v>
      </c>
    </row>
    <row r="1067" spans="1:14" ht="31" outlineLevel="2" x14ac:dyDescent="0.35">
      <c r="A1067" s="70" t="s">
        <v>281</v>
      </c>
      <c r="B1067" s="69" t="s">
        <v>190</v>
      </c>
      <c r="C1067" s="68">
        <v>177283</v>
      </c>
      <c r="D1067" s="68">
        <v>-1000</v>
      </c>
      <c r="E1067" s="68">
        <v>0</v>
      </c>
      <c r="F1067" s="68">
        <v>0</v>
      </c>
      <c r="G1067" s="68">
        <v>0</v>
      </c>
      <c r="H1067" s="68">
        <v>176283</v>
      </c>
      <c r="I1067" s="68">
        <v>-176283</v>
      </c>
      <c r="J1067" s="68">
        <v>0</v>
      </c>
      <c r="K1067" s="68">
        <v>0</v>
      </c>
      <c r="L1067" s="68">
        <v>0</v>
      </c>
      <c r="M1067" s="68">
        <v>0</v>
      </c>
      <c r="N1067" s="68">
        <v>0</v>
      </c>
    </row>
    <row r="1068" spans="1:14" ht="31" outlineLevel="2" x14ac:dyDescent="0.35">
      <c r="A1068" s="70" t="s">
        <v>281</v>
      </c>
      <c r="B1068" s="69" t="s">
        <v>189</v>
      </c>
      <c r="C1068" s="68">
        <v>116956</v>
      </c>
      <c r="D1068" s="68">
        <v>0</v>
      </c>
      <c r="E1068" s="68">
        <v>0</v>
      </c>
      <c r="F1068" s="68">
        <v>0</v>
      </c>
      <c r="G1068" s="68">
        <v>0</v>
      </c>
      <c r="H1068" s="68">
        <v>116956</v>
      </c>
      <c r="I1068" s="68">
        <v>-116956</v>
      </c>
      <c r="J1068" s="68">
        <v>0</v>
      </c>
      <c r="K1068" s="68">
        <v>65637</v>
      </c>
      <c r="L1068" s="68">
        <v>-65637</v>
      </c>
      <c r="M1068" s="68">
        <v>0</v>
      </c>
      <c r="N1068" s="68">
        <v>0</v>
      </c>
    </row>
    <row r="1069" spans="1:14" ht="31" outlineLevel="2" x14ac:dyDescent="0.35">
      <c r="A1069" s="70" t="s">
        <v>281</v>
      </c>
      <c r="B1069" s="69" t="s">
        <v>188</v>
      </c>
      <c r="C1069" s="68">
        <v>166470</v>
      </c>
      <c r="D1069" s="68">
        <v>0</v>
      </c>
      <c r="E1069" s="68">
        <v>0</v>
      </c>
      <c r="F1069" s="68">
        <v>0</v>
      </c>
      <c r="G1069" s="68">
        <v>0</v>
      </c>
      <c r="H1069" s="68">
        <v>166470</v>
      </c>
      <c r="I1069" s="68">
        <v>-166470</v>
      </c>
      <c r="J1069" s="68">
        <v>0</v>
      </c>
      <c r="K1069" s="68">
        <v>4242</v>
      </c>
      <c r="L1069" s="68">
        <v>-4242</v>
      </c>
      <c r="M1069" s="68">
        <v>0</v>
      </c>
      <c r="N1069" s="68">
        <v>0</v>
      </c>
    </row>
    <row r="1070" spans="1:14" ht="31" outlineLevel="2" x14ac:dyDescent="0.35">
      <c r="A1070" s="70" t="s">
        <v>281</v>
      </c>
      <c r="B1070" s="69" t="s">
        <v>186</v>
      </c>
      <c r="C1070" s="68">
        <v>256652</v>
      </c>
      <c r="D1070" s="68">
        <v>-4280</v>
      </c>
      <c r="E1070" s="68">
        <v>0</v>
      </c>
      <c r="F1070" s="68">
        <v>0</v>
      </c>
      <c r="G1070" s="68">
        <v>0</v>
      </c>
      <c r="H1070" s="68">
        <v>252372</v>
      </c>
      <c r="I1070" s="68">
        <v>-252372</v>
      </c>
      <c r="J1070" s="68">
        <v>0</v>
      </c>
      <c r="K1070" s="68">
        <v>0</v>
      </c>
      <c r="L1070" s="68">
        <v>0</v>
      </c>
      <c r="M1070" s="68">
        <v>0</v>
      </c>
      <c r="N1070" s="68">
        <v>0</v>
      </c>
    </row>
    <row r="1071" spans="1:14" ht="16" outlineLevel="2" thickBot="1" x14ac:dyDescent="0.4">
      <c r="A1071" s="50" t="s">
        <v>98</v>
      </c>
      <c r="B1071" s="67" t="s">
        <v>12</v>
      </c>
      <c r="C1071" s="48">
        <f>SUBTOTAL(109,Program39[(C)
Program
Costs])</f>
        <v>2878156</v>
      </c>
      <c r="D1071" s="48">
        <f>SUBTOTAL(109,Program39[(D)
Prior Period Adjustments])</f>
        <v>-21519</v>
      </c>
      <c r="E1071" s="48">
        <f>SUBTOTAL(109,Program39[(E)
Current Period Desk 
Reviews])</f>
        <v>0</v>
      </c>
      <c r="F1071" s="48">
        <f>SUBTOTAL(109,Program39[(F)
Current Period 
Final 
Audits])</f>
        <v>0</v>
      </c>
      <c r="G1071" s="48">
        <f>SUBTOTAL(109,Program39[(G)
Current Period 
Other Adjustments])</f>
        <v>0</v>
      </c>
      <c r="H1071" s="48">
        <f>SUBTOTAL(109,Program39[(H)
Net Program Costs
Sum (C through G)])</f>
        <v>2856637</v>
      </c>
      <c r="I1071" s="48">
        <f>SUBTOTAL(109,Program39[(I)
Payments
 and Offsets])</f>
        <v>-2517096</v>
      </c>
      <c r="J1071" s="48">
        <f>SUBTOTAL(109,Program39[(J)
Accounts Payable Balance
(H + I)])</f>
        <v>339541</v>
      </c>
      <c r="K1071" s="48">
        <f>SUBTOTAL(109,Program39[(K)
Established 
Accounts Receivable])</f>
        <v>482391</v>
      </c>
      <c r="L1071" s="48">
        <f>SUBTOTAL(109,Program39[(L)
Recovered
 Accounts Receivable])</f>
        <v>-482391</v>
      </c>
      <c r="M1071" s="48">
        <f>SUBTOTAL(109,Program39[(M)
Accounts Receivable Balance
(K + L)])</f>
        <v>0</v>
      </c>
      <c r="N1071" s="48">
        <f>SUBTOTAL(109,Program39[(N)
Net Balance
(J minus M)])</f>
        <v>339541</v>
      </c>
    </row>
    <row r="1072" spans="1:14" outlineLevel="2" x14ac:dyDescent="0.35">
      <c r="A1072" s="63" t="s">
        <v>33</v>
      </c>
      <c r="B1072" s="62"/>
      <c r="C1072" s="61"/>
      <c r="D1072" s="61"/>
      <c r="E1072" s="61"/>
      <c r="F1072" s="61"/>
      <c r="G1072" s="61"/>
      <c r="H1072" s="61"/>
      <c r="I1072" s="61"/>
      <c r="J1072" s="61"/>
      <c r="K1072" s="61"/>
      <c r="L1072" s="61"/>
      <c r="M1072" s="61"/>
      <c r="N1072" s="61"/>
    </row>
    <row r="1073" spans="1:14" ht="77.5" outlineLevel="2" x14ac:dyDescent="0.35">
      <c r="A1073" s="60" t="s">
        <v>185</v>
      </c>
      <c r="B1073" s="59" t="s">
        <v>184</v>
      </c>
      <c r="C1073" s="58" t="s">
        <v>183</v>
      </c>
      <c r="D1073" s="58" t="s">
        <v>182</v>
      </c>
      <c r="E1073" s="56" t="s">
        <v>181</v>
      </c>
      <c r="F1073" s="56" t="s">
        <v>180</v>
      </c>
      <c r="G1073" s="56" t="s">
        <v>179</v>
      </c>
      <c r="H1073" s="57" t="s">
        <v>674</v>
      </c>
      <c r="I1073" s="55" t="s">
        <v>178</v>
      </c>
      <c r="J1073" s="55" t="s">
        <v>177</v>
      </c>
      <c r="K1073" s="56" t="s">
        <v>176</v>
      </c>
      <c r="L1073" s="55" t="s">
        <v>175</v>
      </c>
      <c r="M1073" s="55" t="s">
        <v>174</v>
      </c>
      <c r="N1073" s="54" t="s">
        <v>173</v>
      </c>
    </row>
    <row r="1074" spans="1:14" outlineLevel="2" x14ac:dyDescent="0.35">
      <c r="A1074" s="53" t="s">
        <v>280</v>
      </c>
      <c r="B1074" s="66" t="s">
        <v>205</v>
      </c>
      <c r="C1074" s="51">
        <v>1331</v>
      </c>
      <c r="D1074" s="51">
        <v>14</v>
      </c>
      <c r="E1074" s="51">
        <v>0</v>
      </c>
      <c r="F1074" s="51">
        <v>0</v>
      </c>
      <c r="G1074" s="51">
        <v>0</v>
      </c>
      <c r="H1074" s="51">
        <v>1345</v>
      </c>
      <c r="I1074" s="51">
        <v>0</v>
      </c>
      <c r="J1074" s="51">
        <v>1345</v>
      </c>
      <c r="K1074" s="51">
        <v>0</v>
      </c>
      <c r="L1074" s="51">
        <v>0</v>
      </c>
      <c r="M1074" s="51">
        <v>0</v>
      </c>
      <c r="N1074" s="51">
        <v>1345</v>
      </c>
    </row>
    <row r="1075" spans="1:14" outlineLevel="1" x14ac:dyDescent="0.35">
      <c r="A1075" s="53" t="s">
        <v>280</v>
      </c>
      <c r="B1075" s="66" t="s">
        <v>204</v>
      </c>
      <c r="C1075" s="51">
        <v>17556</v>
      </c>
      <c r="D1075" s="51">
        <v>306</v>
      </c>
      <c r="E1075" s="51">
        <v>0</v>
      </c>
      <c r="F1075" s="51">
        <v>0</v>
      </c>
      <c r="G1075" s="51">
        <v>0</v>
      </c>
      <c r="H1075" s="51">
        <v>17862</v>
      </c>
      <c r="I1075" s="51">
        <v>0</v>
      </c>
      <c r="J1075" s="51">
        <v>17862</v>
      </c>
      <c r="K1075" s="51">
        <v>0</v>
      </c>
      <c r="L1075" s="51">
        <v>0</v>
      </c>
      <c r="M1075" s="51">
        <v>0</v>
      </c>
      <c r="N1075" s="51">
        <v>17862</v>
      </c>
    </row>
    <row r="1076" spans="1:14" outlineLevel="2" x14ac:dyDescent="0.35">
      <c r="A1076" s="53" t="s">
        <v>280</v>
      </c>
      <c r="B1076" s="66" t="s">
        <v>203</v>
      </c>
      <c r="C1076" s="51">
        <v>16514</v>
      </c>
      <c r="D1076" s="51">
        <v>184</v>
      </c>
      <c r="E1076" s="51">
        <v>0</v>
      </c>
      <c r="F1076" s="51">
        <v>0</v>
      </c>
      <c r="G1076" s="51">
        <v>0</v>
      </c>
      <c r="H1076" s="51">
        <v>16698</v>
      </c>
      <c r="I1076" s="51">
        <v>0</v>
      </c>
      <c r="J1076" s="51">
        <v>16698</v>
      </c>
      <c r="K1076" s="51">
        <v>0</v>
      </c>
      <c r="L1076" s="51">
        <v>0</v>
      </c>
      <c r="M1076" s="51">
        <v>0</v>
      </c>
      <c r="N1076" s="51">
        <v>16698</v>
      </c>
    </row>
    <row r="1077" spans="1:14" outlineLevel="2" x14ac:dyDescent="0.35">
      <c r="A1077" s="53" t="s">
        <v>280</v>
      </c>
      <c r="B1077" s="66" t="s">
        <v>202</v>
      </c>
      <c r="C1077" s="51">
        <v>15818</v>
      </c>
      <c r="D1077" s="51">
        <v>203</v>
      </c>
      <c r="E1077" s="51">
        <v>0</v>
      </c>
      <c r="F1077" s="51">
        <v>0</v>
      </c>
      <c r="G1077" s="51">
        <v>0</v>
      </c>
      <c r="H1077" s="51">
        <v>16021</v>
      </c>
      <c r="I1077" s="51">
        <v>-16021</v>
      </c>
      <c r="J1077" s="51">
        <v>0</v>
      </c>
      <c r="K1077" s="51">
        <v>0</v>
      </c>
      <c r="L1077" s="51">
        <v>0</v>
      </c>
      <c r="M1077" s="51">
        <v>0</v>
      </c>
      <c r="N1077" s="51">
        <v>0</v>
      </c>
    </row>
    <row r="1078" spans="1:14" outlineLevel="2" x14ac:dyDescent="0.35">
      <c r="A1078" s="53" t="s">
        <v>280</v>
      </c>
      <c r="B1078" s="66" t="s">
        <v>201</v>
      </c>
      <c r="C1078" s="51">
        <v>15054</v>
      </c>
      <c r="D1078" s="51">
        <v>69</v>
      </c>
      <c r="E1078" s="51">
        <v>0</v>
      </c>
      <c r="F1078" s="51">
        <v>0</v>
      </c>
      <c r="G1078" s="51">
        <v>0</v>
      </c>
      <c r="H1078" s="51">
        <v>15123</v>
      </c>
      <c r="I1078" s="51">
        <v>-15123</v>
      </c>
      <c r="J1078" s="51">
        <v>0</v>
      </c>
      <c r="K1078" s="51">
        <v>0</v>
      </c>
      <c r="L1078" s="51">
        <v>0</v>
      </c>
      <c r="M1078" s="51">
        <v>0</v>
      </c>
      <c r="N1078" s="51">
        <v>0</v>
      </c>
    </row>
    <row r="1079" spans="1:14" outlineLevel="2" x14ac:dyDescent="0.35">
      <c r="A1079" s="53" t="s">
        <v>280</v>
      </c>
      <c r="B1079" s="66" t="s">
        <v>200</v>
      </c>
      <c r="C1079" s="51">
        <v>14321</v>
      </c>
      <c r="D1079" s="51">
        <v>-55</v>
      </c>
      <c r="E1079" s="51">
        <v>0</v>
      </c>
      <c r="F1079" s="51">
        <v>0</v>
      </c>
      <c r="G1079" s="51">
        <v>0</v>
      </c>
      <c r="H1079" s="51">
        <v>14266</v>
      </c>
      <c r="I1079" s="51">
        <v>-14266</v>
      </c>
      <c r="J1079" s="51">
        <v>0</v>
      </c>
      <c r="K1079" s="51">
        <v>0</v>
      </c>
      <c r="L1079" s="51">
        <v>0</v>
      </c>
      <c r="M1079" s="51">
        <v>0</v>
      </c>
      <c r="N1079" s="51">
        <v>0</v>
      </c>
    </row>
    <row r="1080" spans="1:14" outlineLevel="1" x14ac:dyDescent="0.35">
      <c r="A1080" s="53" t="s">
        <v>280</v>
      </c>
      <c r="B1080" s="66" t="s">
        <v>199</v>
      </c>
      <c r="C1080" s="51">
        <v>15439</v>
      </c>
      <c r="D1080" s="51">
        <v>-1429</v>
      </c>
      <c r="E1080" s="51">
        <v>0</v>
      </c>
      <c r="F1080" s="51">
        <v>0</v>
      </c>
      <c r="G1080" s="51">
        <v>0</v>
      </c>
      <c r="H1080" s="51">
        <v>14010</v>
      </c>
      <c r="I1080" s="51">
        <v>-14010</v>
      </c>
      <c r="J1080" s="51">
        <v>0</v>
      </c>
      <c r="K1080" s="51">
        <v>0</v>
      </c>
      <c r="L1080" s="51">
        <v>0</v>
      </c>
      <c r="M1080" s="51">
        <v>0</v>
      </c>
      <c r="N1080" s="51">
        <v>0</v>
      </c>
    </row>
    <row r="1081" spans="1:14" outlineLevel="2" x14ac:dyDescent="0.35">
      <c r="A1081" s="53" t="s">
        <v>280</v>
      </c>
      <c r="B1081" s="66" t="s">
        <v>198</v>
      </c>
      <c r="C1081" s="51">
        <v>13576</v>
      </c>
      <c r="D1081" s="51">
        <v>-234</v>
      </c>
      <c r="E1081" s="51">
        <v>0</v>
      </c>
      <c r="F1081" s="51">
        <v>0</v>
      </c>
      <c r="G1081" s="51">
        <v>0</v>
      </c>
      <c r="H1081" s="51">
        <v>13342</v>
      </c>
      <c r="I1081" s="51">
        <v>-13342</v>
      </c>
      <c r="J1081" s="51">
        <v>0</v>
      </c>
      <c r="K1081" s="51">
        <v>0</v>
      </c>
      <c r="L1081" s="51">
        <v>0</v>
      </c>
      <c r="M1081" s="51">
        <v>0</v>
      </c>
      <c r="N1081" s="51">
        <v>0</v>
      </c>
    </row>
    <row r="1082" spans="1:14" outlineLevel="2" x14ac:dyDescent="0.35">
      <c r="A1082" s="53" t="s">
        <v>280</v>
      </c>
      <c r="B1082" s="66" t="s">
        <v>197</v>
      </c>
      <c r="C1082" s="51">
        <v>13763</v>
      </c>
      <c r="D1082" s="51">
        <v>-41</v>
      </c>
      <c r="E1082" s="51">
        <v>0</v>
      </c>
      <c r="F1082" s="51">
        <v>0</v>
      </c>
      <c r="G1082" s="51">
        <v>0</v>
      </c>
      <c r="H1082" s="51">
        <v>13722</v>
      </c>
      <c r="I1082" s="51">
        <v>-13722</v>
      </c>
      <c r="J1082" s="51">
        <v>0</v>
      </c>
      <c r="K1082" s="51">
        <v>201</v>
      </c>
      <c r="L1082" s="51">
        <v>-201</v>
      </c>
      <c r="M1082" s="51">
        <v>0</v>
      </c>
      <c r="N1082" s="51">
        <v>0</v>
      </c>
    </row>
    <row r="1083" spans="1:14" outlineLevel="1" x14ac:dyDescent="0.35">
      <c r="A1083" s="53" t="s">
        <v>280</v>
      </c>
      <c r="B1083" s="66" t="s">
        <v>196</v>
      </c>
      <c r="C1083" s="51">
        <v>13688</v>
      </c>
      <c r="D1083" s="51">
        <v>122</v>
      </c>
      <c r="E1083" s="51">
        <v>0</v>
      </c>
      <c r="F1083" s="51">
        <v>0</v>
      </c>
      <c r="G1083" s="51">
        <v>0</v>
      </c>
      <c r="H1083" s="51">
        <v>13810</v>
      </c>
      <c r="I1083" s="51">
        <v>-13810</v>
      </c>
      <c r="J1083" s="51">
        <v>0</v>
      </c>
      <c r="K1083" s="51">
        <v>0</v>
      </c>
      <c r="L1083" s="51">
        <v>0</v>
      </c>
      <c r="M1083" s="51">
        <v>0</v>
      </c>
      <c r="N1083" s="51">
        <v>0</v>
      </c>
    </row>
    <row r="1084" spans="1:14" outlineLevel="1" x14ac:dyDescent="0.35">
      <c r="A1084" s="53" t="s">
        <v>280</v>
      </c>
      <c r="B1084" s="66" t="s">
        <v>195</v>
      </c>
      <c r="C1084" s="51">
        <v>14403</v>
      </c>
      <c r="D1084" s="51">
        <v>-84</v>
      </c>
      <c r="E1084" s="51">
        <v>0</v>
      </c>
      <c r="F1084" s="51">
        <v>0</v>
      </c>
      <c r="G1084" s="51">
        <v>0</v>
      </c>
      <c r="H1084" s="51">
        <v>14319</v>
      </c>
      <c r="I1084" s="51">
        <v>-14319</v>
      </c>
      <c r="J1084" s="51">
        <v>0</v>
      </c>
      <c r="K1084" s="51">
        <v>0</v>
      </c>
      <c r="L1084" s="51">
        <v>0</v>
      </c>
      <c r="M1084" s="51">
        <v>0</v>
      </c>
      <c r="N1084" s="51">
        <v>0</v>
      </c>
    </row>
    <row r="1085" spans="1:14" outlineLevel="2" x14ac:dyDescent="0.35">
      <c r="A1085" s="53" t="s">
        <v>280</v>
      </c>
      <c r="B1085" s="66" t="s">
        <v>194</v>
      </c>
      <c r="C1085" s="51">
        <v>12212</v>
      </c>
      <c r="D1085" s="51">
        <v>-81</v>
      </c>
      <c r="E1085" s="51">
        <v>0</v>
      </c>
      <c r="F1085" s="51">
        <v>0</v>
      </c>
      <c r="G1085" s="51">
        <v>0</v>
      </c>
      <c r="H1085" s="51">
        <v>12131</v>
      </c>
      <c r="I1085" s="51">
        <v>-12131</v>
      </c>
      <c r="J1085" s="51">
        <v>0</v>
      </c>
      <c r="K1085" s="51">
        <v>0</v>
      </c>
      <c r="L1085" s="51">
        <v>0</v>
      </c>
      <c r="M1085" s="51">
        <v>0</v>
      </c>
      <c r="N1085" s="51">
        <v>0</v>
      </c>
    </row>
    <row r="1086" spans="1:14" outlineLevel="2" x14ac:dyDescent="0.35">
      <c r="A1086" s="53" t="s">
        <v>280</v>
      </c>
      <c r="B1086" s="66" t="s">
        <v>193</v>
      </c>
      <c r="C1086" s="51">
        <v>12020</v>
      </c>
      <c r="D1086" s="51">
        <v>0</v>
      </c>
      <c r="E1086" s="51">
        <v>0</v>
      </c>
      <c r="F1086" s="51">
        <v>0</v>
      </c>
      <c r="G1086" s="51">
        <v>0</v>
      </c>
      <c r="H1086" s="51">
        <v>12020</v>
      </c>
      <c r="I1086" s="51">
        <v>-12020</v>
      </c>
      <c r="J1086" s="51">
        <v>0</v>
      </c>
      <c r="K1086" s="51">
        <v>0</v>
      </c>
      <c r="L1086" s="51">
        <v>0</v>
      </c>
      <c r="M1086" s="51">
        <v>0</v>
      </c>
      <c r="N1086" s="51">
        <v>0</v>
      </c>
    </row>
    <row r="1087" spans="1:14" outlineLevel="2" x14ac:dyDescent="0.35">
      <c r="A1087" s="53" t="s">
        <v>280</v>
      </c>
      <c r="B1087" s="66" t="s">
        <v>192</v>
      </c>
      <c r="C1087" s="51">
        <v>11445</v>
      </c>
      <c r="D1087" s="51">
        <v>0</v>
      </c>
      <c r="E1087" s="51">
        <v>0</v>
      </c>
      <c r="F1087" s="51">
        <v>0</v>
      </c>
      <c r="G1087" s="51">
        <v>0</v>
      </c>
      <c r="H1087" s="51">
        <v>11445</v>
      </c>
      <c r="I1087" s="51">
        <v>-11445</v>
      </c>
      <c r="J1087" s="51">
        <v>0</v>
      </c>
      <c r="K1087" s="51">
        <v>0</v>
      </c>
      <c r="L1087" s="51">
        <v>0</v>
      </c>
      <c r="M1087" s="51">
        <v>0</v>
      </c>
      <c r="N1087" s="51">
        <v>0</v>
      </c>
    </row>
    <row r="1088" spans="1:14" outlineLevel="2" x14ac:dyDescent="0.35">
      <c r="A1088" s="53" t="s">
        <v>280</v>
      </c>
      <c r="B1088" s="66" t="s">
        <v>191</v>
      </c>
      <c r="C1088" s="51">
        <v>11290</v>
      </c>
      <c r="D1088" s="51">
        <v>0</v>
      </c>
      <c r="E1088" s="51">
        <v>0</v>
      </c>
      <c r="F1088" s="51">
        <v>0</v>
      </c>
      <c r="G1088" s="51">
        <v>0</v>
      </c>
      <c r="H1088" s="51">
        <v>11290</v>
      </c>
      <c r="I1088" s="51">
        <v>-11290</v>
      </c>
      <c r="J1088" s="51">
        <v>0</v>
      </c>
      <c r="K1088" s="51">
        <v>0</v>
      </c>
      <c r="L1088" s="51">
        <v>0</v>
      </c>
      <c r="M1088" s="51">
        <v>0</v>
      </c>
      <c r="N1088" s="51">
        <v>0</v>
      </c>
    </row>
    <row r="1089" spans="1:14" outlineLevel="1" x14ac:dyDescent="0.35">
      <c r="A1089" s="53" t="s">
        <v>280</v>
      </c>
      <c r="B1089" s="66" t="s">
        <v>190</v>
      </c>
      <c r="C1089" s="51">
        <v>10750</v>
      </c>
      <c r="D1089" s="51">
        <v>0</v>
      </c>
      <c r="E1089" s="51">
        <v>0</v>
      </c>
      <c r="F1089" s="51">
        <v>0</v>
      </c>
      <c r="G1089" s="51">
        <v>0</v>
      </c>
      <c r="H1089" s="51">
        <v>10750</v>
      </c>
      <c r="I1089" s="51">
        <v>-10750</v>
      </c>
      <c r="J1089" s="51">
        <v>0</v>
      </c>
      <c r="K1089" s="51">
        <v>0</v>
      </c>
      <c r="L1089" s="51">
        <v>0</v>
      </c>
      <c r="M1089" s="51">
        <v>0</v>
      </c>
      <c r="N1089" s="51">
        <v>0</v>
      </c>
    </row>
    <row r="1090" spans="1:14" outlineLevel="2" x14ac:dyDescent="0.35">
      <c r="A1090" s="53" t="s">
        <v>280</v>
      </c>
      <c r="B1090" s="66" t="s">
        <v>189</v>
      </c>
      <c r="C1090" s="51">
        <v>2437</v>
      </c>
      <c r="D1090" s="51">
        <v>0</v>
      </c>
      <c r="E1090" s="51">
        <v>0</v>
      </c>
      <c r="F1090" s="51">
        <v>0</v>
      </c>
      <c r="G1090" s="51">
        <v>0</v>
      </c>
      <c r="H1090" s="51">
        <v>2437</v>
      </c>
      <c r="I1090" s="51">
        <v>-2437</v>
      </c>
      <c r="J1090" s="51">
        <v>0</v>
      </c>
      <c r="K1090" s="51">
        <v>0</v>
      </c>
      <c r="L1090" s="51">
        <v>0</v>
      </c>
      <c r="M1090" s="51">
        <v>0</v>
      </c>
      <c r="N1090" s="51">
        <v>0</v>
      </c>
    </row>
    <row r="1091" spans="1:14" outlineLevel="2" x14ac:dyDescent="0.35">
      <c r="A1091" s="53" t="s">
        <v>280</v>
      </c>
      <c r="B1091" s="66" t="s">
        <v>188</v>
      </c>
      <c r="C1091" s="51">
        <v>2649</v>
      </c>
      <c r="D1091" s="51">
        <v>0</v>
      </c>
      <c r="E1091" s="51">
        <v>0</v>
      </c>
      <c r="F1091" s="51">
        <v>0</v>
      </c>
      <c r="G1091" s="51">
        <v>0</v>
      </c>
      <c r="H1091" s="51">
        <v>2649</v>
      </c>
      <c r="I1091" s="51">
        <v>-2649</v>
      </c>
      <c r="J1091" s="51">
        <v>0</v>
      </c>
      <c r="K1091" s="51">
        <v>936</v>
      </c>
      <c r="L1091" s="51">
        <v>-936</v>
      </c>
      <c r="M1091" s="51">
        <v>0</v>
      </c>
      <c r="N1091" s="51">
        <v>0</v>
      </c>
    </row>
    <row r="1092" spans="1:14" outlineLevel="2" x14ac:dyDescent="0.35">
      <c r="A1092" s="53" t="s">
        <v>280</v>
      </c>
      <c r="B1092" s="66" t="s">
        <v>186</v>
      </c>
      <c r="C1092" s="51">
        <v>1797</v>
      </c>
      <c r="D1092" s="51">
        <v>-1797</v>
      </c>
      <c r="E1092" s="51">
        <v>0</v>
      </c>
      <c r="F1092" s="51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183</v>
      </c>
      <c r="L1092" s="51">
        <v>-183</v>
      </c>
      <c r="M1092" s="51">
        <v>0</v>
      </c>
      <c r="N1092" s="51">
        <v>0</v>
      </c>
    </row>
    <row r="1093" spans="1:14" ht="16" outlineLevel="2" thickBot="1" x14ac:dyDescent="0.4">
      <c r="A1093" s="50" t="s">
        <v>97</v>
      </c>
      <c r="B1093" s="67" t="s">
        <v>12</v>
      </c>
      <c r="C1093" s="48">
        <f>SUBTOTAL(109,Program66[(C)
Program
Costs])</f>
        <v>216063</v>
      </c>
      <c r="D1093" s="48">
        <f>SUBTOTAL(109,Program66[(D)
Prior Period Adjustments])</f>
        <v>-2823</v>
      </c>
      <c r="E1093" s="48">
        <f>SUBTOTAL(109,Program66[(E)
Current Period Desk 
Reviews])</f>
        <v>0</v>
      </c>
      <c r="F1093" s="48">
        <f>SUBTOTAL(109,Program66[(F)
Current Period 
Final 
Audits])</f>
        <v>0</v>
      </c>
      <c r="G1093" s="48">
        <f>SUBTOTAL(109,Program66[(G)
Current Period 
Other Adjustments])</f>
        <v>0</v>
      </c>
      <c r="H1093" s="48">
        <f>SUBTOTAL(109,Program66[(H)
Net Program Costs
Sum (C through G)])</f>
        <v>213240</v>
      </c>
      <c r="I1093" s="48">
        <f>SUBTOTAL(109,Program66[(I)
Payments
 and Offsets])</f>
        <v>-177335</v>
      </c>
      <c r="J1093" s="48">
        <f>SUBTOTAL(109,Program66[(J)
Accounts Payable Balance
(H + I)])</f>
        <v>35905</v>
      </c>
      <c r="K1093" s="48">
        <f>SUBTOTAL(109,Program66[(K)
Established 
Accounts Receivable])</f>
        <v>1320</v>
      </c>
      <c r="L1093" s="48">
        <f>SUBTOTAL(109,Program66[(L)
Recovered
 Accounts Receivable])</f>
        <v>-1320</v>
      </c>
      <c r="M1093" s="48">
        <f>SUBTOTAL(109,Program66[(M)
Accounts Receivable Balance
(K + L)])</f>
        <v>0</v>
      </c>
      <c r="N1093" s="48">
        <f>SUBTOTAL(109,Program66[(N)
Net Balance
(J minus M)])</f>
        <v>35905</v>
      </c>
    </row>
    <row r="1094" spans="1:14" outlineLevel="2" x14ac:dyDescent="0.35">
      <c r="A1094" s="63" t="s">
        <v>33</v>
      </c>
      <c r="B1094" s="62"/>
      <c r="C1094" s="61"/>
      <c r="D1094" s="61"/>
      <c r="E1094" s="61"/>
      <c r="F1094" s="61"/>
      <c r="G1094" s="61"/>
      <c r="H1094" s="61"/>
      <c r="I1094" s="61"/>
      <c r="J1094" s="61"/>
      <c r="K1094" s="61"/>
      <c r="L1094" s="61"/>
      <c r="M1094" s="61"/>
      <c r="N1094" s="61"/>
    </row>
    <row r="1095" spans="1:14" ht="77.5" outlineLevel="2" x14ac:dyDescent="0.35">
      <c r="A1095" s="60" t="s">
        <v>185</v>
      </c>
      <c r="B1095" s="59" t="s">
        <v>184</v>
      </c>
      <c r="C1095" s="58" t="s">
        <v>183</v>
      </c>
      <c r="D1095" s="58" t="s">
        <v>182</v>
      </c>
      <c r="E1095" s="56" t="s">
        <v>181</v>
      </c>
      <c r="F1095" s="56" t="s">
        <v>180</v>
      </c>
      <c r="G1095" s="56" t="s">
        <v>179</v>
      </c>
      <c r="H1095" s="57" t="s">
        <v>674</v>
      </c>
      <c r="I1095" s="55" t="s">
        <v>178</v>
      </c>
      <c r="J1095" s="55" t="s">
        <v>177</v>
      </c>
      <c r="K1095" s="56" t="s">
        <v>176</v>
      </c>
      <c r="L1095" s="55" t="s">
        <v>175</v>
      </c>
      <c r="M1095" s="55" t="s">
        <v>174</v>
      </c>
      <c r="N1095" s="54" t="s">
        <v>173</v>
      </c>
    </row>
    <row r="1096" spans="1:14" ht="31" outlineLevel="2" x14ac:dyDescent="0.35">
      <c r="A1096" s="70" t="s">
        <v>279</v>
      </c>
      <c r="B1096" s="69" t="s">
        <v>198</v>
      </c>
      <c r="C1096" s="68">
        <v>2728551</v>
      </c>
      <c r="D1096" s="68">
        <v>-6636</v>
      </c>
      <c r="E1096" s="68">
        <v>0</v>
      </c>
      <c r="F1096" s="68">
        <v>0</v>
      </c>
      <c r="G1096" s="68">
        <v>0</v>
      </c>
      <c r="H1096" s="68">
        <v>2721915</v>
      </c>
      <c r="I1096" s="68">
        <v>-2721915</v>
      </c>
      <c r="J1096" s="68">
        <v>0</v>
      </c>
      <c r="K1096" s="68">
        <v>0</v>
      </c>
      <c r="L1096" s="68">
        <v>0</v>
      </c>
      <c r="M1096" s="68">
        <v>0</v>
      </c>
      <c r="N1096" s="68">
        <v>0</v>
      </c>
    </row>
    <row r="1097" spans="1:14" ht="31" outlineLevel="2" x14ac:dyDescent="0.35">
      <c r="A1097" s="70" t="s">
        <v>279</v>
      </c>
      <c r="B1097" s="69" t="s">
        <v>197</v>
      </c>
      <c r="C1097" s="68">
        <v>2274351</v>
      </c>
      <c r="D1097" s="68">
        <v>-19599</v>
      </c>
      <c r="E1097" s="68">
        <v>0</v>
      </c>
      <c r="F1097" s="68">
        <v>0</v>
      </c>
      <c r="G1097" s="68">
        <v>0</v>
      </c>
      <c r="H1097" s="68">
        <v>2254752</v>
      </c>
      <c r="I1097" s="68">
        <v>-2254752</v>
      </c>
      <c r="J1097" s="68">
        <v>0</v>
      </c>
      <c r="K1097" s="68">
        <v>678810</v>
      </c>
      <c r="L1097" s="68">
        <v>-678810</v>
      </c>
      <c r="M1097" s="68">
        <v>0</v>
      </c>
      <c r="N1097" s="68">
        <v>0</v>
      </c>
    </row>
    <row r="1098" spans="1:14" ht="31" outlineLevel="1" x14ac:dyDescent="0.35">
      <c r="A1098" s="70" t="s">
        <v>279</v>
      </c>
      <c r="B1098" s="69" t="s">
        <v>196</v>
      </c>
      <c r="C1098" s="68">
        <v>10753806</v>
      </c>
      <c r="D1098" s="68">
        <v>-8364841</v>
      </c>
      <c r="E1098" s="68">
        <v>0</v>
      </c>
      <c r="F1098" s="68">
        <v>0</v>
      </c>
      <c r="G1098" s="68">
        <v>0</v>
      </c>
      <c r="H1098" s="68">
        <v>2388965</v>
      </c>
      <c r="I1098" s="68">
        <v>-2388965</v>
      </c>
      <c r="J1098" s="68">
        <v>0</v>
      </c>
      <c r="K1098" s="68">
        <v>56058</v>
      </c>
      <c r="L1098" s="68">
        <v>-56058</v>
      </c>
      <c r="M1098" s="68">
        <v>0</v>
      </c>
      <c r="N1098" s="68">
        <v>0</v>
      </c>
    </row>
    <row r="1099" spans="1:14" ht="31" outlineLevel="1" x14ac:dyDescent="0.35">
      <c r="A1099" s="70" t="s">
        <v>279</v>
      </c>
      <c r="B1099" s="69" t="s">
        <v>195</v>
      </c>
      <c r="C1099" s="68">
        <v>2226982</v>
      </c>
      <c r="D1099" s="68">
        <v>-11851</v>
      </c>
      <c r="E1099" s="68">
        <v>0</v>
      </c>
      <c r="F1099" s="68">
        <v>0</v>
      </c>
      <c r="G1099" s="68">
        <v>0</v>
      </c>
      <c r="H1099" s="68">
        <v>2215131</v>
      </c>
      <c r="I1099" s="68">
        <v>-2215131</v>
      </c>
      <c r="J1099" s="68">
        <v>0</v>
      </c>
      <c r="K1099" s="68">
        <v>30173</v>
      </c>
      <c r="L1099" s="68">
        <v>-30173</v>
      </c>
      <c r="M1099" s="68">
        <v>0</v>
      </c>
      <c r="N1099" s="68">
        <v>0</v>
      </c>
    </row>
    <row r="1100" spans="1:14" ht="31" outlineLevel="2" x14ac:dyDescent="0.35">
      <c r="A1100" s="70" t="s">
        <v>279</v>
      </c>
      <c r="B1100" s="69" t="s">
        <v>194</v>
      </c>
      <c r="C1100" s="68">
        <v>1814700</v>
      </c>
      <c r="D1100" s="68">
        <v>-1391</v>
      </c>
      <c r="E1100" s="68">
        <v>0</v>
      </c>
      <c r="F1100" s="68">
        <v>0</v>
      </c>
      <c r="G1100" s="68">
        <v>0</v>
      </c>
      <c r="H1100" s="68">
        <v>1813309</v>
      </c>
      <c r="I1100" s="68">
        <v>-1813309</v>
      </c>
      <c r="J1100" s="68">
        <v>0</v>
      </c>
      <c r="K1100" s="68">
        <v>321229</v>
      </c>
      <c r="L1100" s="68">
        <v>-321229</v>
      </c>
      <c r="M1100" s="68">
        <v>0</v>
      </c>
      <c r="N1100" s="68">
        <v>0</v>
      </c>
    </row>
    <row r="1101" spans="1:14" ht="31" outlineLevel="2" x14ac:dyDescent="0.35">
      <c r="A1101" s="70" t="s">
        <v>279</v>
      </c>
      <c r="B1101" s="69" t="s">
        <v>193</v>
      </c>
      <c r="C1101" s="68">
        <v>1665446</v>
      </c>
      <c r="D1101" s="68">
        <v>-9751</v>
      </c>
      <c r="E1101" s="68">
        <v>0</v>
      </c>
      <c r="F1101" s="68">
        <v>0</v>
      </c>
      <c r="G1101" s="68">
        <v>0</v>
      </c>
      <c r="H1101" s="68">
        <v>1655695</v>
      </c>
      <c r="I1101" s="68">
        <v>-1655695</v>
      </c>
      <c r="J1101" s="68">
        <v>0</v>
      </c>
      <c r="K1101" s="68">
        <v>80562</v>
      </c>
      <c r="L1101" s="68">
        <v>-80562</v>
      </c>
      <c r="M1101" s="68">
        <v>0</v>
      </c>
      <c r="N1101" s="68">
        <v>0</v>
      </c>
    </row>
    <row r="1102" spans="1:14" ht="31" outlineLevel="2" x14ac:dyDescent="0.35">
      <c r="A1102" s="70" t="s">
        <v>279</v>
      </c>
      <c r="B1102" s="69" t="s">
        <v>192</v>
      </c>
      <c r="C1102" s="68">
        <v>1483563</v>
      </c>
      <c r="D1102" s="68">
        <v>-45211</v>
      </c>
      <c r="E1102" s="68">
        <v>0</v>
      </c>
      <c r="F1102" s="68">
        <v>0</v>
      </c>
      <c r="G1102" s="68">
        <v>0</v>
      </c>
      <c r="H1102" s="68">
        <v>1438352</v>
      </c>
      <c r="I1102" s="68">
        <v>-1438352</v>
      </c>
      <c r="J1102" s="68">
        <v>0</v>
      </c>
      <c r="K1102" s="68">
        <v>60719</v>
      </c>
      <c r="L1102" s="68">
        <v>-60719</v>
      </c>
      <c r="M1102" s="68">
        <v>0</v>
      </c>
      <c r="N1102" s="68">
        <v>0</v>
      </c>
    </row>
    <row r="1103" spans="1:14" ht="31" outlineLevel="2" x14ac:dyDescent="0.35">
      <c r="A1103" s="70" t="s">
        <v>279</v>
      </c>
      <c r="B1103" s="69" t="s">
        <v>191</v>
      </c>
      <c r="C1103" s="68">
        <v>1157328</v>
      </c>
      <c r="D1103" s="68">
        <v>-7149</v>
      </c>
      <c r="E1103" s="68">
        <v>0</v>
      </c>
      <c r="F1103" s="68">
        <v>0</v>
      </c>
      <c r="G1103" s="68">
        <v>0</v>
      </c>
      <c r="H1103" s="68">
        <v>1150179</v>
      </c>
      <c r="I1103" s="68">
        <v>-1150179</v>
      </c>
      <c r="J1103" s="68">
        <v>0</v>
      </c>
      <c r="K1103" s="68">
        <v>9406</v>
      </c>
      <c r="L1103" s="68">
        <v>-9406</v>
      </c>
      <c r="M1103" s="68">
        <v>0</v>
      </c>
      <c r="N1103" s="68">
        <v>0</v>
      </c>
    </row>
    <row r="1104" spans="1:14" ht="31" outlineLevel="2" x14ac:dyDescent="0.35">
      <c r="A1104" s="70" t="s">
        <v>279</v>
      </c>
      <c r="B1104" s="69" t="s">
        <v>190</v>
      </c>
      <c r="C1104" s="68">
        <v>1032145</v>
      </c>
      <c r="D1104" s="68">
        <v>-38270</v>
      </c>
      <c r="E1104" s="68">
        <v>0</v>
      </c>
      <c r="F1104" s="68">
        <v>0</v>
      </c>
      <c r="G1104" s="68">
        <v>0</v>
      </c>
      <c r="H1104" s="68">
        <v>993875</v>
      </c>
      <c r="I1104" s="68">
        <v>-993875</v>
      </c>
      <c r="J1104" s="68">
        <v>0</v>
      </c>
      <c r="K1104" s="68">
        <v>26991</v>
      </c>
      <c r="L1104" s="68">
        <v>-26991</v>
      </c>
      <c r="M1104" s="68">
        <v>0</v>
      </c>
      <c r="N1104" s="68">
        <v>0</v>
      </c>
    </row>
    <row r="1105" spans="1:14" ht="31" outlineLevel="2" x14ac:dyDescent="0.35">
      <c r="A1105" s="70" t="s">
        <v>279</v>
      </c>
      <c r="B1105" s="69" t="s">
        <v>189</v>
      </c>
      <c r="C1105" s="68">
        <v>983323</v>
      </c>
      <c r="D1105" s="68">
        <v>-36229</v>
      </c>
      <c r="E1105" s="68">
        <v>0</v>
      </c>
      <c r="F1105" s="68">
        <v>0</v>
      </c>
      <c r="G1105" s="68">
        <v>0</v>
      </c>
      <c r="H1105" s="68">
        <v>947094</v>
      </c>
      <c r="I1105" s="68">
        <v>-947094</v>
      </c>
      <c r="J1105" s="68">
        <v>0</v>
      </c>
      <c r="K1105" s="68">
        <v>34579</v>
      </c>
      <c r="L1105" s="68">
        <v>-34579</v>
      </c>
      <c r="M1105" s="68">
        <v>0</v>
      </c>
      <c r="N1105" s="68">
        <v>0</v>
      </c>
    </row>
    <row r="1106" spans="1:14" ht="31" outlineLevel="2" x14ac:dyDescent="0.35">
      <c r="A1106" s="70" t="s">
        <v>279</v>
      </c>
      <c r="B1106" s="69" t="s">
        <v>188</v>
      </c>
      <c r="C1106" s="68">
        <v>568206</v>
      </c>
      <c r="D1106" s="68">
        <v>-25898</v>
      </c>
      <c r="E1106" s="68">
        <v>0</v>
      </c>
      <c r="F1106" s="68">
        <v>0</v>
      </c>
      <c r="G1106" s="68">
        <v>0</v>
      </c>
      <c r="H1106" s="68">
        <v>542308</v>
      </c>
      <c r="I1106" s="68">
        <v>-542308</v>
      </c>
      <c r="J1106" s="68">
        <v>0</v>
      </c>
      <c r="K1106" s="68">
        <v>19339</v>
      </c>
      <c r="L1106" s="68">
        <v>-19339</v>
      </c>
      <c r="M1106" s="68">
        <v>0</v>
      </c>
      <c r="N1106" s="68">
        <v>0</v>
      </c>
    </row>
    <row r="1107" spans="1:14" ht="16" outlineLevel="2" thickBot="1" x14ac:dyDescent="0.4">
      <c r="A1107" s="50" t="s">
        <v>96</v>
      </c>
      <c r="B1107" s="67" t="s">
        <v>12</v>
      </c>
      <c r="C1107" s="48">
        <f>SUBTOTAL(109,Program138[(C)
Program
Costs])</f>
        <v>26688401</v>
      </c>
      <c r="D1107" s="48">
        <f>SUBTOTAL(109,Program138[(D)
Prior Period Adjustments])</f>
        <v>-8566826</v>
      </c>
      <c r="E1107" s="48">
        <f>SUBTOTAL(105,Program138[(E)
Current Period Desk 
Reviews])</f>
        <v>0</v>
      </c>
      <c r="F1107" s="48">
        <f>SUBTOTAL(109,Program138[(F)
Current Period 
Final 
Audits])</f>
        <v>0</v>
      </c>
      <c r="G1107" s="48">
        <f>SUBTOTAL(109,Program138[(G)
Current Period 
Other Adjustments])</f>
        <v>0</v>
      </c>
      <c r="H1107" s="48">
        <f>SUBTOTAL(109,Program138[(H)
Net Program Costs
Sum (C through G)])</f>
        <v>18121575</v>
      </c>
      <c r="I1107" s="48">
        <f>SUBTOTAL(109,Program138[(I)
Payments
 and Offsets])</f>
        <v>-18121575</v>
      </c>
      <c r="J1107" s="48">
        <f>SUBTOTAL(109,Program138[(J)
Accounts Payable Balance
(H + I)])</f>
        <v>0</v>
      </c>
      <c r="K1107" s="48">
        <f>SUBTOTAL(109,Program138[(K)
Established 
Accounts Receivable])</f>
        <v>1317866</v>
      </c>
      <c r="L1107" s="48">
        <f>SUBTOTAL(109,Program138[(L)
Recovered
 Accounts Receivable])</f>
        <v>-1317866</v>
      </c>
      <c r="M1107" s="48">
        <f>SUBTOTAL(109,Program138[(M)
Accounts Receivable Balance
(K + L)])</f>
        <v>0</v>
      </c>
      <c r="N1107" s="48">
        <f>SUBTOTAL(109,Program138[(N)
Net Balance
(J minus M)])</f>
        <v>0</v>
      </c>
    </row>
    <row r="1108" spans="1:14" outlineLevel="2" x14ac:dyDescent="0.35">
      <c r="A1108" s="63" t="s">
        <v>33</v>
      </c>
      <c r="B1108" s="62"/>
      <c r="C1108" s="61"/>
      <c r="D1108" s="61"/>
      <c r="E1108" s="61"/>
      <c r="F1108" s="61"/>
      <c r="G1108" s="61"/>
      <c r="H1108" s="61"/>
      <c r="I1108" s="61"/>
      <c r="J1108" s="61"/>
      <c r="K1108" s="61"/>
      <c r="L1108" s="61"/>
      <c r="M1108" s="61"/>
      <c r="N1108" s="61"/>
    </row>
    <row r="1109" spans="1:14" ht="77.5" outlineLevel="2" x14ac:dyDescent="0.35">
      <c r="A1109" s="60" t="s">
        <v>185</v>
      </c>
      <c r="B1109" s="59" t="s">
        <v>184</v>
      </c>
      <c r="C1109" s="58" t="s">
        <v>183</v>
      </c>
      <c r="D1109" s="58" t="s">
        <v>182</v>
      </c>
      <c r="E1109" s="56" t="s">
        <v>181</v>
      </c>
      <c r="F1109" s="56" t="s">
        <v>180</v>
      </c>
      <c r="G1109" s="56" t="s">
        <v>179</v>
      </c>
      <c r="H1109" s="57" t="s">
        <v>674</v>
      </c>
      <c r="I1109" s="55" t="s">
        <v>178</v>
      </c>
      <c r="J1109" s="55" t="s">
        <v>177</v>
      </c>
      <c r="K1109" s="56" t="s">
        <v>176</v>
      </c>
      <c r="L1109" s="55" t="s">
        <v>175</v>
      </c>
      <c r="M1109" s="55" t="s">
        <v>174</v>
      </c>
      <c r="N1109" s="54" t="s">
        <v>173</v>
      </c>
    </row>
    <row r="1110" spans="1:14" outlineLevel="2" x14ac:dyDescent="0.35">
      <c r="A1110" s="53" t="s">
        <v>278</v>
      </c>
      <c r="B1110" s="66" t="s">
        <v>190</v>
      </c>
      <c r="C1110" s="51">
        <v>10688377</v>
      </c>
      <c r="D1110" s="51">
        <v>-719349</v>
      </c>
      <c r="E1110" s="51">
        <v>0</v>
      </c>
      <c r="F1110" s="51">
        <v>0</v>
      </c>
      <c r="G1110" s="51">
        <v>0</v>
      </c>
      <c r="H1110" s="51">
        <v>9969028</v>
      </c>
      <c r="I1110" s="51">
        <v>-9969028</v>
      </c>
      <c r="J1110" s="51">
        <v>0</v>
      </c>
      <c r="K1110" s="51">
        <v>491011</v>
      </c>
      <c r="L1110" s="51">
        <v>-491011</v>
      </c>
      <c r="M1110" s="51">
        <v>0</v>
      </c>
      <c r="N1110" s="51">
        <v>0</v>
      </c>
    </row>
    <row r="1111" spans="1:14" outlineLevel="2" x14ac:dyDescent="0.35">
      <c r="A1111" s="53" t="s">
        <v>278</v>
      </c>
      <c r="B1111" s="66" t="s">
        <v>188</v>
      </c>
      <c r="C1111" s="51">
        <v>1126405</v>
      </c>
      <c r="D1111" s="51">
        <v>-7158</v>
      </c>
      <c r="E1111" s="51">
        <v>0</v>
      </c>
      <c r="F1111" s="51">
        <v>0</v>
      </c>
      <c r="G1111" s="51">
        <v>0</v>
      </c>
      <c r="H1111" s="51">
        <v>1119247</v>
      </c>
      <c r="I1111" s="51">
        <v>-1119247</v>
      </c>
      <c r="J1111" s="51">
        <v>0</v>
      </c>
      <c r="K1111" s="51">
        <v>1889</v>
      </c>
      <c r="L1111" s="51">
        <v>-1889</v>
      </c>
      <c r="M1111" s="51">
        <v>0</v>
      </c>
      <c r="N1111" s="51">
        <v>0</v>
      </c>
    </row>
    <row r="1112" spans="1:14" outlineLevel="2" x14ac:dyDescent="0.35">
      <c r="A1112" s="53" t="s">
        <v>278</v>
      </c>
      <c r="B1112" s="66" t="s">
        <v>226</v>
      </c>
      <c r="C1112" s="51">
        <v>6239426</v>
      </c>
      <c r="D1112" s="51">
        <v>-406538</v>
      </c>
      <c r="E1112" s="51">
        <v>0</v>
      </c>
      <c r="F1112" s="51">
        <v>0</v>
      </c>
      <c r="G1112" s="51">
        <v>0</v>
      </c>
      <c r="H1112" s="51">
        <v>5832888</v>
      </c>
      <c r="I1112" s="51">
        <v>-5832888</v>
      </c>
      <c r="J1112" s="51">
        <v>0</v>
      </c>
      <c r="K1112" s="51">
        <v>1808</v>
      </c>
      <c r="L1112" s="51">
        <v>-1808</v>
      </c>
      <c r="M1112" s="51">
        <v>0</v>
      </c>
      <c r="N1112" s="51">
        <v>0</v>
      </c>
    </row>
    <row r="1113" spans="1:14" ht="16" outlineLevel="2" thickBot="1" x14ac:dyDescent="0.4">
      <c r="A1113" s="50" t="s">
        <v>95</v>
      </c>
      <c r="B1113" s="67" t="s">
        <v>12</v>
      </c>
      <c r="C1113" s="48">
        <f>SUBTOTAL(109,Program112[(C)
Program
Costs])</f>
        <v>18054208</v>
      </c>
      <c r="D1113" s="48">
        <f>SUBTOTAL(109,Program112[(D)
Prior Period Adjustments])</f>
        <v>-1133045</v>
      </c>
      <c r="E1113" s="48">
        <f>SUBTOTAL(109,Program112[(E)
Current Period Desk 
Reviews])</f>
        <v>0</v>
      </c>
      <c r="F1113" s="48">
        <f>SUBTOTAL(109,Program112[(F)
Current Period 
Final 
Audits])</f>
        <v>0</v>
      </c>
      <c r="G1113" s="48">
        <f>SUBTOTAL(109,Program112[(G)
Current Period 
Other Adjustments])</f>
        <v>0</v>
      </c>
      <c r="H1113" s="48">
        <f>SUBTOTAL(109,Program112[(H)
Net Program Costs
Sum (C through G)])</f>
        <v>16921163</v>
      </c>
      <c r="I1113" s="48">
        <f>SUBTOTAL(109,Program112[(I)
Payments
 and Offsets])</f>
        <v>-16921163</v>
      </c>
      <c r="J1113" s="48">
        <f>SUBTOTAL(109,Program112[(J)
Accounts Payable Balance
(H + I)])</f>
        <v>0</v>
      </c>
      <c r="K1113" s="48">
        <f>SUBTOTAL(109,Program112[(K)
Established 
Accounts Receivable])</f>
        <v>494708</v>
      </c>
      <c r="L1113" s="48">
        <f>SUBTOTAL(109,Program112[(L)
Recovered
 Accounts Receivable])</f>
        <v>-494708</v>
      </c>
      <c r="M1113" s="48">
        <f>SUBTOTAL(109,Program112[(M)
Accounts Receivable Balance
(K + L)])</f>
        <v>0</v>
      </c>
      <c r="N1113" s="48">
        <f>SUBTOTAL(109,Program112[(N)
Net Balance
(J minus M)])</f>
        <v>0</v>
      </c>
    </row>
    <row r="1114" spans="1:14" outlineLevel="2" x14ac:dyDescent="0.35">
      <c r="A1114" s="63" t="s">
        <v>33</v>
      </c>
      <c r="B1114" s="62"/>
      <c r="C1114" s="61"/>
      <c r="D1114" s="61"/>
      <c r="E1114" s="61"/>
      <c r="F1114" s="61"/>
      <c r="G1114" s="61"/>
      <c r="H1114" s="61"/>
      <c r="I1114" s="61"/>
      <c r="J1114" s="61"/>
      <c r="K1114" s="61"/>
      <c r="L1114" s="61"/>
      <c r="M1114" s="61"/>
      <c r="N1114" s="61"/>
    </row>
    <row r="1115" spans="1:14" ht="77.5" outlineLevel="1" x14ac:dyDescent="0.35">
      <c r="A1115" s="60" t="s">
        <v>185</v>
      </c>
      <c r="B1115" s="59" t="s">
        <v>184</v>
      </c>
      <c r="C1115" s="58" t="s">
        <v>183</v>
      </c>
      <c r="D1115" s="58" t="s">
        <v>182</v>
      </c>
      <c r="E1115" s="56" t="s">
        <v>181</v>
      </c>
      <c r="F1115" s="56" t="s">
        <v>180</v>
      </c>
      <c r="G1115" s="56" t="s">
        <v>179</v>
      </c>
      <c r="H1115" s="57" t="s">
        <v>674</v>
      </c>
      <c r="I1115" s="55" t="s">
        <v>178</v>
      </c>
      <c r="J1115" s="55" t="s">
        <v>177</v>
      </c>
      <c r="K1115" s="56" t="s">
        <v>176</v>
      </c>
      <c r="L1115" s="55" t="s">
        <v>175</v>
      </c>
      <c r="M1115" s="55" t="s">
        <v>174</v>
      </c>
      <c r="N1115" s="54" t="s">
        <v>173</v>
      </c>
    </row>
    <row r="1116" spans="1:14" outlineLevel="1" x14ac:dyDescent="0.35">
      <c r="A1116" s="53" t="s">
        <v>277</v>
      </c>
      <c r="B1116" s="66" t="s">
        <v>208</v>
      </c>
      <c r="C1116" s="51">
        <v>638768</v>
      </c>
      <c r="D1116" s="51">
        <v>-8726</v>
      </c>
      <c r="E1116" s="51">
        <v>0</v>
      </c>
      <c r="F1116" s="51">
        <v>0</v>
      </c>
      <c r="G1116" s="51">
        <v>0</v>
      </c>
      <c r="H1116" s="51">
        <v>630042</v>
      </c>
      <c r="I1116" s="51">
        <v>0</v>
      </c>
      <c r="J1116" s="51">
        <v>630042</v>
      </c>
      <c r="K1116" s="51">
        <v>0</v>
      </c>
      <c r="L1116" s="51">
        <v>0</v>
      </c>
      <c r="M1116" s="51">
        <v>0</v>
      </c>
      <c r="N1116" s="51">
        <v>630042</v>
      </c>
    </row>
    <row r="1117" spans="1:14" outlineLevel="2" x14ac:dyDescent="0.35">
      <c r="A1117" s="53" t="s">
        <v>277</v>
      </c>
      <c r="B1117" s="66" t="s">
        <v>206</v>
      </c>
      <c r="C1117" s="51">
        <v>2509</v>
      </c>
      <c r="D1117" s="51">
        <v>0</v>
      </c>
      <c r="E1117" s="51">
        <v>0</v>
      </c>
      <c r="F1117" s="51">
        <v>0</v>
      </c>
      <c r="G1117" s="51">
        <v>0</v>
      </c>
      <c r="H1117" s="51">
        <v>2509</v>
      </c>
      <c r="I1117" s="51">
        <v>0</v>
      </c>
      <c r="J1117" s="51">
        <v>2509</v>
      </c>
      <c r="K1117" s="51">
        <v>0</v>
      </c>
      <c r="L1117" s="51">
        <v>0</v>
      </c>
      <c r="M1117" s="51">
        <v>0</v>
      </c>
      <c r="N1117" s="51">
        <v>2509</v>
      </c>
    </row>
    <row r="1118" spans="1:14" outlineLevel="2" x14ac:dyDescent="0.35">
      <c r="A1118" s="53" t="s">
        <v>277</v>
      </c>
      <c r="B1118" s="66" t="s">
        <v>205</v>
      </c>
      <c r="C1118" s="51">
        <v>468288</v>
      </c>
      <c r="D1118" s="51">
        <v>0</v>
      </c>
      <c r="E1118" s="51">
        <v>0</v>
      </c>
      <c r="F1118" s="51">
        <v>0</v>
      </c>
      <c r="G1118" s="51">
        <v>0</v>
      </c>
      <c r="H1118" s="51">
        <v>468288</v>
      </c>
      <c r="I1118" s="51">
        <v>0</v>
      </c>
      <c r="J1118" s="51">
        <v>468288</v>
      </c>
      <c r="K1118" s="51">
        <v>0</v>
      </c>
      <c r="L1118" s="51">
        <v>0</v>
      </c>
      <c r="M1118" s="51">
        <v>0</v>
      </c>
      <c r="N1118" s="51">
        <v>468288</v>
      </c>
    </row>
    <row r="1119" spans="1:14" outlineLevel="2" x14ac:dyDescent="0.35">
      <c r="A1119" s="53" t="s">
        <v>277</v>
      </c>
      <c r="B1119" s="66" t="s">
        <v>203</v>
      </c>
      <c r="C1119" s="51">
        <v>321317</v>
      </c>
      <c r="D1119" s="51">
        <v>0</v>
      </c>
      <c r="E1119" s="51">
        <v>0</v>
      </c>
      <c r="F1119" s="51">
        <v>0</v>
      </c>
      <c r="G1119" s="51">
        <v>0</v>
      </c>
      <c r="H1119" s="51">
        <v>321317</v>
      </c>
      <c r="I1119" s="51">
        <v>0</v>
      </c>
      <c r="J1119" s="51">
        <v>321317</v>
      </c>
      <c r="K1119" s="51">
        <v>0</v>
      </c>
      <c r="L1119" s="51">
        <v>0</v>
      </c>
      <c r="M1119" s="51">
        <v>0</v>
      </c>
      <c r="N1119" s="51">
        <v>321317</v>
      </c>
    </row>
    <row r="1120" spans="1:14" outlineLevel="2" x14ac:dyDescent="0.35">
      <c r="A1120" s="53" t="s">
        <v>277</v>
      </c>
      <c r="B1120" s="66" t="s">
        <v>201</v>
      </c>
      <c r="C1120" s="51">
        <v>224217</v>
      </c>
      <c r="D1120" s="51">
        <v>0</v>
      </c>
      <c r="E1120" s="51">
        <v>0</v>
      </c>
      <c r="F1120" s="51">
        <v>0</v>
      </c>
      <c r="G1120" s="51">
        <v>0</v>
      </c>
      <c r="H1120" s="51">
        <v>224217</v>
      </c>
      <c r="I1120" s="51">
        <v>0</v>
      </c>
      <c r="J1120" s="51">
        <v>224217</v>
      </c>
      <c r="K1120" s="51">
        <v>0</v>
      </c>
      <c r="L1120" s="51">
        <v>0</v>
      </c>
      <c r="M1120" s="51">
        <v>0</v>
      </c>
      <c r="N1120" s="51">
        <v>224217</v>
      </c>
    </row>
    <row r="1121" spans="1:14" outlineLevel="2" x14ac:dyDescent="0.35">
      <c r="A1121" s="53" t="s">
        <v>277</v>
      </c>
      <c r="B1121" s="66" t="s">
        <v>199</v>
      </c>
      <c r="C1121" s="51">
        <v>138065</v>
      </c>
      <c r="D1121" s="51">
        <v>0</v>
      </c>
      <c r="E1121" s="51">
        <v>0</v>
      </c>
      <c r="F1121" s="51">
        <v>0</v>
      </c>
      <c r="G1121" s="51">
        <v>0</v>
      </c>
      <c r="H1121" s="51">
        <v>138065</v>
      </c>
      <c r="I1121" s="51">
        <v>0</v>
      </c>
      <c r="J1121" s="51">
        <v>138065</v>
      </c>
      <c r="K1121" s="51">
        <v>0</v>
      </c>
      <c r="L1121" s="51">
        <v>0</v>
      </c>
      <c r="M1121" s="51">
        <v>0</v>
      </c>
      <c r="N1121" s="51">
        <v>138065</v>
      </c>
    </row>
    <row r="1122" spans="1:14" outlineLevel="1" x14ac:dyDescent="0.35">
      <c r="A1122" s="53" t="s">
        <v>277</v>
      </c>
      <c r="B1122" s="66" t="s">
        <v>197</v>
      </c>
      <c r="C1122" s="51">
        <v>32181</v>
      </c>
      <c r="D1122" s="51">
        <v>0</v>
      </c>
      <c r="E1122" s="51">
        <v>0</v>
      </c>
      <c r="F1122" s="51">
        <v>0</v>
      </c>
      <c r="G1122" s="51">
        <v>0</v>
      </c>
      <c r="H1122" s="51">
        <v>32181</v>
      </c>
      <c r="I1122" s="51">
        <v>0</v>
      </c>
      <c r="J1122" s="51">
        <v>32181</v>
      </c>
      <c r="K1122" s="51">
        <v>0</v>
      </c>
      <c r="L1122" s="51">
        <v>0</v>
      </c>
      <c r="M1122" s="51">
        <v>0</v>
      </c>
      <c r="N1122" s="51">
        <v>32181</v>
      </c>
    </row>
    <row r="1123" spans="1:14" ht="16" outlineLevel="1" thickBot="1" x14ac:dyDescent="0.4">
      <c r="A1123" s="50" t="s">
        <v>94</v>
      </c>
      <c r="B1123" s="67" t="s">
        <v>12</v>
      </c>
      <c r="C1123" s="48">
        <f>SUBTOTAL(109,Program323[(C)
Program
Costs])</f>
        <v>1825345</v>
      </c>
      <c r="D1123" s="48">
        <f>SUBTOTAL(109,Program323[(D)
Prior Period Adjustments])</f>
        <v>-8726</v>
      </c>
      <c r="E1123" s="48">
        <f>SUBTOTAL(109,Program323[(E)
Current Period Desk 
Reviews])</f>
        <v>0</v>
      </c>
      <c r="F1123" s="48">
        <f>SUBTOTAL(109,Program323[(F)
Current Period 
Final 
Audits])</f>
        <v>0</v>
      </c>
      <c r="G1123" s="48">
        <f>SUBTOTAL(109,Program323[(G)
Current Period 
Other Adjustments])</f>
        <v>0</v>
      </c>
      <c r="H1123" s="48">
        <f>SUBTOTAL(109,Program323[(H)
Net Program Costs
Sum (C through G)])</f>
        <v>1816619</v>
      </c>
      <c r="I1123" s="48">
        <f>SUBTOTAL(109,Program323[(I)
Payments
 and Offsets])</f>
        <v>0</v>
      </c>
      <c r="J1123" s="48">
        <f>SUBTOTAL(109,Program323[(J)
Accounts Payable Balance
(H + I)])</f>
        <v>1816619</v>
      </c>
      <c r="K1123" s="48">
        <f>SUBTOTAL(109,Program323[(K)
Established 
Accounts Receivable])</f>
        <v>0</v>
      </c>
      <c r="L1123" s="48">
        <f>SUBTOTAL(109,Program323[(L)
Recovered
 Accounts Receivable])</f>
        <v>0</v>
      </c>
      <c r="M1123" s="48">
        <f>SUBTOTAL(109,Program323[(M)
Accounts Receivable Balance
(K + L)])</f>
        <v>0</v>
      </c>
      <c r="N1123" s="48">
        <f>SUBTOTAL(109,Program323[(N)
Net Balance
(J minus M)])</f>
        <v>1816619</v>
      </c>
    </row>
    <row r="1124" spans="1:14" outlineLevel="2" x14ac:dyDescent="0.35">
      <c r="A1124" s="63" t="s">
        <v>33</v>
      </c>
      <c r="B1124" s="62"/>
      <c r="C1124" s="61"/>
      <c r="D1124" s="61"/>
      <c r="E1124" s="61"/>
      <c r="F1124" s="61"/>
      <c r="G1124" s="61"/>
      <c r="H1124" s="61"/>
      <c r="I1124" s="61"/>
      <c r="J1124" s="61"/>
      <c r="K1124" s="61"/>
      <c r="L1124" s="61"/>
      <c r="M1124" s="61"/>
      <c r="N1124" s="61"/>
    </row>
    <row r="1125" spans="1:14" ht="77.5" outlineLevel="2" x14ac:dyDescent="0.35">
      <c r="A1125" s="60" t="s">
        <v>185</v>
      </c>
      <c r="B1125" s="59" t="s">
        <v>184</v>
      </c>
      <c r="C1125" s="58" t="s">
        <v>183</v>
      </c>
      <c r="D1125" s="58" t="s">
        <v>182</v>
      </c>
      <c r="E1125" s="56" t="s">
        <v>181</v>
      </c>
      <c r="F1125" s="56" t="s">
        <v>180</v>
      </c>
      <c r="G1125" s="56" t="s">
        <v>179</v>
      </c>
      <c r="H1125" s="57" t="s">
        <v>674</v>
      </c>
      <c r="I1125" s="55" t="s">
        <v>178</v>
      </c>
      <c r="J1125" s="55" t="s">
        <v>177</v>
      </c>
      <c r="K1125" s="56" t="s">
        <v>176</v>
      </c>
      <c r="L1125" s="55" t="s">
        <v>175</v>
      </c>
      <c r="M1125" s="55" t="s">
        <v>174</v>
      </c>
      <c r="N1125" s="54" t="s">
        <v>173</v>
      </c>
    </row>
    <row r="1126" spans="1:14" ht="31" outlineLevel="2" x14ac:dyDescent="0.35">
      <c r="A1126" s="70" t="s">
        <v>276</v>
      </c>
      <c r="B1126" s="69" t="s">
        <v>218</v>
      </c>
      <c r="C1126" s="68">
        <v>2614437</v>
      </c>
      <c r="D1126" s="68">
        <v>-2614437</v>
      </c>
      <c r="E1126" s="68">
        <v>0</v>
      </c>
      <c r="F1126" s="68">
        <v>0</v>
      </c>
      <c r="G1126" s="68">
        <v>0</v>
      </c>
      <c r="H1126" s="68">
        <v>0</v>
      </c>
      <c r="I1126" s="68">
        <v>0</v>
      </c>
      <c r="J1126" s="68">
        <v>0</v>
      </c>
      <c r="K1126" s="68">
        <v>0</v>
      </c>
      <c r="L1126" s="68">
        <v>0</v>
      </c>
      <c r="M1126" s="68">
        <v>0</v>
      </c>
      <c r="N1126" s="68">
        <v>0</v>
      </c>
    </row>
    <row r="1127" spans="1:14" ht="31" outlineLevel="1" x14ac:dyDescent="0.35">
      <c r="A1127" s="70" t="s">
        <v>276</v>
      </c>
      <c r="B1127" s="69" t="s">
        <v>209</v>
      </c>
      <c r="C1127" s="68">
        <v>2514987</v>
      </c>
      <c r="D1127" s="68">
        <v>-2270536</v>
      </c>
      <c r="E1127" s="68">
        <v>0</v>
      </c>
      <c r="F1127" s="68">
        <v>0</v>
      </c>
      <c r="G1127" s="68">
        <v>0</v>
      </c>
      <c r="H1127" s="68">
        <v>244451</v>
      </c>
      <c r="I1127" s="68">
        <v>0</v>
      </c>
      <c r="J1127" s="68">
        <v>244451</v>
      </c>
      <c r="K1127" s="68">
        <v>0</v>
      </c>
      <c r="L1127" s="68">
        <v>0</v>
      </c>
      <c r="M1127" s="68">
        <v>0</v>
      </c>
      <c r="N1127" s="68">
        <v>244451</v>
      </c>
    </row>
    <row r="1128" spans="1:14" ht="31" outlineLevel="2" x14ac:dyDescent="0.35">
      <c r="A1128" s="70" t="s">
        <v>276</v>
      </c>
      <c r="B1128" s="69" t="s">
        <v>208</v>
      </c>
      <c r="C1128" s="68">
        <v>2402029</v>
      </c>
      <c r="D1128" s="68">
        <v>-2029806</v>
      </c>
      <c r="E1128" s="68">
        <v>0</v>
      </c>
      <c r="F1128" s="68">
        <v>0</v>
      </c>
      <c r="G1128" s="68">
        <v>0</v>
      </c>
      <c r="H1128" s="68">
        <v>372223</v>
      </c>
      <c r="I1128" s="68">
        <v>0</v>
      </c>
      <c r="J1128" s="68">
        <v>372223</v>
      </c>
      <c r="K1128" s="68">
        <v>0</v>
      </c>
      <c r="L1128" s="68">
        <v>0</v>
      </c>
      <c r="M1128" s="68">
        <v>0</v>
      </c>
      <c r="N1128" s="68">
        <v>372223</v>
      </c>
    </row>
    <row r="1129" spans="1:14" ht="31" outlineLevel="2" x14ac:dyDescent="0.35">
      <c r="A1129" s="70" t="s">
        <v>276</v>
      </c>
      <c r="B1129" s="69" t="s">
        <v>206</v>
      </c>
      <c r="C1129" s="68">
        <v>2841846</v>
      </c>
      <c r="D1129" s="68">
        <v>-2464429</v>
      </c>
      <c r="E1129" s="68">
        <v>0</v>
      </c>
      <c r="F1129" s="68">
        <v>0</v>
      </c>
      <c r="G1129" s="68">
        <v>0</v>
      </c>
      <c r="H1129" s="68">
        <v>377417</v>
      </c>
      <c r="I1129" s="68">
        <v>0</v>
      </c>
      <c r="J1129" s="68">
        <v>377417</v>
      </c>
      <c r="K1129" s="68">
        <v>0</v>
      </c>
      <c r="L1129" s="68">
        <v>0</v>
      </c>
      <c r="M1129" s="68">
        <v>0</v>
      </c>
      <c r="N1129" s="68">
        <v>377417</v>
      </c>
    </row>
    <row r="1130" spans="1:14" ht="31" outlineLevel="2" x14ac:dyDescent="0.35">
      <c r="A1130" s="70" t="s">
        <v>276</v>
      </c>
      <c r="B1130" s="69" t="s">
        <v>205</v>
      </c>
      <c r="C1130" s="68">
        <v>2918896</v>
      </c>
      <c r="D1130" s="68">
        <v>-2530984</v>
      </c>
      <c r="E1130" s="68">
        <v>0</v>
      </c>
      <c r="F1130" s="68">
        <v>0</v>
      </c>
      <c r="G1130" s="68">
        <v>0</v>
      </c>
      <c r="H1130" s="68">
        <v>387912</v>
      </c>
      <c r="I1130" s="68">
        <v>0</v>
      </c>
      <c r="J1130" s="68">
        <v>387912</v>
      </c>
      <c r="K1130" s="68">
        <v>0</v>
      </c>
      <c r="L1130" s="68">
        <v>0</v>
      </c>
      <c r="M1130" s="68">
        <v>0</v>
      </c>
      <c r="N1130" s="68">
        <v>387912</v>
      </c>
    </row>
    <row r="1131" spans="1:14" ht="31" outlineLevel="2" x14ac:dyDescent="0.35">
      <c r="A1131" s="70" t="s">
        <v>276</v>
      </c>
      <c r="B1131" s="69" t="s">
        <v>204</v>
      </c>
      <c r="C1131" s="68">
        <v>3528153</v>
      </c>
      <c r="D1131" s="68">
        <v>-2994880</v>
      </c>
      <c r="E1131" s="68">
        <v>0</v>
      </c>
      <c r="F1131" s="68">
        <v>0</v>
      </c>
      <c r="G1131" s="68">
        <v>0</v>
      </c>
      <c r="H1131" s="68">
        <v>533273</v>
      </c>
      <c r="I1131" s="68">
        <v>0</v>
      </c>
      <c r="J1131" s="68">
        <v>533273</v>
      </c>
      <c r="K1131" s="68">
        <v>0</v>
      </c>
      <c r="L1131" s="68">
        <v>0</v>
      </c>
      <c r="M1131" s="68">
        <v>0</v>
      </c>
      <c r="N1131" s="68">
        <v>533273</v>
      </c>
    </row>
    <row r="1132" spans="1:14" ht="31" outlineLevel="2" x14ac:dyDescent="0.35">
      <c r="A1132" s="70" t="s">
        <v>276</v>
      </c>
      <c r="B1132" s="69" t="s">
        <v>203</v>
      </c>
      <c r="C1132" s="68">
        <v>5357738</v>
      </c>
      <c r="D1132" s="68">
        <v>-4444820</v>
      </c>
      <c r="E1132" s="68">
        <v>0</v>
      </c>
      <c r="F1132" s="68">
        <v>0</v>
      </c>
      <c r="G1132" s="68">
        <v>0</v>
      </c>
      <c r="H1132" s="68">
        <v>912918</v>
      </c>
      <c r="I1132" s="68">
        <v>0</v>
      </c>
      <c r="J1132" s="68">
        <v>912918</v>
      </c>
      <c r="K1132" s="68">
        <v>0</v>
      </c>
      <c r="L1132" s="68">
        <v>0</v>
      </c>
      <c r="M1132" s="68">
        <v>0</v>
      </c>
      <c r="N1132" s="68">
        <v>912918</v>
      </c>
    </row>
    <row r="1133" spans="1:14" ht="31" outlineLevel="2" x14ac:dyDescent="0.35">
      <c r="A1133" s="70" t="s">
        <v>276</v>
      </c>
      <c r="B1133" s="69" t="s">
        <v>202</v>
      </c>
      <c r="C1133" s="68">
        <v>5370469</v>
      </c>
      <c r="D1133" s="68">
        <v>-4459535</v>
      </c>
      <c r="E1133" s="68">
        <v>0</v>
      </c>
      <c r="F1133" s="68">
        <v>0</v>
      </c>
      <c r="G1133" s="68">
        <v>0</v>
      </c>
      <c r="H1133" s="68">
        <v>910934</v>
      </c>
      <c r="I1133" s="68">
        <v>0</v>
      </c>
      <c r="J1133" s="68">
        <v>910934</v>
      </c>
      <c r="K1133" s="68">
        <v>0</v>
      </c>
      <c r="L1133" s="68">
        <v>0</v>
      </c>
      <c r="M1133" s="68">
        <v>0</v>
      </c>
      <c r="N1133" s="68">
        <v>910934</v>
      </c>
    </row>
    <row r="1134" spans="1:14" ht="31" outlineLevel="2" x14ac:dyDescent="0.35">
      <c r="A1134" s="70" t="s">
        <v>276</v>
      </c>
      <c r="B1134" s="69" t="s">
        <v>201</v>
      </c>
      <c r="C1134" s="68">
        <v>4851118</v>
      </c>
      <c r="D1134" s="68">
        <v>-3976427</v>
      </c>
      <c r="E1134" s="68">
        <v>0</v>
      </c>
      <c r="F1134" s="68">
        <v>0</v>
      </c>
      <c r="G1134" s="68">
        <v>0</v>
      </c>
      <c r="H1134" s="68">
        <v>874691</v>
      </c>
      <c r="I1134" s="68">
        <v>0</v>
      </c>
      <c r="J1134" s="68">
        <v>874691</v>
      </c>
      <c r="K1134" s="68">
        <v>0</v>
      </c>
      <c r="L1134" s="68">
        <v>0</v>
      </c>
      <c r="M1134" s="68">
        <v>0</v>
      </c>
      <c r="N1134" s="68">
        <v>874691</v>
      </c>
    </row>
    <row r="1135" spans="1:14" ht="31" outlineLevel="2" x14ac:dyDescent="0.35">
      <c r="A1135" s="70" t="s">
        <v>276</v>
      </c>
      <c r="B1135" s="69" t="s">
        <v>200</v>
      </c>
      <c r="C1135" s="68">
        <v>4786659</v>
      </c>
      <c r="D1135" s="68">
        <v>-3969495</v>
      </c>
      <c r="E1135" s="68">
        <v>0</v>
      </c>
      <c r="F1135" s="68">
        <v>0</v>
      </c>
      <c r="G1135" s="68">
        <v>0</v>
      </c>
      <c r="H1135" s="68">
        <v>817164</v>
      </c>
      <c r="I1135" s="68">
        <v>0</v>
      </c>
      <c r="J1135" s="68">
        <v>817164</v>
      </c>
      <c r="K1135" s="68">
        <v>0</v>
      </c>
      <c r="L1135" s="68">
        <v>0</v>
      </c>
      <c r="M1135" s="68">
        <v>0</v>
      </c>
      <c r="N1135" s="68">
        <v>817164</v>
      </c>
    </row>
    <row r="1136" spans="1:14" ht="31" outlineLevel="2" x14ac:dyDescent="0.35">
      <c r="A1136" s="70" t="s">
        <v>276</v>
      </c>
      <c r="B1136" s="69" t="s">
        <v>199</v>
      </c>
      <c r="C1136" s="68">
        <v>4537347</v>
      </c>
      <c r="D1136" s="68">
        <v>-3706180</v>
      </c>
      <c r="E1136" s="68">
        <v>0</v>
      </c>
      <c r="F1136" s="68">
        <v>0</v>
      </c>
      <c r="G1136" s="68">
        <v>0</v>
      </c>
      <c r="H1136" s="68">
        <v>831167</v>
      </c>
      <c r="I1136" s="68">
        <v>0</v>
      </c>
      <c r="J1136" s="68">
        <v>831167</v>
      </c>
      <c r="K1136" s="68">
        <v>0</v>
      </c>
      <c r="L1136" s="68">
        <v>0</v>
      </c>
      <c r="M1136" s="68">
        <v>0</v>
      </c>
      <c r="N1136" s="68">
        <v>831167</v>
      </c>
    </row>
    <row r="1137" spans="1:14" ht="31" outlineLevel="2" x14ac:dyDescent="0.35">
      <c r="A1137" s="70" t="s">
        <v>276</v>
      </c>
      <c r="B1137" s="69" t="s">
        <v>198</v>
      </c>
      <c r="C1137" s="68">
        <v>3820987</v>
      </c>
      <c r="D1137" s="68">
        <v>-3028486</v>
      </c>
      <c r="E1137" s="68">
        <v>0</v>
      </c>
      <c r="F1137" s="68">
        <v>0</v>
      </c>
      <c r="G1137" s="68">
        <v>0</v>
      </c>
      <c r="H1137" s="68">
        <v>792501</v>
      </c>
      <c r="I1137" s="68">
        <v>0</v>
      </c>
      <c r="J1137" s="68">
        <v>792501</v>
      </c>
      <c r="K1137" s="68">
        <v>0</v>
      </c>
      <c r="L1137" s="68">
        <v>0</v>
      </c>
      <c r="M1137" s="68">
        <v>0</v>
      </c>
      <c r="N1137" s="68">
        <v>792501</v>
      </c>
    </row>
    <row r="1138" spans="1:14" ht="16" outlineLevel="2" thickBot="1" x14ac:dyDescent="0.4">
      <c r="A1138" s="50" t="s">
        <v>93</v>
      </c>
      <c r="B1138" s="67" t="s">
        <v>12</v>
      </c>
      <c r="C1138" s="48">
        <f>SUBTOTAL(109,Program314[(C)
Program
Costs])</f>
        <v>45544666</v>
      </c>
      <c r="D1138" s="48">
        <f>SUBTOTAL(109,Program314[(D)
Prior Period Adjustments])</f>
        <v>-38490015</v>
      </c>
      <c r="E1138" s="48">
        <f>SUBTOTAL(109,Program314[(E)
Current Period Desk 
Reviews])</f>
        <v>0</v>
      </c>
      <c r="F1138" s="48">
        <f>SUBTOTAL(109,Program314[(F)
Current Period 
Final 
Audits])</f>
        <v>0</v>
      </c>
      <c r="G1138" s="48">
        <f>SUBTOTAL(109,Program314[(G)
Current Period 
Other Adjustments])</f>
        <v>0</v>
      </c>
      <c r="H1138" s="48">
        <f>SUBTOTAL(109,Program314[(H)
Net Program Costs
Sum (C through G)])</f>
        <v>7054651</v>
      </c>
      <c r="I1138" s="48">
        <f>SUBTOTAL(109,Program314[(I)
Payments
 and Offsets])</f>
        <v>0</v>
      </c>
      <c r="J1138" s="48">
        <f>SUBTOTAL(109,Program314[(J)
Accounts Payable Balance
(H + I)])</f>
        <v>7054651</v>
      </c>
      <c r="K1138" s="48">
        <f>SUBTOTAL(109,Program314[(K)
Established 
Accounts Receivable])</f>
        <v>0</v>
      </c>
      <c r="L1138" s="48">
        <f>SUBTOTAL(109,Program314[(L)
Recovered
 Accounts Receivable])</f>
        <v>0</v>
      </c>
      <c r="M1138" s="48">
        <f>SUBTOTAL(109,Program314[(M)
Accounts Receivable Balance
(K + L)])</f>
        <v>0</v>
      </c>
      <c r="N1138" s="48">
        <f>SUBTOTAL(109,Program314[(N)
Net Balance
(J minus M)])</f>
        <v>7054651</v>
      </c>
    </row>
    <row r="1139" spans="1:14" outlineLevel="2" x14ac:dyDescent="0.35">
      <c r="A1139" s="63" t="s">
        <v>33</v>
      </c>
      <c r="B1139" s="62"/>
      <c r="C1139" s="61"/>
      <c r="D1139" s="61"/>
      <c r="E1139" s="61"/>
      <c r="F1139" s="61"/>
      <c r="G1139" s="61"/>
      <c r="H1139" s="61"/>
      <c r="I1139" s="61"/>
      <c r="J1139" s="61"/>
      <c r="K1139" s="61"/>
      <c r="L1139" s="61"/>
      <c r="M1139" s="61"/>
      <c r="N1139" s="61"/>
    </row>
    <row r="1140" spans="1:14" ht="77.5" outlineLevel="2" x14ac:dyDescent="0.35">
      <c r="A1140" s="60" t="s">
        <v>185</v>
      </c>
      <c r="B1140" s="59" t="s">
        <v>184</v>
      </c>
      <c r="C1140" s="58" t="s">
        <v>183</v>
      </c>
      <c r="D1140" s="58" t="s">
        <v>182</v>
      </c>
      <c r="E1140" s="56" t="s">
        <v>181</v>
      </c>
      <c r="F1140" s="56" t="s">
        <v>180</v>
      </c>
      <c r="G1140" s="56" t="s">
        <v>179</v>
      </c>
      <c r="H1140" s="57" t="s">
        <v>674</v>
      </c>
      <c r="I1140" s="55" t="s">
        <v>178</v>
      </c>
      <c r="J1140" s="55" t="s">
        <v>177</v>
      </c>
      <c r="K1140" s="56" t="s">
        <v>176</v>
      </c>
      <c r="L1140" s="55" t="s">
        <v>175</v>
      </c>
      <c r="M1140" s="55" t="s">
        <v>174</v>
      </c>
      <c r="N1140" s="54" t="s">
        <v>173</v>
      </c>
    </row>
    <row r="1141" spans="1:14" outlineLevel="2" x14ac:dyDescent="0.35">
      <c r="A1141" s="53" t="s">
        <v>271</v>
      </c>
      <c r="B1141" s="66" t="s">
        <v>196</v>
      </c>
      <c r="C1141" s="51">
        <v>0</v>
      </c>
      <c r="D1141" s="51">
        <v>0</v>
      </c>
      <c r="E1141" s="51">
        <v>0</v>
      </c>
      <c r="F1141" s="51">
        <v>0</v>
      </c>
      <c r="G1141" s="51">
        <v>0</v>
      </c>
      <c r="H1141" s="51">
        <v>0</v>
      </c>
      <c r="I1141" s="51">
        <v>0</v>
      </c>
      <c r="J1141" s="51">
        <v>0</v>
      </c>
      <c r="K1141" s="51">
        <v>250957</v>
      </c>
      <c r="L1141" s="51">
        <v>-250957</v>
      </c>
      <c r="M1141" s="51">
        <v>0</v>
      </c>
      <c r="N1141" s="51">
        <v>0</v>
      </c>
    </row>
    <row r="1142" spans="1:14" outlineLevel="1" x14ac:dyDescent="0.35">
      <c r="A1142" s="53" t="s">
        <v>271</v>
      </c>
      <c r="B1142" s="66" t="s">
        <v>195</v>
      </c>
      <c r="C1142" s="51">
        <v>202056</v>
      </c>
      <c r="D1142" s="51">
        <v>-1000</v>
      </c>
      <c r="E1142" s="51">
        <v>0</v>
      </c>
      <c r="F1142" s="51">
        <v>0</v>
      </c>
      <c r="G1142" s="51">
        <v>0</v>
      </c>
      <c r="H1142" s="51">
        <v>201056</v>
      </c>
      <c r="I1142" s="51">
        <v>-201056</v>
      </c>
      <c r="J1142" s="51">
        <v>0</v>
      </c>
      <c r="K1142" s="51">
        <v>0</v>
      </c>
      <c r="L1142" s="51">
        <v>0</v>
      </c>
      <c r="M1142" s="51">
        <v>0</v>
      </c>
      <c r="N1142" s="51">
        <v>0</v>
      </c>
    </row>
    <row r="1143" spans="1:14" outlineLevel="1" x14ac:dyDescent="0.35">
      <c r="A1143" s="53" t="s">
        <v>271</v>
      </c>
      <c r="B1143" s="66" t="s">
        <v>194</v>
      </c>
      <c r="C1143" s="51">
        <v>763889</v>
      </c>
      <c r="D1143" s="51">
        <v>0</v>
      </c>
      <c r="E1143" s="51">
        <v>0</v>
      </c>
      <c r="F1143" s="51">
        <v>0</v>
      </c>
      <c r="G1143" s="51">
        <v>0</v>
      </c>
      <c r="H1143" s="51">
        <v>763889</v>
      </c>
      <c r="I1143" s="51">
        <v>-763889</v>
      </c>
      <c r="J1143" s="51">
        <v>0</v>
      </c>
      <c r="K1143" s="51">
        <v>0</v>
      </c>
      <c r="L1143" s="51">
        <v>0</v>
      </c>
      <c r="M1143" s="51">
        <v>0</v>
      </c>
      <c r="N1143" s="51">
        <v>0</v>
      </c>
    </row>
    <row r="1144" spans="1:14" outlineLevel="1" x14ac:dyDescent="0.35">
      <c r="A1144" s="53" t="s">
        <v>271</v>
      </c>
      <c r="B1144" s="66" t="s">
        <v>193</v>
      </c>
      <c r="C1144" s="51">
        <v>1055705</v>
      </c>
      <c r="D1144" s="51">
        <v>-2528</v>
      </c>
      <c r="E1144" s="51">
        <v>0</v>
      </c>
      <c r="F1144" s="51">
        <v>0</v>
      </c>
      <c r="G1144" s="51">
        <v>0</v>
      </c>
      <c r="H1144" s="51">
        <v>1053177</v>
      </c>
      <c r="I1144" s="51">
        <v>-1053177</v>
      </c>
      <c r="J1144" s="51">
        <v>0</v>
      </c>
      <c r="K1144" s="51">
        <v>2528</v>
      </c>
      <c r="L1144" s="51">
        <v>-2528</v>
      </c>
      <c r="M1144" s="51">
        <v>0</v>
      </c>
      <c r="N1144" s="51">
        <v>0</v>
      </c>
    </row>
    <row r="1145" spans="1:14" outlineLevel="2" x14ac:dyDescent="0.35">
      <c r="A1145" s="53" t="s">
        <v>271</v>
      </c>
      <c r="B1145" s="66" t="s">
        <v>192</v>
      </c>
      <c r="C1145" s="51">
        <v>2280145</v>
      </c>
      <c r="D1145" s="51">
        <v>-9335</v>
      </c>
      <c r="E1145" s="51">
        <v>0</v>
      </c>
      <c r="F1145" s="51">
        <v>0</v>
      </c>
      <c r="G1145" s="51">
        <v>0</v>
      </c>
      <c r="H1145" s="51">
        <v>2270810</v>
      </c>
      <c r="I1145" s="51">
        <v>-2270810</v>
      </c>
      <c r="J1145" s="51">
        <v>0</v>
      </c>
      <c r="K1145" s="51">
        <v>26217</v>
      </c>
      <c r="L1145" s="51">
        <v>-26217</v>
      </c>
      <c r="M1145" s="51">
        <v>0</v>
      </c>
      <c r="N1145" s="51">
        <v>0</v>
      </c>
    </row>
    <row r="1146" spans="1:14" outlineLevel="2" x14ac:dyDescent="0.35">
      <c r="A1146" s="53" t="s">
        <v>271</v>
      </c>
      <c r="B1146" s="66" t="s">
        <v>191</v>
      </c>
      <c r="C1146" s="51">
        <v>1527581</v>
      </c>
      <c r="D1146" s="51">
        <v>-10724</v>
      </c>
      <c r="E1146" s="51">
        <v>0</v>
      </c>
      <c r="F1146" s="51">
        <v>0</v>
      </c>
      <c r="G1146" s="51">
        <v>0</v>
      </c>
      <c r="H1146" s="51">
        <v>1516857</v>
      </c>
      <c r="I1146" s="51">
        <v>-1516857</v>
      </c>
      <c r="J1146" s="51">
        <v>0</v>
      </c>
      <c r="K1146" s="51">
        <v>0</v>
      </c>
      <c r="L1146" s="51">
        <v>0</v>
      </c>
      <c r="M1146" s="51">
        <v>0</v>
      </c>
      <c r="N1146" s="51">
        <v>0</v>
      </c>
    </row>
    <row r="1147" spans="1:14" outlineLevel="2" x14ac:dyDescent="0.35">
      <c r="A1147" s="53" t="s">
        <v>271</v>
      </c>
      <c r="B1147" s="66" t="s">
        <v>190</v>
      </c>
      <c r="C1147" s="51">
        <v>966089</v>
      </c>
      <c r="D1147" s="51">
        <v>-8265</v>
      </c>
      <c r="E1147" s="51">
        <v>0</v>
      </c>
      <c r="F1147" s="51">
        <v>0</v>
      </c>
      <c r="G1147" s="51">
        <v>0</v>
      </c>
      <c r="H1147" s="51">
        <v>957824</v>
      </c>
      <c r="I1147" s="51">
        <v>-957824</v>
      </c>
      <c r="J1147" s="51">
        <v>0</v>
      </c>
      <c r="K1147" s="51">
        <v>0</v>
      </c>
      <c r="L1147" s="51">
        <v>0</v>
      </c>
      <c r="M1147" s="51">
        <v>0</v>
      </c>
      <c r="N1147" s="51">
        <v>0</v>
      </c>
    </row>
    <row r="1148" spans="1:14" outlineLevel="2" x14ac:dyDescent="0.35">
      <c r="A1148" s="53" t="s">
        <v>271</v>
      </c>
      <c r="B1148" s="66" t="s">
        <v>189</v>
      </c>
      <c r="C1148" s="51">
        <v>1460778</v>
      </c>
      <c r="D1148" s="51">
        <v>-10502</v>
      </c>
      <c r="E1148" s="51">
        <v>0</v>
      </c>
      <c r="F1148" s="51">
        <v>0</v>
      </c>
      <c r="G1148" s="51">
        <v>0</v>
      </c>
      <c r="H1148" s="51">
        <v>1450276</v>
      </c>
      <c r="I1148" s="51">
        <v>-1450276</v>
      </c>
      <c r="J1148" s="51">
        <v>0</v>
      </c>
      <c r="K1148" s="51">
        <v>1185</v>
      </c>
      <c r="L1148" s="51">
        <v>-1185</v>
      </c>
      <c r="M1148" s="51">
        <v>0</v>
      </c>
      <c r="N1148" s="51">
        <v>0</v>
      </c>
    </row>
    <row r="1149" spans="1:14" outlineLevel="2" x14ac:dyDescent="0.35">
      <c r="A1149" s="53" t="s">
        <v>271</v>
      </c>
      <c r="B1149" s="66" t="s">
        <v>188</v>
      </c>
      <c r="C1149" s="51">
        <v>1704320</v>
      </c>
      <c r="D1149" s="51">
        <v>-9367</v>
      </c>
      <c r="E1149" s="51">
        <v>0</v>
      </c>
      <c r="F1149" s="51">
        <v>0</v>
      </c>
      <c r="G1149" s="51">
        <v>0</v>
      </c>
      <c r="H1149" s="51">
        <v>1694953</v>
      </c>
      <c r="I1149" s="51">
        <v>-1694953</v>
      </c>
      <c r="J1149" s="51">
        <v>0</v>
      </c>
      <c r="K1149" s="51">
        <v>8367</v>
      </c>
      <c r="L1149" s="51">
        <v>-8367</v>
      </c>
      <c r="M1149" s="51">
        <v>0</v>
      </c>
      <c r="N1149" s="51">
        <v>0</v>
      </c>
    </row>
    <row r="1150" spans="1:14" outlineLevel="2" x14ac:dyDescent="0.35">
      <c r="A1150" s="53" t="s">
        <v>271</v>
      </c>
      <c r="B1150" s="66" t="s">
        <v>186</v>
      </c>
      <c r="C1150" s="51">
        <v>1644014</v>
      </c>
      <c r="D1150" s="51">
        <v>-11512</v>
      </c>
      <c r="E1150" s="51">
        <v>0</v>
      </c>
      <c r="F1150" s="51">
        <v>0</v>
      </c>
      <c r="G1150" s="51">
        <v>0</v>
      </c>
      <c r="H1150" s="51">
        <v>1632502</v>
      </c>
      <c r="I1150" s="51">
        <v>-1632502</v>
      </c>
      <c r="J1150" s="51">
        <v>0</v>
      </c>
      <c r="K1150" s="51">
        <v>10512</v>
      </c>
      <c r="L1150" s="51">
        <v>-10512</v>
      </c>
      <c r="M1150" s="51">
        <v>0</v>
      </c>
      <c r="N1150" s="51">
        <v>0</v>
      </c>
    </row>
    <row r="1151" spans="1:14" outlineLevel="2" x14ac:dyDescent="0.35">
      <c r="A1151" s="53" t="s">
        <v>271</v>
      </c>
      <c r="B1151" s="66" t="s">
        <v>227</v>
      </c>
      <c r="C1151" s="51">
        <v>1487197</v>
      </c>
      <c r="D1151" s="51">
        <v>-9878</v>
      </c>
      <c r="E1151" s="51">
        <v>0</v>
      </c>
      <c r="F1151" s="51">
        <v>0</v>
      </c>
      <c r="G1151" s="51">
        <v>0</v>
      </c>
      <c r="H1151" s="51">
        <v>1477319</v>
      </c>
      <c r="I1151" s="51">
        <v>-1477319</v>
      </c>
      <c r="J1151" s="51">
        <v>0</v>
      </c>
      <c r="K1151" s="51">
        <v>8878</v>
      </c>
      <c r="L1151" s="51">
        <v>-8878</v>
      </c>
      <c r="M1151" s="51">
        <v>0</v>
      </c>
      <c r="N1151" s="51">
        <v>0</v>
      </c>
    </row>
    <row r="1152" spans="1:14" outlineLevel="2" x14ac:dyDescent="0.35">
      <c r="A1152" s="53" t="s">
        <v>271</v>
      </c>
      <c r="B1152" s="66" t="s">
        <v>226</v>
      </c>
      <c r="C1152" s="51">
        <v>1387109</v>
      </c>
      <c r="D1152" s="51">
        <v>-10969</v>
      </c>
      <c r="E1152" s="51">
        <v>0</v>
      </c>
      <c r="F1152" s="51">
        <v>0</v>
      </c>
      <c r="G1152" s="51">
        <v>0</v>
      </c>
      <c r="H1152" s="51">
        <v>1376140</v>
      </c>
      <c r="I1152" s="51">
        <v>-1376140</v>
      </c>
      <c r="J1152" s="51">
        <v>0</v>
      </c>
      <c r="K1152" s="51">
        <v>9969</v>
      </c>
      <c r="L1152" s="51">
        <v>-9969</v>
      </c>
      <c r="M1152" s="51">
        <v>0</v>
      </c>
      <c r="N1152" s="51">
        <v>0</v>
      </c>
    </row>
    <row r="1153" spans="1:14" outlineLevel="2" x14ac:dyDescent="0.35">
      <c r="A1153" s="53" t="s">
        <v>271</v>
      </c>
      <c r="B1153" s="66" t="s">
        <v>225</v>
      </c>
      <c r="C1153" s="51">
        <v>1800259</v>
      </c>
      <c r="D1153" s="51">
        <v>-8462</v>
      </c>
      <c r="E1153" s="51">
        <v>0</v>
      </c>
      <c r="F1153" s="51">
        <v>0</v>
      </c>
      <c r="G1153" s="51">
        <v>0</v>
      </c>
      <c r="H1153" s="51">
        <v>1791797</v>
      </c>
      <c r="I1153" s="51">
        <v>-1791797</v>
      </c>
      <c r="J1153" s="51">
        <v>0</v>
      </c>
      <c r="K1153" s="51">
        <v>8462</v>
      </c>
      <c r="L1153" s="51">
        <v>-8462</v>
      </c>
      <c r="M1153" s="51">
        <v>0</v>
      </c>
      <c r="N1153" s="51">
        <v>0</v>
      </c>
    </row>
    <row r="1154" spans="1:14" outlineLevel="2" x14ac:dyDescent="0.35">
      <c r="A1154" s="53" t="s">
        <v>271</v>
      </c>
      <c r="B1154" s="66" t="s">
        <v>223</v>
      </c>
      <c r="C1154" s="51">
        <v>1271931</v>
      </c>
      <c r="D1154" s="51">
        <v>-7860</v>
      </c>
      <c r="E1154" s="51">
        <v>0</v>
      </c>
      <c r="F1154" s="51">
        <v>0</v>
      </c>
      <c r="G1154" s="51">
        <v>0</v>
      </c>
      <c r="H1154" s="51">
        <v>1264071</v>
      </c>
      <c r="I1154" s="51">
        <v>-1264071</v>
      </c>
      <c r="J1154" s="51">
        <v>0</v>
      </c>
      <c r="K1154" s="51">
        <v>6860</v>
      </c>
      <c r="L1154" s="51">
        <v>-6860</v>
      </c>
      <c r="M1154" s="51">
        <v>0</v>
      </c>
      <c r="N1154" s="51">
        <v>0</v>
      </c>
    </row>
    <row r="1155" spans="1:14" outlineLevel="2" x14ac:dyDescent="0.35">
      <c r="A1155" s="53" t="s">
        <v>271</v>
      </c>
      <c r="B1155" s="66" t="s">
        <v>257</v>
      </c>
      <c r="C1155" s="51">
        <v>1225333</v>
      </c>
      <c r="D1155" s="51">
        <v>-6669</v>
      </c>
      <c r="E1155" s="51">
        <v>0</v>
      </c>
      <c r="F1155" s="51">
        <v>0</v>
      </c>
      <c r="G1155" s="51">
        <v>0</v>
      </c>
      <c r="H1155" s="51">
        <v>1218664</v>
      </c>
      <c r="I1155" s="51">
        <v>-1218664</v>
      </c>
      <c r="J1155" s="51">
        <v>0</v>
      </c>
      <c r="K1155" s="51">
        <v>6384</v>
      </c>
      <c r="L1155" s="51">
        <v>-6384</v>
      </c>
      <c r="M1155" s="51">
        <v>0</v>
      </c>
      <c r="N1155" s="51">
        <v>0</v>
      </c>
    </row>
    <row r="1156" spans="1:14" outlineLevel="2" x14ac:dyDescent="0.35">
      <c r="A1156" s="53" t="s">
        <v>271</v>
      </c>
      <c r="B1156" s="66" t="s">
        <v>255</v>
      </c>
      <c r="C1156" s="51">
        <v>505084</v>
      </c>
      <c r="D1156" s="51">
        <v>-7353</v>
      </c>
      <c r="E1156" s="51">
        <v>0</v>
      </c>
      <c r="F1156" s="51">
        <v>0</v>
      </c>
      <c r="G1156" s="51">
        <v>0</v>
      </c>
      <c r="H1156" s="51">
        <v>497731</v>
      </c>
      <c r="I1156" s="51">
        <v>-497731</v>
      </c>
      <c r="J1156" s="51">
        <v>0</v>
      </c>
      <c r="K1156" s="51">
        <v>6397</v>
      </c>
      <c r="L1156" s="51">
        <v>-6397</v>
      </c>
      <c r="M1156" s="51">
        <v>0</v>
      </c>
      <c r="N1156" s="51">
        <v>0</v>
      </c>
    </row>
    <row r="1157" spans="1:14" outlineLevel="2" x14ac:dyDescent="0.35">
      <c r="A1157" s="53" t="s">
        <v>271</v>
      </c>
      <c r="B1157" s="66" t="s">
        <v>275</v>
      </c>
      <c r="C1157" s="51">
        <v>409954</v>
      </c>
      <c r="D1157" s="51">
        <v>-7820</v>
      </c>
      <c r="E1157" s="51">
        <v>0</v>
      </c>
      <c r="F1157" s="51">
        <v>0</v>
      </c>
      <c r="G1157" s="51">
        <v>0</v>
      </c>
      <c r="H1157" s="51">
        <v>402134</v>
      </c>
      <c r="I1157" s="51">
        <v>-402134</v>
      </c>
      <c r="J1157" s="51">
        <v>0</v>
      </c>
      <c r="K1157" s="51">
        <v>6247</v>
      </c>
      <c r="L1157" s="51">
        <v>-6247</v>
      </c>
      <c r="M1157" s="51">
        <v>0</v>
      </c>
      <c r="N1157" s="51">
        <v>0</v>
      </c>
    </row>
    <row r="1158" spans="1:14" outlineLevel="2" x14ac:dyDescent="0.35">
      <c r="A1158" s="53" t="s">
        <v>271</v>
      </c>
      <c r="B1158" s="66" t="s">
        <v>274</v>
      </c>
      <c r="C1158" s="51">
        <v>303796</v>
      </c>
      <c r="D1158" s="51">
        <v>-7243</v>
      </c>
      <c r="E1158" s="51">
        <v>0</v>
      </c>
      <c r="F1158" s="51">
        <v>0</v>
      </c>
      <c r="G1158" s="51">
        <v>0</v>
      </c>
      <c r="H1158" s="51">
        <v>296553</v>
      </c>
      <c r="I1158" s="51">
        <v>-296553</v>
      </c>
      <c r="J1158" s="51">
        <v>0</v>
      </c>
      <c r="K1158" s="51">
        <v>7243</v>
      </c>
      <c r="L1158" s="51">
        <v>-7243</v>
      </c>
      <c r="M1158" s="51">
        <v>0</v>
      </c>
      <c r="N1158" s="51">
        <v>0</v>
      </c>
    </row>
    <row r="1159" spans="1:14" outlineLevel="1" x14ac:dyDescent="0.35">
      <c r="A1159" s="53" t="s">
        <v>271</v>
      </c>
      <c r="B1159" s="66" t="s">
        <v>241</v>
      </c>
      <c r="C1159" s="51">
        <v>264962</v>
      </c>
      <c r="D1159" s="51">
        <v>-5336</v>
      </c>
      <c r="E1159" s="51">
        <v>0</v>
      </c>
      <c r="F1159" s="51">
        <v>0</v>
      </c>
      <c r="G1159" s="51">
        <v>0</v>
      </c>
      <c r="H1159" s="51">
        <v>259626</v>
      </c>
      <c r="I1159" s="51">
        <v>-259626</v>
      </c>
      <c r="J1159" s="51">
        <v>0</v>
      </c>
      <c r="K1159" s="51">
        <v>5336</v>
      </c>
      <c r="L1159" s="51">
        <v>-5336</v>
      </c>
      <c r="M1159" s="51">
        <v>0</v>
      </c>
      <c r="N1159" s="51">
        <v>0</v>
      </c>
    </row>
    <row r="1160" spans="1:14" outlineLevel="2" x14ac:dyDescent="0.35">
      <c r="A1160" s="53" t="s">
        <v>271</v>
      </c>
      <c r="B1160" s="66" t="s">
        <v>273</v>
      </c>
      <c r="C1160" s="51">
        <v>193414</v>
      </c>
      <c r="D1160" s="51">
        <v>-5784</v>
      </c>
      <c r="E1160" s="51">
        <v>0</v>
      </c>
      <c r="F1160" s="51">
        <v>0</v>
      </c>
      <c r="G1160" s="51">
        <v>0</v>
      </c>
      <c r="H1160" s="51">
        <v>187630</v>
      </c>
      <c r="I1160" s="51">
        <v>-187630</v>
      </c>
      <c r="J1160" s="51">
        <v>0</v>
      </c>
      <c r="K1160" s="51">
        <v>5784</v>
      </c>
      <c r="L1160" s="51">
        <v>-5784</v>
      </c>
      <c r="M1160" s="51">
        <v>0</v>
      </c>
      <c r="N1160" s="51">
        <v>0</v>
      </c>
    </row>
    <row r="1161" spans="1:14" outlineLevel="2" x14ac:dyDescent="0.35">
      <c r="A1161" s="53" t="s">
        <v>271</v>
      </c>
      <c r="B1161" s="66" t="s">
        <v>272</v>
      </c>
      <c r="C1161" s="51">
        <v>90495</v>
      </c>
      <c r="D1161" s="51">
        <v>-2478</v>
      </c>
      <c r="E1161" s="51">
        <v>0</v>
      </c>
      <c r="F1161" s="51">
        <v>0</v>
      </c>
      <c r="G1161" s="51">
        <v>0</v>
      </c>
      <c r="H1161" s="51">
        <v>88017</v>
      </c>
      <c r="I1161" s="51">
        <v>-88017</v>
      </c>
      <c r="J1161" s="51">
        <v>0</v>
      </c>
      <c r="K1161" s="51">
        <v>2478</v>
      </c>
      <c r="L1161" s="51">
        <v>-2478</v>
      </c>
      <c r="M1161" s="51">
        <v>0</v>
      </c>
      <c r="N1161" s="51">
        <v>0</v>
      </c>
    </row>
    <row r="1162" spans="1:14" outlineLevel="2" x14ac:dyDescent="0.35">
      <c r="A1162" s="53" t="s">
        <v>271</v>
      </c>
      <c r="B1162" s="66" t="s">
        <v>270</v>
      </c>
      <c r="C1162" s="51">
        <v>96102</v>
      </c>
      <c r="D1162" s="51">
        <v>-3324</v>
      </c>
      <c r="E1162" s="51">
        <v>0</v>
      </c>
      <c r="F1162" s="51">
        <v>0</v>
      </c>
      <c r="G1162" s="51">
        <v>0</v>
      </c>
      <c r="H1162" s="51">
        <v>92778</v>
      </c>
      <c r="I1162" s="51">
        <v>-92778</v>
      </c>
      <c r="J1162" s="51">
        <v>0</v>
      </c>
      <c r="K1162" s="51">
        <v>3324</v>
      </c>
      <c r="L1162" s="51">
        <v>-3324</v>
      </c>
      <c r="M1162" s="51">
        <v>0</v>
      </c>
      <c r="N1162" s="51">
        <v>0</v>
      </c>
    </row>
    <row r="1163" spans="1:14" ht="16" outlineLevel="1" thickBot="1" x14ac:dyDescent="0.4">
      <c r="A1163" s="50" t="s">
        <v>92</v>
      </c>
      <c r="B1163" s="67" t="s">
        <v>12</v>
      </c>
      <c r="C1163" s="48">
        <f>SUBTOTAL(109,Program147[(C)
Program
Costs])</f>
        <v>20640213</v>
      </c>
      <c r="D1163" s="48">
        <f>SUBTOTAL(109,Program147[(D)
Prior Period Adjustments])</f>
        <v>-146409</v>
      </c>
      <c r="E1163" s="48">
        <f>SUBTOTAL(109,Program147[(E)
Current Period Desk 
Reviews])</f>
        <v>0</v>
      </c>
      <c r="F1163" s="48">
        <f>SUBTOTAL(109,Program147[(F)
Current Period 
Final 
Audits])</f>
        <v>0</v>
      </c>
      <c r="G1163" s="48">
        <f>SUBTOTAL(109,Program147[(G)
Current Period 
Other Adjustments])</f>
        <v>0</v>
      </c>
      <c r="H1163" s="48">
        <f>SUBTOTAL(109,Program147[(H)
Net Program Costs
Sum (C through G)])</f>
        <v>20493804</v>
      </c>
      <c r="I1163" s="48">
        <f>SUBTOTAL(109,Program147[(I)
Payments
 and Offsets])</f>
        <v>-20493804</v>
      </c>
      <c r="J1163" s="48">
        <f>SUBTOTAL(109,Program147[(J)
Accounts Payable Balance
(H + I)])</f>
        <v>0</v>
      </c>
      <c r="K1163" s="48">
        <f>SUBTOTAL(109,Program147[(K)
Established 
Accounts Receivable])</f>
        <v>377128</v>
      </c>
      <c r="L1163" s="48">
        <f>SUBTOTAL(109,Program147[(L)
Recovered
 Accounts Receivable])</f>
        <v>-377128</v>
      </c>
      <c r="M1163" s="48">
        <f>SUBTOTAL(109,Program147[(M)
Accounts Receivable Balance
(K + L)])</f>
        <v>0</v>
      </c>
      <c r="N1163" s="48">
        <f>SUBTOTAL(109,Program147[(N)
Net Balance
(J minus M)])</f>
        <v>0</v>
      </c>
    </row>
    <row r="1164" spans="1:14" outlineLevel="1" x14ac:dyDescent="0.35">
      <c r="A1164" s="63" t="s">
        <v>33</v>
      </c>
      <c r="B1164" s="62"/>
      <c r="C1164" s="61"/>
      <c r="D1164" s="61"/>
      <c r="E1164" s="61"/>
      <c r="F1164" s="61"/>
      <c r="G1164" s="61"/>
      <c r="H1164" s="61"/>
      <c r="I1164" s="61"/>
      <c r="J1164" s="61"/>
      <c r="K1164" s="61"/>
      <c r="L1164" s="61"/>
      <c r="M1164" s="61"/>
      <c r="N1164" s="61"/>
    </row>
    <row r="1165" spans="1:14" ht="77.5" outlineLevel="2" x14ac:dyDescent="0.35">
      <c r="A1165" s="60" t="s">
        <v>185</v>
      </c>
      <c r="B1165" s="59" t="s">
        <v>184</v>
      </c>
      <c r="C1165" s="58" t="s">
        <v>183</v>
      </c>
      <c r="D1165" s="58" t="s">
        <v>182</v>
      </c>
      <c r="E1165" s="56" t="s">
        <v>181</v>
      </c>
      <c r="F1165" s="56" t="s">
        <v>180</v>
      </c>
      <c r="G1165" s="56" t="s">
        <v>179</v>
      </c>
      <c r="H1165" s="57" t="s">
        <v>674</v>
      </c>
      <c r="I1165" s="55" t="s">
        <v>178</v>
      </c>
      <c r="J1165" s="55" t="s">
        <v>177</v>
      </c>
      <c r="K1165" s="56" t="s">
        <v>176</v>
      </c>
      <c r="L1165" s="55" t="s">
        <v>175</v>
      </c>
      <c r="M1165" s="55" t="s">
        <v>174</v>
      </c>
      <c r="N1165" s="54" t="s">
        <v>173</v>
      </c>
    </row>
    <row r="1166" spans="1:14" outlineLevel="1" x14ac:dyDescent="0.35">
      <c r="A1166" s="53" t="s">
        <v>269</v>
      </c>
      <c r="B1166" s="66" t="s">
        <v>205</v>
      </c>
      <c r="C1166" s="51">
        <v>121113</v>
      </c>
      <c r="D1166" s="51">
        <v>-211</v>
      </c>
      <c r="E1166" s="51">
        <v>0</v>
      </c>
      <c r="F1166" s="51">
        <v>0</v>
      </c>
      <c r="G1166" s="51">
        <v>0</v>
      </c>
      <c r="H1166" s="51">
        <v>120902</v>
      </c>
      <c r="I1166" s="51">
        <v>0</v>
      </c>
      <c r="J1166" s="51">
        <v>120902</v>
      </c>
      <c r="K1166" s="51">
        <v>0</v>
      </c>
      <c r="L1166" s="51">
        <v>0</v>
      </c>
      <c r="M1166" s="51">
        <v>0</v>
      </c>
      <c r="N1166" s="51">
        <v>120902</v>
      </c>
    </row>
    <row r="1167" spans="1:14" outlineLevel="2" x14ac:dyDescent="0.35">
      <c r="A1167" s="53" t="s">
        <v>269</v>
      </c>
      <c r="B1167" s="66" t="s">
        <v>204</v>
      </c>
      <c r="C1167" s="51">
        <v>2750642</v>
      </c>
      <c r="D1167" s="51">
        <v>-1162</v>
      </c>
      <c r="E1167" s="51">
        <v>0</v>
      </c>
      <c r="F1167" s="51">
        <v>0</v>
      </c>
      <c r="G1167" s="51">
        <v>0</v>
      </c>
      <c r="H1167" s="51">
        <v>2749480</v>
      </c>
      <c r="I1167" s="51">
        <v>0</v>
      </c>
      <c r="J1167" s="51">
        <v>2749480</v>
      </c>
      <c r="K1167" s="51">
        <v>0</v>
      </c>
      <c r="L1167" s="51">
        <v>0</v>
      </c>
      <c r="M1167" s="51">
        <v>0</v>
      </c>
      <c r="N1167" s="51">
        <v>2749480</v>
      </c>
    </row>
    <row r="1168" spans="1:14" outlineLevel="2" x14ac:dyDescent="0.35">
      <c r="A1168" s="53" t="s">
        <v>269</v>
      </c>
      <c r="B1168" s="66" t="s">
        <v>203</v>
      </c>
      <c r="C1168" s="51">
        <v>2440141</v>
      </c>
      <c r="D1168" s="51">
        <v>-101894</v>
      </c>
      <c r="E1168" s="51">
        <v>0</v>
      </c>
      <c r="F1168" s="51">
        <v>0</v>
      </c>
      <c r="G1168" s="51">
        <v>0</v>
      </c>
      <c r="H1168" s="51">
        <v>2338247</v>
      </c>
      <c r="I1168" s="51">
        <v>0</v>
      </c>
      <c r="J1168" s="51">
        <v>2338247</v>
      </c>
      <c r="K1168" s="51">
        <v>0</v>
      </c>
      <c r="L1168" s="51">
        <v>0</v>
      </c>
      <c r="M1168" s="51">
        <v>0</v>
      </c>
      <c r="N1168" s="51">
        <v>2338247</v>
      </c>
    </row>
    <row r="1169" spans="1:14" outlineLevel="2" x14ac:dyDescent="0.35">
      <c r="A1169" s="53" t="s">
        <v>269</v>
      </c>
      <c r="B1169" s="66" t="s">
        <v>202</v>
      </c>
      <c r="C1169" s="51">
        <v>1757317</v>
      </c>
      <c r="D1169" s="51">
        <v>-49340</v>
      </c>
      <c r="E1169" s="51">
        <v>0</v>
      </c>
      <c r="F1169" s="51">
        <v>0</v>
      </c>
      <c r="G1169" s="51">
        <v>0</v>
      </c>
      <c r="H1169" s="51">
        <v>1707977</v>
      </c>
      <c r="I1169" s="51">
        <v>-1702574</v>
      </c>
      <c r="J1169" s="51">
        <v>5403</v>
      </c>
      <c r="K1169" s="51">
        <v>439438</v>
      </c>
      <c r="L1169" s="51">
        <v>-439438</v>
      </c>
      <c r="M1169" s="51">
        <v>0</v>
      </c>
      <c r="N1169" s="51">
        <v>5403</v>
      </c>
    </row>
    <row r="1170" spans="1:14" outlineLevel="2" x14ac:dyDescent="0.35">
      <c r="A1170" s="53" t="s">
        <v>269</v>
      </c>
      <c r="B1170" s="66" t="s">
        <v>201</v>
      </c>
      <c r="C1170" s="51">
        <v>1921459</v>
      </c>
      <c r="D1170" s="51">
        <v>-61240</v>
      </c>
      <c r="E1170" s="51">
        <v>0</v>
      </c>
      <c r="F1170" s="51">
        <v>0</v>
      </c>
      <c r="G1170" s="51">
        <v>0</v>
      </c>
      <c r="H1170" s="51">
        <v>1860219</v>
      </c>
      <c r="I1170" s="51">
        <v>-1860219</v>
      </c>
      <c r="J1170" s="51">
        <v>0</v>
      </c>
      <c r="K1170" s="51">
        <v>94914</v>
      </c>
      <c r="L1170" s="51">
        <v>-94914</v>
      </c>
      <c r="M1170" s="51">
        <v>0</v>
      </c>
      <c r="N1170" s="51">
        <v>0</v>
      </c>
    </row>
    <row r="1171" spans="1:14" outlineLevel="2" x14ac:dyDescent="0.35">
      <c r="A1171" s="53" t="s">
        <v>269</v>
      </c>
      <c r="B1171" s="66" t="s">
        <v>200</v>
      </c>
      <c r="C1171" s="51">
        <v>1597770</v>
      </c>
      <c r="D1171" s="51">
        <v>-204859</v>
      </c>
      <c r="E1171" s="51">
        <v>0</v>
      </c>
      <c r="F1171" s="51">
        <v>0</v>
      </c>
      <c r="G1171" s="51">
        <v>0</v>
      </c>
      <c r="H1171" s="51">
        <v>1392911</v>
      </c>
      <c r="I1171" s="51">
        <v>-1392911</v>
      </c>
      <c r="J1171" s="51">
        <v>0</v>
      </c>
      <c r="K1171" s="51">
        <v>1077708</v>
      </c>
      <c r="L1171" s="51">
        <v>-1077708</v>
      </c>
      <c r="M1171" s="51">
        <v>0</v>
      </c>
      <c r="N1171" s="51">
        <v>0</v>
      </c>
    </row>
    <row r="1172" spans="1:14" outlineLevel="2" x14ac:dyDescent="0.35">
      <c r="A1172" s="53" t="s">
        <v>269</v>
      </c>
      <c r="B1172" s="66" t="s">
        <v>199</v>
      </c>
      <c r="C1172" s="51">
        <v>2193455</v>
      </c>
      <c r="D1172" s="51">
        <v>-332902</v>
      </c>
      <c r="E1172" s="51">
        <v>0</v>
      </c>
      <c r="F1172" s="51">
        <v>0</v>
      </c>
      <c r="G1172" s="51">
        <v>0</v>
      </c>
      <c r="H1172" s="51">
        <v>1860553</v>
      </c>
      <c r="I1172" s="51">
        <v>-1860553</v>
      </c>
      <c r="J1172" s="51">
        <v>0</v>
      </c>
      <c r="K1172" s="51">
        <v>0</v>
      </c>
      <c r="L1172" s="51">
        <v>0</v>
      </c>
      <c r="M1172" s="51">
        <v>0</v>
      </c>
      <c r="N1172" s="51">
        <v>0</v>
      </c>
    </row>
    <row r="1173" spans="1:14" outlineLevel="2" x14ac:dyDescent="0.35">
      <c r="A1173" s="53" t="s">
        <v>269</v>
      </c>
      <c r="B1173" s="66" t="s">
        <v>198</v>
      </c>
      <c r="C1173" s="51">
        <v>1912268</v>
      </c>
      <c r="D1173" s="51">
        <v>-345670</v>
      </c>
      <c r="E1173" s="51">
        <v>0</v>
      </c>
      <c r="F1173" s="51">
        <v>0</v>
      </c>
      <c r="G1173" s="51">
        <v>0</v>
      </c>
      <c r="H1173" s="51">
        <v>1566598</v>
      </c>
      <c r="I1173" s="51">
        <v>-1566598</v>
      </c>
      <c r="J1173" s="51">
        <v>0</v>
      </c>
      <c r="K1173" s="51">
        <v>0</v>
      </c>
      <c r="L1173" s="51">
        <v>0</v>
      </c>
      <c r="M1173" s="51">
        <v>0</v>
      </c>
      <c r="N1173" s="51">
        <v>0</v>
      </c>
    </row>
    <row r="1174" spans="1:14" outlineLevel="2" x14ac:dyDescent="0.35">
      <c r="A1174" s="53" t="s">
        <v>269</v>
      </c>
      <c r="B1174" s="66" t="s">
        <v>197</v>
      </c>
      <c r="C1174" s="51">
        <v>1640641</v>
      </c>
      <c r="D1174" s="51">
        <v>-225965</v>
      </c>
      <c r="E1174" s="51">
        <v>0</v>
      </c>
      <c r="F1174" s="51">
        <v>0</v>
      </c>
      <c r="G1174" s="51">
        <v>0</v>
      </c>
      <c r="H1174" s="51">
        <v>1414676</v>
      </c>
      <c r="I1174" s="51">
        <v>-1414676</v>
      </c>
      <c r="J1174" s="51">
        <v>0</v>
      </c>
      <c r="K1174" s="51">
        <v>16343</v>
      </c>
      <c r="L1174" s="51">
        <v>-16343</v>
      </c>
      <c r="M1174" s="51">
        <v>0</v>
      </c>
      <c r="N1174" s="51">
        <v>0</v>
      </c>
    </row>
    <row r="1175" spans="1:14" outlineLevel="2" x14ac:dyDescent="0.35">
      <c r="A1175" s="53" t="s">
        <v>269</v>
      </c>
      <c r="B1175" s="66" t="s">
        <v>196</v>
      </c>
      <c r="C1175" s="51">
        <v>1325322</v>
      </c>
      <c r="D1175" s="51">
        <v>-50878</v>
      </c>
      <c r="E1175" s="51">
        <v>0</v>
      </c>
      <c r="F1175" s="51">
        <v>0</v>
      </c>
      <c r="G1175" s="51">
        <v>0</v>
      </c>
      <c r="H1175" s="51">
        <v>1274444</v>
      </c>
      <c r="I1175" s="51">
        <v>-1274444</v>
      </c>
      <c r="J1175" s="51">
        <v>0</v>
      </c>
      <c r="K1175" s="51">
        <v>0</v>
      </c>
      <c r="L1175" s="51">
        <v>0</v>
      </c>
      <c r="M1175" s="51">
        <v>0</v>
      </c>
      <c r="N1175" s="51">
        <v>0</v>
      </c>
    </row>
    <row r="1176" spans="1:14" outlineLevel="2" x14ac:dyDescent="0.35">
      <c r="A1176" s="53" t="s">
        <v>269</v>
      </c>
      <c r="B1176" s="66" t="s">
        <v>195</v>
      </c>
      <c r="C1176" s="51">
        <v>869309</v>
      </c>
      <c r="D1176" s="51">
        <v>-105535</v>
      </c>
      <c r="E1176" s="51">
        <v>0</v>
      </c>
      <c r="F1176" s="51">
        <v>0</v>
      </c>
      <c r="G1176" s="51">
        <v>0</v>
      </c>
      <c r="H1176" s="51">
        <v>763774</v>
      </c>
      <c r="I1176" s="51">
        <v>-763774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</row>
    <row r="1177" spans="1:14" outlineLevel="2" x14ac:dyDescent="0.35">
      <c r="A1177" s="53" t="s">
        <v>269</v>
      </c>
      <c r="B1177" s="66" t="s">
        <v>194</v>
      </c>
      <c r="C1177" s="51">
        <v>291880</v>
      </c>
      <c r="D1177" s="51">
        <v>0</v>
      </c>
      <c r="E1177" s="51">
        <v>0</v>
      </c>
      <c r="F1177" s="51">
        <v>0</v>
      </c>
      <c r="G1177" s="51">
        <v>0</v>
      </c>
      <c r="H1177" s="51">
        <v>291880</v>
      </c>
      <c r="I1177" s="51">
        <v>-291880</v>
      </c>
      <c r="J1177" s="51">
        <v>0</v>
      </c>
      <c r="K1177" s="51">
        <v>0</v>
      </c>
      <c r="L1177" s="51">
        <v>0</v>
      </c>
      <c r="M1177" s="51">
        <v>0</v>
      </c>
      <c r="N1177" s="51">
        <v>0</v>
      </c>
    </row>
    <row r="1178" spans="1:14" outlineLevel="2" x14ac:dyDescent="0.35">
      <c r="A1178" s="53" t="s">
        <v>269</v>
      </c>
      <c r="B1178" s="66" t="s">
        <v>193</v>
      </c>
      <c r="C1178" s="51">
        <v>386776</v>
      </c>
      <c r="D1178" s="51">
        <v>-39824</v>
      </c>
      <c r="E1178" s="51">
        <v>0</v>
      </c>
      <c r="F1178" s="51">
        <v>0</v>
      </c>
      <c r="G1178" s="51">
        <v>0</v>
      </c>
      <c r="H1178" s="51">
        <v>346952</v>
      </c>
      <c r="I1178" s="51">
        <v>-346952</v>
      </c>
      <c r="J1178" s="51">
        <v>0</v>
      </c>
      <c r="K1178" s="51">
        <v>0</v>
      </c>
      <c r="L1178" s="51">
        <v>0</v>
      </c>
      <c r="M1178" s="51">
        <v>0</v>
      </c>
      <c r="N1178" s="51">
        <v>0</v>
      </c>
    </row>
    <row r="1179" spans="1:14" ht="16" outlineLevel="2" thickBot="1" x14ac:dyDescent="0.4">
      <c r="A1179" s="50" t="s">
        <v>91</v>
      </c>
      <c r="B1179" s="67" t="s">
        <v>12</v>
      </c>
      <c r="C1179" s="48">
        <f>SUBTOTAL(109,Program200[(C)
Program
Costs])</f>
        <v>19208093</v>
      </c>
      <c r="D1179" s="48">
        <f>SUBTOTAL(109,Program200[(D)
Prior Period Adjustments])</f>
        <v>-1519480</v>
      </c>
      <c r="E1179" s="48">
        <f>SUBTOTAL(109,Program200[(E)
Current Period Desk 
Reviews])</f>
        <v>0</v>
      </c>
      <c r="F1179" s="48">
        <f>SUBTOTAL(109,Program200[(F)
Current Period 
Final 
Audits])</f>
        <v>0</v>
      </c>
      <c r="G1179" s="48">
        <f>SUBTOTAL(109,Program200[(G)
Current Period 
Other Adjustments])</f>
        <v>0</v>
      </c>
      <c r="H1179" s="48">
        <f>SUBTOTAL(109,Program200[(H)
Net Program Costs
Sum (C through G)])</f>
        <v>17688613</v>
      </c>
      <c r="I1179" s="48">
        <f>SUBTOTAL(109,Program200[(I)
Payments
 and Offsets])</f>
        <v>-12474581</v>
      </c>
      <c r="J1179" s="48">
        <f>SUBTOTAL(109,Program200[(J)
Accounts Payable Balance
(H + I)])</f>
        <v>5214032</v>
      </c>
      <c r="K1179" s="48">
        <f>SUBTOTAL(109,Program200[(K)
Established 
Accounts Receivable])</f>
        <v>1628403</v>
      </c>
      <c r="L1179" s="48">
        <f>SUBTOTAL(109,Program200[(L)
Recovered
 Accounts Receivable])</f>
        <v>-1628403</v>
      </c>
      <c r="M1179" s="48">
        <f>SUBTOTAL(109,Program200[(M)
Accounts Receivable Balance
(K + L)])</f>
        <v>0</v>
      </c>
      <c r="N1179" s="48">
        <f>SUBTOTAL(109,Program200[(N)
Net Balance
(J minus M)])</f>
        <v>5214032</v>
      </c>
    </row>
    <row r="1180" spans="1:14" outlineLevel="2" x14ac:dyDescent="0.35">
      <c r="A1180" s="63" t="s">
        <v>33</v>
      </c>
      <c r="B1180" s="62"/>
      <c r="C1180" s="61"/>
      <c r="D1180" s="61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</row>
    <row r="1181" spans="1:14" ht="77.5" outlineLevel="2" x14ac:dyDescent="0.35">
      <c r="A1181" s="60" t="s">
        <v>185</v>
      </c>
      <c r="B1181" s="59" t="s">
        <v>184</v>
      </c>
      <c r="C1181" s="58" t="s">
        <v>183</v>
      </c>
      <c r="D1181" s="58" t="s">
        <v>182</v>
      </c>
      <c r="E1181" s="56" t="s">
        <v>181</v>
      </c>
      <c r="F1181" s="56" t="s">
        <v>180</v>
      </c>
      <c r="G1181" s="56" t="s">
        <v>179</v>
      </c>
      <c r="H1181" s="57" t="s">
        <v>674</v>
      </c>
      <c r="I1181" s="55" t="s">
        <v>178</v>
      </c>
      <c r="J1181" s="55" t="s">
        <v>177</v>
      </c>
      <c r="K1181" s="56" t="s">
        <v>176</v>
      </c>
      <c r="L1181" s="55" t="s">
        <v>175</v>
      </c>
      <c r="M1181" s="55" t="s">
        <v>174</v>
      </c>
      <c r="N1181" s="54" t="s">
        <v>173</v>
      </c>
    </row>
    <row r="1182" spans="1:14" outlineLevel="2" x14ac:dyDescent="0.35">
      <c r="A1182" s="53" t="s">
        <v>268</v>
      </c>
      <c r="B1182" s="66" t="s">
        <v>196</v>
      </c>
      <c r="C1182" s="51">
        <v>0</v>
      </c>
      <c r="D1182" s="51">
        <v>0</v>
      </c>
      <c r="E1182" s="51">
        <v>0</v>
      </c>
      <c r="F1182" s="51">
        <v>0</v>
      </c>
      <c r="G1182" s="51">
        <v>0</v>
      </c>
      <c r="H1182" s="51">
        <v>0</v>
      </c>
      <c r="I1182" s="51">
        <v>0</v>
      </c>
      <c r="J1182" s="51">
        <v>0</v>
      </c>
      <c r="K1182" s="51">
        <v>32000</v>
      </c>
      <c r="L1182" s="51">
        <v>-32000</v>
      </c>
      <c r="M1182" s="51">
        <v>0</v>
      </c>
      <c r="N1182" s="51">
        <v>0</v>
      </c>
    </row>
    <row r="1183" spans="1:14" outlineLevel="1" x14ac:dyDescent="0.35">
      <c r="A1183" s="53" t="s">
        <v>268</v>
      </c>
      <c r="B1183" s="66" t="s">
        <v>195</v>
      </c>
      <c r="C1183" s="51">
        <v>5016707</v>
      </c>
      <c r="D1183" s="51">
        <v>-2148209</v>
      </c>
      <c r="E1183" s="51">
        <v>0</v>
      </c>
      <c r="F1183" s="51">
        <v>0</v>
      </c>
      <c r="G1183" s="51">
        <v>0</v>
      </c>
      <c r="H1183" s="51">
        <v>2868498</v>
      </c>
      <c r="I1183" s="51">
        <v>-2868498</v>
      </c>
      <c r="J1183" s="51">
        <v>0</v>
      </c>
      <c r="K1183" s="51">
        <v>3830533</v>
      </c>
      <c r="L1183" s="51">
        <v>-3830533</v>
      </c>
      <c r="M1183" s="51">
        <v>0</v>
      </c>
      <c r="N1183" s="51">
        <v>0</v>
      </c>
    </row>
    <row r="1184" spans="1:14" outlineLevel="1" x14ac:dyDescent="0.35">
      <c r="A1184" s="53" t="s">
        <v>268</v>
      </c>
      <c r="B1184" s="66" t="s">
        <v>194</v>
      </c>
      <c r="C1184" s="51">
        <v>5886935</v>
      </c>
      <c r="D1184" s="51">
        <v>-570803</v>
      </c>
      <c r="E1184" s="51">
        <v>0</v>
      </c>
      <c r="F1184" s="51">
        <v>0</v>
      </c>
      <c r="G1184" s="51">
        <v>0</v>
      </c>
      <c r="H1184" s="51">
        <v>5316132</v>
      </c>
      <c r="I1184" s="51">
        <v>-5316132</v>
      </c>
      <c r="J1184" s="51">
        <v>0</v>
      </c>
      <c r="K1184" s="51">
        <v>670665</v>
      </c>
      <c r="L1184" s="51">
        <v>-669938</v>
      </c>
      <c r="M1184" s="51">
        <v>727</v>
      </c>
      <c r="N1184" s="51">
        <v>-727</v>
      </c>
    </row>
    <row r="1185" spans="1:14" outlineLevel="2" x14ac:dyDescent="0.35">
      <c r="A1185" s="53" t="s">
        <v>268</v>
      </c>
      <c r="B1185" s="66" t="s">
        <v>193</v>
      </c>
      <c r="C1185" s="51">
        <v>4729873</v>
      </c>
      <c r="D1185" s="51">
        <v>-22461</v>
      </c>
      <c r="E1185" s="51">
        <v>0</v>
      </c>
      <c r="F1185" s="51">
        <v>0</v>
      </c>
      <c r="G1185" s="51">
        <v>0</v>
      </c>
      <c r="H1185" s="51">
        <v>4707412</v>
      </c>
      <c r="I1185" s="51">
        <v>-4707412</v>
      </c>
      <c r="J1185" s="51">
        <v>0</v>
      </c>
      <c r="K1185" s="51">
        <v>183902</v>
      </c>
      <c r="L1185" s="51">
        <v>-183169</v>
      </c>
      <c r="M1185" s="51">
        <v>733</v>
      </c>
      <c r="N1185" s="51">
        <v>-733</v>
      </c>
    </row>
    <row r="1186" spans="1:14" outlineLevel="2" x14ac:dyDescent="0.35">
      <c r="A1186" s="53" t="s">
        <v>268</v>
      </c>
      <c r="B1186" s="66" t="s">
        <v>192</v>
      </c>
      <c r="C1186" s="51">
        <v>3877844</v>
      </c>
      <c r="D1186" s="51">
        <v>-6537</v>
      </c>
      <c r="E1186" s="51">
        <v>0</v>
      </c>
      <c r="F1186" s="51">
        <v>0</v>
      </c>
      <c r="G1186" s="51">
        <v>0</v>
      </c>
      <c r="H1186" s="51">
        <v>3871307</v>
      </c>
      <c r="I1186" s="51">
        <v>-3871307</v>
      </c>
      <c r="J1186" s="51">
        <v>0</v>
      </c>
      <c r="K1186" s="51">
        <v>366633</v>
      </c>
      <c r="L1186" s="51">
        <v>-366633</v>
      </c>
      <c r="M1186" s="51">
        <v>0</v>
      </c>
      <c r="N1186" s="51">
        <v>0</v>
      </c>
    </row>
    <row r="1187" spans="1:14" outlineLevel="1" x14ac:dyDescent="0.35">
      <c r="A1187" s="53" t="s">
        <v>268</v>
      </c>
      <c r="B1187" s="66" t="s">
        <v>191</v>
      </c>
      <c r="C1187" s="51">
        <v>3944018</v>
      </c>
      <c r="D1187" s="51">
        <v>-253796</v>
      </c>
      <c r="E1187" s="51">
        <v>0</v>
      </c>
      <c r="F1187" s="51">
        <v>0</v>
      </c>
      <c r="G1187" s="51">
        <v>0</v>
      </c>
      <c r="H1187" s="51">
        <v>3690222</v>
      </c>
      <c r="I1187" s="51">
        <v>-3690222</v>
      </c>
      <c r="J1187" s="51">
        <v>0</v>
      </c>
      <c r="K1187" s="51">
        <v>870559</v>
      </c>
      <c r="L1187" s="51">
        <v>-867771</v>
      </c>
      <c r="M1187" s="51">
        <v>2788</v>
      </c>
      <c r="N1187" s="51">
        <v>-2788</v>
      </c>
    </row>
    <row r="1188" spans="1:14" outlineLevel="2" x14ac:dyDescent="0.35">
      <c r="A1188" s="53" t="s">
        <v>268</v>
      </c>
      <c r="B1188" s="66" t="s">
        <v>190</v>
      </c>
      <c r="C1188" s="51">
        <v>6073225</v>
      </c>
      <c r="D1188" s="51">
        <v>-1092270</v>
      </c>
      <c r="E1188" s="51">
        <v>0</v>
      </c>
      <c r="F1188" s="51">
        <v>0</v>
      </c>
      <c r="G1188" s="51">
        <v>0</v>
      </c>
      <c r="H1188" s="51">
        <v>4980955</v>
      </c>
      <c r="I1188" s="51">
        <v>-4980955</v>
      </c>
      <c r="J1188" s="51">
        <v>0</v>
      </c>
      <c r="K1188" s="51">
        <v>12254</v>
      </c>
      <c r="L1188" s="51">
        <v>-12254</v>
      </c>
      <c r="M1188" s="51">
        <v>0</v>
      </c>
      <c r="N1188" s="51">
        <v>0</v>
      </c>
    </row>
    <row r="1189" spans="1:14" outlineLevel="2" x14ac:dyDescent="0.35">
      <c r="A1189" s="53" t="s">
        <v>268</v>
      </c>
      <c r="B1189" s="66" t="s">
        <v>189</v>
      </c>
      <c r="C1189" s="51">
        <v>6855234</v>
      </c>
      <c r="D1189" s="51">
        <v>-1806465</v>
      </c>
      <c r="E1189" s="51">
        <v>0</v>
      </c>
      <c r="F1189" s="51">
        <v>0</v>
      </c>
      <c r="G1189" s="51">
        <v>0</v>
      </c>
      <c r="H1189" s="51">
        <v>5048769</v>
      </c>
      <c r="I1189" s="51">
        <v>-5048769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</row>
    <row r="1190" spans="1:14" outlineLevel="2" x14ac:dyDescent="0.35">
      <c r="A1190" s="53" t="s">
        <v>268</v>
      </c>
      <c r="B1190" s="66" t="s">
        <v>188</v>
      </c>
      <c r="C1190" s="51">
        <v>6836094</v>
      </c>
      <c r="D1190" s="51">
        <v>-1865102</v>
      </c>
      <c r="E1190" s="51">
        <v>0</v>
      </c>
      <c r="F1190" s="51">
        <v>0</v>
      </c>
      <c r="G1190" s="51">
        <v>0</v>
      </c>
      <c r="H1190" s="51">
        <v>4970992</v>
      </c>
      <c r="I1190" s="51">
        <v>-4970992</v>
      </c>
      <c r="J1190" s="51">
        <v>0</v>
      </c>
      <c r="K1190" s="51">
        <v>713</v>
      </c>
      <c r="L1190" s="51">
        <v>0</v>
      </c>
      <c r="M1190" s="51">
        <v>713</v>
      </c>
      <c r="N1190" s="51">
        <v>-713</v>
      </c>
    </row>
    <row r="1191" spans="1:14" outlineLevel="2" x14ac:dyDescent="0.35">
      <c r="A1191" s="53" t="s">
        <v>268</v>
      </c>
      <c r="B1191" s="66" t="s">
        <v>186</v>
      </c>
      <c r="C1191" s="51">
        <v>6281652</v>
      </c>
      <c r="D1191" s="51">
        <v>-931585</v>
      </c>
      <c r="E1191" s="51">
        <v>0</v>
      </c>
      <c r="F1191" s="51">
        <v>0</v>
      </c>
      <c r="G1191" s="51">
        <v>0</v>
      </c>
      <c r="H1191" s="51">
        <v>5350067</v>
      </c>
      <c r="I1191" s="51">
        <v>-5350067</v>
      </c>
      <c r="J1191" s="51">
        <v>0</v>
      </c>
      <c r="K1191" s="51">
        <v>48328</v>
      </c>
      <c r="L1191" s="51">
        <v>-47747</v>
      </c>
      <c r="M1191" s="51">
        <v>581</v>
      </c>
      <c r="N1191" s="51">
        <v>-581</v>
      </c>
    </row>
    <row r="1192" spans="1:14" outlineLevel="2" x14ac:dyDescent="0.35">
      <c r="A1192" s="53" t="s">
        <v>268</v>
      </c>
      <c r="B1192" s="66" t="s">
        <v>227</v>
      </c>
      <c r="C1192" s="51">
        <v>12386634</v>
      </c>
      <c r="D1192" s="51">
        <v>-694013</v>
      </c>
      <c r="E1192" s="51">
        <v>0</v>
      </c>
      <c r="F1192" s="51">
        <v>0</v>
      </c>
      <c r="G1192" s="51">
        <v>0</v>
      </c>
      <c r="H1192" s="51">
        <v>11692621</v>
      </c>
      <c r="I1192" s="51">
        <v>-11692621</v>
      </c>
      <c r="J1192" s="51">
        <v>0</v>
      </c>
      <c r="K1192" s="51">
        <v>694013</v>
      </c>
      <c r="L1192" s="51">
        <v>-694013</v>
      </c>
      <c r="M1192" s="51">
        <v>0</v>
      </c>
      <c r="N1192" s="51">
        <v>0</v>
      </c>
    </row>
    <row r="1193" spans="1:14" outlineLevel="2" x14ac:dyDescent="0.35">
      <c r="A1193" s="53" t="s">
        <v>268</v>
      </c>
      <c r="B1193" s="66" t="s">
        <v>226</v>
      </c>
      <c r="C1193" s="51">
        <v>677</v>
      </c>
      <c r="D1193" s="51">
        <v>0</v>
      </c>
      <c r="E1193" s="51">
        <v>0</v>
      </c>
      <c r="F1193" s="51">
        <v>0</v>
      </c>
      <c r="G1193" s="51">
        <v>0</v>
      </c>
      <c r="H1193" s="51">
        <v>677</v>
      </c>
      <c r="I1193" s="51">
        <v>-677</v>
      </c>
      <c r="J1193" s="51">
        <v>0</v>
      </c>
      <c r="K1193" s="51">
        <v>0</v>
      </c>
      <c r="L1193" s="51">
        <v>0</v>
      </c>
      <c r="M1193" s="51">
        <v>0</v>
      </c>
      <c r="N1193" s="51">
        <v>0</v>
      </c>
    </row>
    <row r="1194" spans="1:14" outlineLevel="2" x14ac:dyDescent="0.35">
      <c r="A1194" s="53" t="s">
        <v>268</v>
      </c>
      <c r="B1194" s="66" t="s">
        <v>225</v>
      </c>
      <c r="C1194" s="51">
        <v>719</v>
      </c>
      <c r="D1194" s="51">
        <v>0</v>
      </c>
      <c r="E1194" s="51">
        <v>0</v>
      </c>
      <c r="F1194" s="51">
        <v>0</v>
      </c>
      <c r="G1194" s="51">
        <v>0</v>
      </c>
      <c r="H1194" s="51">
        <v>719</v>
      </c>
      <c r="I1194" s="51">
        <v>-719</v>
      </c>
      <c r="J1194" s="51">
        <v>0</v>
      </c>
      <c r="K1194" s="51">
        <v>0</v>
      </c>
      <c r="L1194" s="51">
        <v>0</v>
      </c>
      <c r="M1194" s="51">
        <v>0</v>
      </c>
      <c r="N1194" s="51">
        <v>0</v>
      </c>
    </row>
    <row r="1195" spans="1:14" outlineLevel="2" x14ac:dyDescent="0.35">
      <c r="A1195" s="53" t="s">
        <v>268</v>
      </c>
      <c r="B1195" s="66" t="s">
        <v>223</v>
      </c>
      <c r="C1195" s="51">
        <v>108120</v>
      </c>
      <c r="D1195" s="51">
        <v>-107399</v>
      </c>
      <c r="E1195" s="51">
        <v>0</v>
      </c>
      <c r="F1195" s="51">
        <v>0</v>
      </c>
      <c r="G1195" s="51">
        <v>0</v>
      </c>
      <c r="H1195" s="51">
        <v>721</v>
      </c>
      <c r="I1195" s="51">
        <v>-721</v>
      </c>
      <c r="J1195" s="51">
        <v>0</v>
      </c>
      <c r="K1195" s="51">
        <v>0</v>
      </c>
      <c r="L1195" s="51">
        <v>0</v>
      </c>
      <c r="M1195" s="51">
        <v>0</v>
      </c>
      <c r="N1195" s="51">
        <v>0</v>
      </c>
    </row>
    <row r="1196" spans="1:14" outlineLevel="2" x14ac:dyDescent="0.35">
      <c r="A1196" s="53" t="s">
        <v>268</v>
      </c>
      <c r="B1196" s="66" t="s">
        <v>257</v>
      </c>
      <c r="C1196" s="51">
        <v>490</v>
      </c>
      <c r="D1196" s="51">
        <v>0</v>
      </c>
      <c r="E1196" s="51">
        <v>0</v>
      </c>
      <c r="F1196" s="51">
        <v>0</v>
      </c>
      <c r="G1196" s="51">
        <v>0</v>
      </c>
      <c r="H1196" s="51">
        <v>490</v>
      </c>
      <c r="I1196" s="51">
        <v>-490</v>
      </c>
      <c r="J1196" s="51">
        <v>0</v>
      </c>
      <c r="K1196" s="51">
        <v>0</v>
      </c>
      <c r="L1196" s="51">
        <v>0</v>
      </c>
      <c r="M1196" s="51">
        <v>0</v>
      </c>
      <c r="N1196" s="51">
        <v>0</v>
      </c>
    </row>
    <row r="1197" spans="1:14" outlineLevel="2" x14ac:dyDescent="0.35">
      <c r="A1197" s="76" t="s">
        <v>90</v>
      </c>
      <c r="B1197" s="75" t="s">
        <v>12</v>
      </c>
      <c r="C1197" s="74">
        <f>SUBTOTAL(109,Program49[(C)
Program
Costs])</f>
        <v>61998222</v>
      </c>
      <c r="D1197" s="74">
        <f>SUBTOTAL(109,Program49[(D)
Prior Period Adjustments])</f>
        <v>-9498640</v>
      </c>
      <c r="E1197" s="74">
        <f>SUBTOTAL(109,Program49[(E)
Current Period Desk 
Reviews])</f>
        <v>0</v>
      </c>
      <c r="F1197" s="74">
        <f>SUBTOTAL(109,Program49[(F)
Current Period 
Final 
Audits])</f>
        <v>0</v>
      </c>
      <c r="G1197" s="74">
        <f>SUBTOTAL(109,Program49[(G)
Current Period 
Other Adjustments])</f>
        <v>0</v>
      </c>
      <c r="H1197" s="74">
        <f>SUBTOTAL(109,Program49[(H)
Net Program Costs
Sum (C through G)])</f>
        <v>52499582</v>
      </c>
      <c r="I1197" s="74">
        <f>SUBTOTAL(109,Program49[(I)
Payments
 and Offsets])</f>
        <v>-52499582</v>
      </c>
      <c r="J1197" s="74">
        <f>SUBTOTAL(109,Program49[(J)
Accounts Payable Balance
(H + I)])</f>
        <v>0</v>
      </c>
      <c r="K1197" s="74">
        <f>SUBTOTAL(109,Program49[(K)
Established 
Accounts Receivable])</f>
        <v>6709600</v>
      </c>
      <c r="L1197" s="74">
        <f>SUBTOTAL(109,Program49[(L)
Recovered
 Accounts Receivable])</f>
        <v>-6704058</v>
      </c>
      <c r="M1197" s="74">
        <f>SUBTOTAL(109,Program49[(M)
Accounts Receivable Balance
(K + L)])</f>
        <v>5542</v>
      </c>
      <c r="N1197" s="74">
        <f>SUBTOTAL(109,Program49[(N)
Net Balance
(J minus M)])</f>
        <v>-5542</v>
      </c>
    </row>
    <row r="1198" spans="1:14" outlineLevel="2" x14ac:dyDescent="0.35">
      <c r="A1198" s="63" t="s">
        <v>33</v>
      </c>
      <c r="B1198" s="62"/>
      <c r="C1198" s="61"/>
      <c r="D1198" s="61"/>
      <c r="E1198" s="61"/>
      <c r="F1198" s="61"/>
      <c r="G1198" s="61"/>
      <c r="H1198" s="61"/>
      <c r="I1198" s="61"/>
      <c r="J1198" s="61"/>
      <c r="K1198" s="61"/>
      <c r="L1198" s="61"/>
      <c r="M1198" s="61"/>
      <c r="N1198" s="61"/>
    </row>
    <row r="1199" spans="1:14" ht="77.5" outlineLevel="2" x14ac:dyDescent="0.35">
      <c r="A1199" s="60" t="s">
        <v>185</v>
      </c>
      <c r="B1199" s="59" t="s">
        <v>184</v>
      </c>
      <c r="C1199" s="58" t="s">
        <v>183</v>
      </c>
      <c r="D1199" s="58" t="s">
        <v>182</v>
      </c>
      <c r="E1199" s="56" t="s">
        <v>181</v>
      </c>
      <c r="F1199" s="56" t="s">
        <v>180</v>
      </c>
      <c r="G1199" s="56" t="s">
        <v>179</v>
      </c>
      <c r="H1199" s="57" t="s">
        <v>674</v>
      </c>
      <c r="I1199" s="55" t="s">
        <v>178</v>
      </c>
      <c r="J1199" s="55" t="s">
        <v>177</v>
      </c>
      <c r="K1199" s="56" t="s">
        <v>176</v>
      </c>
      <c r="L1199" s="55" t="s">
        <v>175</v>
      </c>
      <c r="M1199" s="55" t="s">
        <v>174</v>
      </c>
      <c r="N1199" s="54" t="s">
        <v>173</v>
      </c>
    </row>
    <row r="1200" spans="1:14" outlineLevel="2" x14ac:dyDescent="0.35">
      <c r="A1200" s="53" t="s">
        <v>267</v>
      </c>
      <c r="B1200" s="66" t="s">
        <v>197</v>
      </c>
      <c r="C1200" s="51">
        <v>0</v>
      </c>
      <c r="D1200" s="51">
        <v>0</v>
      </c>
      <c r="E1200" s="51">
        <v>0</v>
      </c>
      <c r="F1200" s="51">
        <v>0</v>
      </c>
      <c r="G1200" s="51">
        <v>0</v>
      </c>
      <c r="H1200" s="51">
        <v>0</v>
      </c>
      <c r="I1200" s="51">
        <v>0</v>
      </c>
      <c r="J1200" s="51">
        <v>0</v>
      </c>
      <c r="K1200" s="51">
        <v>59078</v>
      </c>
      <c r="L1200" s="51">
        <v>-59078</v>
      </c>
      <c r="M1200" s="51">
        <v>0</v>
      </c>
      <c r="N1200" s="51">
        <v>0</v>
      </c>
    </row>
    <row r="1201" spans="1:14" outlineLevel="2" x14ac:dyDescent="0.35">
      <c r="A1201" s="53" t="s">
        <v>267</v>
      </c>
      <c r="B1201" s="66" t="s">
        <v>196</v>
      </c>
      <c r="C1201" s="51">
        <v>16083428</v>
      </c>
      <c r="D1201" s="51">
        <v>-3999924</v>
      </c>
      <c r="E1201" s="51">
        <v>0</v>
      </c>
      <c r="F1201" s="51">
        <v>0</v>
      </c>
      <c r="G1201" s="51">
        <v>0</v>
      </c>
      <c r="H1201" s="51">
        <v>12083504</v>
      </c>
      <c r="I1201" s="51">
        <v>-12083504</v>
      </c>
      <c r="J1201" s="51">
        <v>0</v>
      </c>
      <c r="K1201" s="51">
        <v>4018282</v>
      </c>
      <c r="L1201" s="51">
        <v>-4018282</v>
      </c>
      <c r="M1201" s="51">
        <v>0</v>
      </c>
      <c r="N1201" s="51">
        <v>0</v>
      </c>
    </row>
    <row r="1202" spans="1:14" outlineLevel="2" x14ac:dyDescent="0.35">
      <c r="A1202" s="53" t="s">
        <v>267</v>
      </c>
      <c r="B1202" s="66" t="s">
        <v>195</v>
      </c>
      <c r="C1202" s="51">
        <v>10256719</v>
      </c>
      <c r="D1202" s="51">
        <v>-3461726</v>
      </c>
      <c r="E1202" s="51">
        <v>0</v>
      </c>
      <c r="F1202" s="51">
        <v>0</v>
      </c>
      <c r="G1202" s="51">
        <v>0</v>
      </c>
      <c r="H1202" s="51">
        <v>6794993</v>
      </c>
      <c r="I1202" s="51">
        <v>-6794993</v>
      </c>
      <c r="J1202" s="51">
        <v>0</v>
      </c>
      <c r="K1202" s="51">
        <v>156049</v>
      </c>
      <c r="L1202" s="51">
        <v>-156049</v>
      </c>
      <c r="M1202" s="51">
        <v>0</v>
      </c>
      <c r="N1202" s="51">
        <v>0</v>
      </c>
    </row>
    <row r="1203" spans="1:14" outlineLevel="2" x14ac:dyDescent="0.35">
      <c r="A1203" s="53" t="s">
        <v>267</v>
      </c>
      <c r="B1203" s="66" t="s">
        <v>194</v>
      </c>
      <c r="C1203" s="51">
        <v>10028631</v>
      </c>
      <c r="D1203" s="51">
        <v>-3987827</v>
      </c>
      <c r="E1203" s="51">
        <v>0</v>
      </c>
      <c r="F1203" s="51">
        <v>0</v>
      </c>
      <c r="G1203" s="51">
        <v>0</v>
      </c>
      <c r="H1203" s="51">
        <v>6040804</v>
      </c>
      <c r="I1203" s="51">
        <v>-6040804</v>
      </c>
      <c r="J1203" s="51">
        <v>0</v>
      </c>
      <c r="K1203" s="51">
        <v>5092</v>
      </c>
      <c r="L1203" s="51">
        <v>-5092</v>
      </c>
      <c r="M1203" s="51">
        <v>0</v>
      </c>
      <c r="N1203" s="51">
        <v>0</v>
      </c>
    </row>
    <row r="1204" spans="1:14" outlineLevel="2" x14ac:dyDescent="0.35">
      <c r="A1204" s="53" t="s">
        <v>267</v>
      </c>
      <c r="B1204" s="66" t="s">
        <v>193</v>
      </c>
      <c r="C1204" s="51">
        <v>9305935</v>
      </c>
      <c r="D1204" s="51">
        <v>-3424486</v>
      </c>
      <c r="E1204" s="51">
        <v>0</v>
      </c>
      <c r="F1204" s="51">
        <v>0</v>
      </c>
      <c r="G1204" s="51">
        <v>0</v>
      </c>
      <c r="H1204" s="51">
        <v>5881449</v>
      </c>
      <c r="I1204" s="51">
        <v>-5881449</v>
      </c>
      <c r="J1204" s="51">
        <v>0</v>
      </c>
      <c r="K1204" s="51">
        <v>11613</v>
      </c>
      <c r="L1204" s="51">
        <v>-11613</v>
      </c>
      <c r="M1204" s="51">
        <v>0</v>
      </c>
      <c r="N1204" s="51">
        <v>0</v>
      </c>
    </row>
    <row r="1205" spans="1:14" ht="16" outlineLevel="1" thickBot="1" x14ac:dyDescent="0.4">
      <c r="A1205" s="50" t="s">
        <v>89</v>
      </c>
      <c r="B1205" s="67" t="s">
        <v>12</v>
      </c>
      <c r="C1205" s="48">
        <f>SUBTOTAL(109,Program202[(C)
Program
Costs])</f>
        <v>45674713</v>
      </c>
      <c r="D1205" s="48">
        <f>SUBTOTAL(109,Program202[(D)
Prior Period Adjustments])</f>
        <v>-14873963</v>
      </c>
      <c r="E1205" s="48">
        <f>SUBTOTAL(109,Program202[(E)
Current Period Desk 
Reviews])</f>
        <v>0</v>
      </c>
      <c r="F1205" s="48">
        <f>SUBTOTAL(109,Program202[(F)
Current Period 
Final 
Audits])</f>
        <v>0</v>
      </c>
      <c r="G1205" s="48">
        <f>SUBTOTAL(109,Program202[(G)
Current Period 
Other Adjustments])</f>
        <v>0</v>
      </c>
      <c r="H1205" s="48">
        <f>SUBTOTAL(109,Program202[(H)
Net Program Costs
Sum (C through G)])</f>
        <v>30800750</v>
      </c>
      <c r="I1205" s="48">
        <f>SUBTOTAL(109,Program202[(I)
Payments
 and Offsets])</f>
        <v>-30800750</v>
      </c>
      <c r="J1205" s="48">
        <f>SUBTOTAL(109,Program202[(J)
Accounts Payable Balance
(H + I)])</f>
        <v>0</v>
      </c>
      <c r="K1205" s="48">
        <f>SUBTOTAL(109,Program202[(K)
Established 
Accounts Receivable])</f>
        <v>4250114</v>
      </c>
      <c r="L1205" s="48">
        <f>SUBTOTAL(109,Program202[(L)
Recovered
 Accounts Receivable])</f>
        <v>-4250114</v>
      </c>
      <c r="M1205" s="48">
        <f>SUBTOTAL(109,Program202[(M)
Accounts Receivable Balance
(K + L)])</f>
        <v>0</v>
      </c>
      <c r="N1205" s="48">
        <f>SUBTOTAL(109,Program202[(N)
Net Balance
(J minus M)])</f>
        <v>0</v>
      </c>
    </row>
    <row r="1206" spans="1:14" outlineLevel="1" x14ac:dyDescent="0.35">
      <c r="A1206" s="63" t="s">
        <v>33</v>
      </c>
      <c r="B1206" s="62"/>
      <c r="C1206" s="61"/>
      <c r="D1206" s="61"/>
      <c r="E1206" s="61"/>
      <c r="F1206" s="61"/>
      <c r="G1206" s="61"/>
      <c r="H1206" s="61"/>
      <c r="I1206" s="61"/>
      <c r="J1206" s="61"/>
      <c r="K1206" s="61"/>
      <c r="L1206" s="61"/>
      <c r="M1206" s="61"/>
      <c r="N1206" s="61"/>
    </row>
    <row r="1207" spans="1:14" ht="77.5" outlineLevel="1" x14ac:dyDescent="0.35">
      <c r="A1207" s="60" t="s">
        <v>185</v>
      </c>
      <c r="B1207" s="59" t="s">
        <v>184</v>
      </c>
      <c r="C1207" s="58" t="s">
        <v>183</v>
      </c>
      <c r="D1207" s="58" t="s">
        <v>182</v>
      </c>
      <c r="E1207" s="56" t="s">
        <v>181</v>
      </c>
      <c r="F1207" s="56" t="s">
        <v>180</v>
      </c>
      <c r="G1207" s="56" t="s">
        <v>179</v>
      </c>
      <c r="H1207" s="57" t="s">
        <v>674</v>
      </c>
      <c r="I1207" s="55" t="s">
        <v>178</v>
      </c>
      <c r="J1207" s="55" t="s">
        <v>177</v>
      </c>
      <c r="K1207" s="56" t="s">
        <v>176</v>
      </c>
      <c r="L1207" s="55" t="s">
        <v>175</v>
      </c>
      <c r="M1207" s="55" t="s">
        <v>174</v>
      </c>
      <c r="N1207" s="54" t="s">
        <v>173</v>
      </c>
    </row>
    <row r="1208" spans="1:14" outlineLevel="2" x14ac:dyDescent="0.35">
      <c r="A1208" s="53" t="s">
        <v>266</v>
      </c>
      <c r="B1208" s="66" t="s">
        <v>208</v>
      </c>
      <c r="C1208" s="51">
        <v>15509899</v>
      </c>
      <c r="D1208" s="51">
        <v>-1229895</v>
      </c>
      <c r="E1208" s="51">
        <v>0</v>
      </c>
      <c r="F1208" s="51">
        <v>-163230</v>
      </c>
      <c r="G1208" s="51">
        <v>0</v>
      </c>
      <c r="H1208" s="51">
        <v>14116774</v>
      </c>
      <c r="I1208" s="51">
        <v>0</v>
      </c>
      <c r="J1208" s="51">
        <v>14116774</v>
      </c>
      <c r="K1208" s="51">
        <v>0</v>
      </c>
      <c r="L1208" s="51">
        <v>0</v>
      </c>
      <c r="M1208" s="51">
        <v>0</v>
      </c>
      <c r="N1208" s="51">
        <v>14116774</v>
      </c>
    </row>
    <row r="1209" spans="1:14" outlineLevel="2" x14ac:dyDescent="0.35">
      <c r="A1209" s="53" t="s">
        <v>266</v>
      </c>
      <c r="B1209" s="66" t="s">
        <v>206</v>
      </c>
      <c r="C1209" s="51">
        <v>16672212</v>
      </c>
      <c r="D1209" s="51">
        <v>-1808388</v>
      </c>
      <c r="E1209" s="51">
        <v>0</v>
      </c>
      <c r="F1209" s="51">
        <v>-127542</v>
      </c>
      <c r="G1209" s="51">
        <v>0</v>
      </c>
      <c r="H1209" s="51">
        <v>14736282</v>
      </c>
      <c r="I1209" s="51">
        <v>0</v>
      </c>
      <c r="J1209" s="51">
        <v>14736282</v>
      </c>
      <c r="K1209" s="51">
        <v>0</v>
      </c>
      <c r="L1209" s="51">
        <v>0</v>
      </c>
      <c r="M1209" s="51">
        <v>0</v>
      </c>
      <c r="N1209" s="51">
        <v>14736282</v>
      </c>
    </row>
    <row r="1210" spans="1:14" outlineLevel="2" x14ac:dyDescent="0.35">
      <c r="A1210" s="53" t="s">
        <v>266</v>
      </c>
      <c r="B1210" s="66" t="s">
        <v>205</v>
      </c>
      <c r="C1210" s="51">
        <v>17888701</v>
      </c>
      <c r="D1210" s="51">
        <v>-2357600</v>
      </c>
      <c r="E1210" s="51">
        <v>0</v>
      </c>
      <c r="F1210" s="51">
        <v>-93833</v>
      </c>
      <c r="G1210" s="51">
        <v>0</v>
      </c>
      <c r="H1210" s="51">
        <v>15437268</v>
      </c>
      <c r="I1210" s="51">
        <v>0</v>
      </c>
      <c r="J1210" s="51">
        <v>15437268</v>
      </c>
      <c r="K1210" s="51">
        <v>0</v>
      </c>
      <c r="L1210" s="51">
        <v>0</v>
      </c>
      <c r="M1210" s="51">
        <v>0</v>
      </c>
      <c r="N1210" s="51">
        <v>15437268</v>
      </c>
    </row>
    <row r="1211" spans="1:14" outlineLevel="2" x14ac:dyDescent="0.35">
      <c r="A1211" s="53" t="s">
        <v>266</v>
      </c>
      <c r="B1211" s="66" t="s">
        <v>204</v>
      </c>
      <c r="C1211" s="51">
        <v>18046990</v>
      </c>
      <c r="D1211" s="51">
        <v>-2286714</v>
      </c>
      <c r="E1211" s="51">
        <v>0</v>
      </c>
      <c r="F1211" s="51">
        <v>-86733</v>
      </c>
      <c r="G1211" s="51">
        <v>0</v>
      </c>
      <c r="H1211" s="51">
        <v>15673543</v>
      </c>
      <c r="I1211" s="51">
        <v>0</v>
      </c>
      <c r="J1211" s="51">
        <v>15673543</v>
      </c>
      <c r="K1211" s="51">
        <v>0</v>
      </c>
      <c r="L1211" s="51">
        <v>0</v>
      </c>
      <c r="M1211" s="51">
        <v>0</v>
      </c>
      <c r="N1211" s="51">
        <v>15673543</v>
      </c>
    </row>
    <row r="1212" spans="1:14" outlineLevel="2" x14ac:dyDescent="0.35">
      <c r="A1212" s="53" t="s">
        <v>266</v>
      </c>
      <c r="B1212" s="66" t="s">
        <v>203</v>
      </c>
      <c r="C1212" s="51">
        <v>17676098</v>
      </c>
      <c r="D1212" s="51">
        <v>-1965916</v>
      </c>
      <c r="E1212" s="51">
        <v>0</v>
      </c>
      <c r="F1212" s="51">
        <v>-87922</v>
      </c>
      <c r="G1212" s="51">
        <v>0</v>
      </c>
      <c r="H1212" s="51">
        <v>15622260</v>
      </c>
      <c r="I1212" s="51">
        <v>0</v>
      </c>
      <c r="J1212" s="51">
        <v>15622260</v>
      </c>
      <c r="K1212" s="51">
        <v>0</v>
      </c>
      <c r="L1212" s="51">
        <v>0</v>
      </c>
      <c r="M1212" s="51">
        <v>0</v>
      </c>
      <c r="N1212" s="51">
        <v>15622260</v>
      </c>
    </row>
    <row r="1213" spans="1:14" outlineLevel="2" x14ac:dyDescent="0.35">
      <c r="A1213" s="53" t="s">
        <v>266</v>
      </c>
      <c r="B1213" s="66" t="s">
        <v>202</v>
      </c>
      <c r="C1213" s="51">
        <v>16825719</v>
      </c>
      <c r="D1213" s="51">
        <v>-1892630</v>
      </c>
      <c r="E1213" s="51">
        <v>0</v>
      </c>
      <c r="F1213" s="51">
        <v>-96445</v>
      </c>
      <c r="G1213" s="51">
        <v>0</v>
      </c>
      <c r="H1213" s="51">
        <v>14836644</v>
      </c>
      <c r="I1213" s="51">
        <v>0</v>
      </c>
      <c r="J1213" s="51">
        <v>14836644</v>
      </c>
      <c r="K1213" s="51">
        <v>0</v>
      </c>
      <c r="L1213" s="51">
        <v>0</v>
      </c>
      <c r="M1213" s="51">
        <v>0</v>
      </c>
      <c r="N1213" s="51">
        <v>14836644</v>
      </c>
    </row>
    <row r="1214" spans="1:14" outlineLevel="2" x14ac:dyDescent="0.35">
      <c r="A1214" s="53" t="s">
        <v>266</v>
      </c>
      <c r="B1214" s="66" t="s">
        <v>201</v>
      </c>
      <c r="C1214" s="51">
        <v>15518964</v>
      </c>
      <c r="D1214" s="51">
        <v>-1843206</v>
      </c>
      <c r="E1214" s="51">
        <v>0</v>
      </c>
      <c r="F1214" s="51">
        <v>-86813</v>
      </c>
      <c r="G1214" s="51">
        <v>0</v>
      </c>
      <c r="H1214" s="51">
        <v>13588945</v>
      </c>
      <c r="I1214" s="51">
        <v>-400803</v>
      </c>
      <c r="J1214" s="51">
        <v>13188142</v>
      </c>
      <c r="K1214" s="51">
        <v>187248</v>
      </c>
      <c r="L1214" s="51">
        <v>-179625</v>
      </c>
      <c r="M1214" s="51">
        <v>7623</v>
      </c>
      <c r="N1214" s="51">
        <v>13180519</v>
      </c>
    </row>
    <row r="1215" spans="1:14" outlineLevel="2" x14ac:dyDescent="0.35">
      <c r="A1215" s="53" t="s">
        <v>266</v>
      </c>
      <c r="B1215" s="66" t="s">
        <v>200</v>
      </c>
      <c r="C1215" s="51">
        <v>15610675</v>
      </c>
      <c r="D1215" s="51">
        <v>-825802</v>
      </c>
      <c r="E1215" s="51">
        <v>0</v>
      </c>
      <c r="F1215" s="51">
        <v>0</v>
      </c>
      <c r="G1215" s="51">
        <v>0</v>
      </c>
      <c r="H1215" s="51">
        <v>14784873</v>
      </c>
      <c r="I1215" s="51">
        <v>-14433621</v>
      </c>
      <c r="J1215" s="51">
        <v>351252</v>
      </c>
      <c r="K1215" s="51">
        <v>1695469</v>
      </c>
      <c r="L1215" s="51">
        <v>-1688569</v>
      </c>
      <c r="M1215" s="51">
        <v>6900</v>
      </c>
      <c r="N1215" s="51">
        <v>344352</v>
      </c>
    </row>
    <row r="1216" spans="1:14" outlineLevel="2" x14ac:dyDescent="0.35">
      <c r="A1216" s="53" t="s">
        <v>266</v>
      </c>
      <c r="B1216" s="66" t="s">
        <v>199</v>
      </c>
      <c r="C1216" s="51">
        <v>15408076</v>
      </c>
      <c r="D1216" s="51">
        <v>-1939857</v>
      </c>
      <c r="E1216" s="51">
        <v>0</v>
      </c>
      <c r="F1216" s="51">
        <v>0</v>
      </c>
      <c r="G1216" s="51">
        <v>0</v>
      </c>
      <c r="H1216" s="51">
        <v>13468219</v>
      </c>
      <c r="I1216" s="51">
        <v>-13468219</v>
      </c>
      <c r="J1216" s="51">
        <v>0</v>
      </c>
      <c r="K1216" s="51">
        <v>0</v>
      </c>
      <c r="L1216" s="51">
        <v>0</v>
      </c>
      <c r="M1216" s="51">
        <v>0</v>
      </c>
      <c r="N1216" s="51">
        <v>0</v>
      </c>
    </row>
    <row r="1217" spans="1:14" outlineLevel="2" x14ac:dyDescent="0.35">
      <c r="A1217" s="53" t="s">
        <v>266</v>
      </c>
      <c r="B1217" s="66" t="s">
        <v>198</v>
      </c>
      <c r="C1217" s="51">
        <v>14470619</v>
      </c>
      <c r="D1217" s="51">
        <v>-1454415</v>
      </c>
      <c r="E1217" s="51">
        <v>0</v>
      </c>
      <c r="F1217" s="51">
        <v>0</v>
      </c>
      <c r="G1217" s="51">
        <v>0</v>
      </c>
      <c r="H1217" s="51">
        <v>13016204</v>
      </c>
      <c r="I1217" s="51">
        <v>-13016204</v>
      </c>
      <c r="J1217" s="51">
        <v>0</v>
      </c>
      <c r="K1217" s="51">
        <v>15792</v>
      </c>
      <c r="L1217" s="51">
        <v>-15792</v>
      </c>
      <c r="M1217" s="51">
        <v>0</v>
      </c>
      <c r="N1217" s="51">
        <v>0</v>
      </c>
    </row>
    <row r="1218" spans="1:14" outlineLevel="2" x14ac:dyDescent="0.35">
      <c r="A1218" s="53" t="s">
        <v>266</v>
      </c>
      <c r="B1218" s="66" t="s">
        <v>197</v>
      </c>
      <c r="C1218" s="51">
        <v>15115919</v>
      </c>
      <c r="D1218" s="51">
        <v>-1481942</v>
      </c>
      <c r="E1218" s="51">
        <v>0</v>
      </c>
      <c r="F1218" s="51">
        <v>0</v>
      </c>
      <c r="G1218" s="51">
        <v>0</v>
      </c>
      <c r="H1218" s="51">
        <v>13633977</v>
      </c>
      <c r="I1218" s="51">
        <v>-13633977</v>
      </c>
      <c r="J1218" s="51">
        <v>0</v>
      </c>
      <c r="K1218" s="51">
        <v>66087</v>
      </c>
      <c r="L1218" s="51">
        <v>-66087</v>
      </c>
      <c r="M1218" s="51">
        <v>0</v>
      </c>
      <c r="N1218" s="51">
        <v>0</v>
      </c>
    </row>
    <row r="1219" spans="1:14" outlineLevel="2" x14ac:dyDescent="0.35">
      <c r="A1219" s="53" t="s">
        <v>266</v>
      </c>
      <c r="B1219" s="66" t="s">
        <v>196</v>
      </c>
      <c r="C1219" s="51">
        <v>719744</v>
      </c>
      <c r="D1219" s="51">
        <v>-29797</v>
      </c>
      <c r="E1219" s="51">
        <v>0</v>
      </c>
      <c r="F1219" s="51">
        <v>0</v>
      </c>
      <c r="G1219" s="51">
        <v>0</v>
      </c>
      <c r="H1219" s="51">
        <v>689947</v>
      </c>
      <c r="I1219" s="51">
        <v>-689947</v>
      </c>
      <c r="J1219" s="51">
        <v>0</v>
      </c>
      <c r="K1219" s="51">
        <v>7574</v>
      </c>
      <c r="L1219" s="51">
        <v>-7574</v>
      </c>
      <c r="M1219" s="51">
        <v>0</v>
      </c>
      <c r="N1219" s="51">
        <v>0</v>
      </c>
    </row>
    <row r="1220" spans="1:14" outlineLevel="2" x14ac:dyDescent="0.35">
      <c r="A1220" s="53" t="s">
        <v>266</v>
      </c>
      <c r="B1220" s="66" t="s">
        <v>195</v>
      </c>
      <c r="C1220" s="51">
        <v>580209</v>
      </c>
      <c r="D1220" s="51">
        <v>-23622</v>
      </c>
      <c r="E1220" s="51">
        <v>0</v>
      </c>
      <c r="F1220" s="51">
        <v>0</v>
      </c>
      <c r="G1220" s="51">
        <v>0</v>
      </c>
      <c r="H1220" s="51">
        <v>556587</v>
      </c>
      <c r="I1220" s="51">
        <v>-556587</v>
      </c>
      <c r="J1220" s="51">
        <v>0</v>
      </c>
      <c r="K1220" s="51">
        <v>0</v>
      </c>
      <c r="L1220" s="51">
        <v>0</v>
      </c>
      <c r="M1220" s="51">
        <v>0</v>
      </c>
      <c r="N1220" s="51">
        <v>0</v>
      </c>
    </row>
    <row r="1221" spans="1:14" outlineLevel="2" x14ac:dyDescent="0.35">
      <c r="A1221" s="53" t="s">
        <v>266</v>
      </c>
      <c r="B1221" s="66" t="s">
        <v>194</v>
      </c>
      <c r="C1221" s="51">
        <v>548306</v>
      </c>
      <c r="D1221" s="51">
        <v>-14208</v>
      </c>
      <c r="E1221" s="51">
        <v>0</v>
      </c>
      <c r="F1221" s="51">
        <v>0</v>
      </c>
      <c r="G1221" s="51">
        <v>0</v>
      </c>
      <c r="H1221" s="51">
        <v>534098</v>
      </c>
      <c r="I1221" s="51">
        <v>-534098</v>
      </c>
      <c r="J1221" s="51">
        <v>0</v>
      </c>
      <c r="K1221" s="51">
        <v>0</v>
      </c>
      <c r="L1221" s="51">
        <v>0</v>
      </c>
      <c r="M1221" s="51">
        <v>0</v>
      </c>
      <c r="N1221" s="51">
        <v>0</v>
      </c>
    </row>
    <row r="1222" spans="1:14" outlineLevel="2" x14ac:dyDescent="0.35">
      <c r="A1222" s="53" t="s">
        <v>266</v>
      </c>
      <c r="B1222" s="66" t="s">
        <v>193</v>
      </c>
      <c r="C1222" s="51">
        <v>528696</v>
      </c>
      <c r="D1222" s="51">
        <v>-17279</v>
      </c>
      <c r="E1222" s="51">
        <v>0</v>
      </c>
      <c r="F1222" s="51">
        <v>0</v>
      </c>
      <c r="G1222" s="51">
        <v>0</v>
      </c>
      <c r="H1222" s="51">
        <v>511417</v>
      </c>
      <c r="I1222" s="51">
        <v>-511417</v>
      </c>
      <c r="J1222" s="51">
        <v>0</v>
      </c>
      <c r="K1222" s="51">
        <v>0</v>
      </c>
      <c r="L1222" s="51">
        <v>0</v>
      </c>
      <c r="M1222" s="51">
        <v>0</v>
      </c>
      <c r="N1222" s="51">
        <v>0</v>
      </c>
    </row>
    <row r="1223" spans="1:14" outlineLevel="2" x14ac:dyDescent="0.35">
      <c r="A1223" s="53" t="s">
        <v>266</v>
      </c>
      <c r="B1223" s="66" t="s">
        <v>192</v>
      </c>
      <c r="C1223" s="51">
        <v>633192</v>
      </c>
      <c r="D1223" s="51">
        <v>-30544</v>
      </c>
      <c r="E1223" s="51">
        <v>0</v>
      </c>
      <c r="F1223" s="51">
        <v>0</v>
      </c>
      <c r="G1223" s="51">
        <v>0</v>
      </c>
      <c r="H1223" s="51">
        <v>602648</v>
      </c>
      <c r="I1223" s="51">
        <v>-602648</v>
      </c>
      <c r="J1223" s="51">
        <v>0</v>
      </c>
      <c r="K1223" s="51">
        <v>0</v>
      </c>
      <c r="L1223" s="51">
        <v>0</v>
      </c>
      <c r="M1223" s="51">
        <v>0</v>
      </c>
      <c r="N1223" s="51">
        <v>0</v>
      </c>
    </row>
    <row r="1224" spans="1:14" outlineLevel="2" x14ac:dyDescent="0.35">
      <c r="A1224" s="53" t="s">
        <v>266</v>
      </c>
      <c r="B1224" s="66" t="s">
        <v>191</v>
      </c>
      <c r="C1224" s="51">
        <v>582016</v>
      </c>
      <c r="D1224" s="51">
        <v>-30825</v>
      </c>
      <c r="E1224" s="51">
        <v>0</v>
      </c>
      <c r="F1224" s="51">
        <v>0</v>
      </c>
      <c r="G1224" s="51">
        <v>0</v>
      </c>
      <c r="H1224" s="51">
        <v>551191</v>
      </c>
      <c r="I1224" s="51">
        <v>-551191</v>
      </c>
      <c r="J1224" s="51">
        <v>0</v>
      </c>
      <c r="K1224" s="51">
        <v>0</v>
      </c>
      <c r="L1224" s="51">
        <v>0</v>
      </c>
      <c r="M1224" s="51">
        <v>0</v>
      </c>
      <c r="N1224" s="51">
        <v>0</v>
      </c>
    </row>
    <row r="1225" spans="1:14" outlineLevel="2" x14ac:dyDescent="0.35">
      <c r="A1225" s="53" t="s">
        <v>266</v>
      </c>
      <c r="B1225" s="66" t="s">
        <v>190</v>
      </c>
      <c r="C1225" s="51">
        <v>517337</v>
      </c>
      <c r="D1225" s="51">
        <v>-28651</v>
      </c>
      <c r="E1225" s="51">
        <v>0</v>
      </c>
      <c r="F1225" s="51">
        <v>0</v>
      </c>
      <c r="G1225" s="51">
        <v>0</v>
      </c>
      <c r="H1225" s="51">
        <v>488686</v>
      </c>
      <c r="I1225" s="51">
        <v>-488686</v>
      </c>
      <c r="J1225" s="51">
        <v>0</v>
      </c>
      <c r="K1225" s="51">
        <v>0</v>
      </c>
      <c r="L1225" s="51">
        <v>0</v>
      </c>
      <c r="M1225" s="51">
        <v>0</v>
      </c>
      <c r="N1225" s="51">
        <v>0</v>
      </c>
    </row>
    <row r="1226" spans="1:14" outlineLevel="2" x14ac:dyDescent="0.35">
      <c r="A1226" s="53" t="s">
        <v>266</v>
      </c>
      <c r="B1226" s="66" t="s">
        <v>189</v>
      </c>
      <c r="C1226" s="51">
        <v>236173</v>
      </c>
      <c r="D1226" s="51">
        <v>-66709</v>
      </c>
      <c r="E1226" s="51">
        <v>0</v>
      </c>
      <c r="F1226" s="51">
        <v>0</v>
      </c>
      <c r="G1226" s="51">
        <v>0</v>
      </c>
      <c r="H1226" s="51">
        <v>169464</v>
      </c>
      <c r="I1226" s="51">
        <v>-169464</v>
      </c>
      <c r="J1226" s="51">
        <v>0</v>
      </c>
      <c r="K1226" s="51">
        <v>0</v>
      </c>
      <c r="L1226" s="51">
        <v>0</v>
      </c>
      <c r="M1226" s="51">
        <v>0</v>
      </c>
      <c r="N1226" s="51">
        <v>0</v>
      </c>
    </row>
    <row r="1227" spans="1:14" ht="16" outlineLevel="1" thickBot="1" x14ac:dyDescent="0.4">
      <c r="A1227" s="50" t="s">
        <v>88</v>
      </c>
      <c r="B1227" s="67" t="s">
        <v>12</v>
      </c>
      <c r="C1227" s="48">
        <f>SUBTOTAL(109,Program219[(C)
Program
Costs])</f>
        <v>183089545</v>
      </c>
      <c r="D1227" s="48">
        <f>SUBTOTAL(109,Program219[(D)
Prior Period Adjustments])</f>
        <v>-19328000</v>
      </c>
      <c r="E1227" s="48">
        <f>SUBTOTAL(109,Program219[(E)
Current Period Desk 
Reviews])</f>
        <v>0</v>
      </c>
      <c r="F1227" s="48">
        <f>SUBTOTAL(109,Program219[(F)
Current Period 
Final 
Audits])</f>
        <v>-742518</v>
      </c>
      <c r="G1227" s="48">
        <f>SUBTOTAL(109,Program219[(G)
Current Period 
Other Adjustments])</f>
        <v>0</v>
      </c>
      <c r="H1227" s="48">
        <f>SUBTOTAL(109,Program219[(H)
Net Program Costs
Sum (C through G)])</f>
        <v>163019027</v>
      </c>
      <c r="I1227" s="48">
        <f>SUBTOTAL(109,Program219[(I)
Payments
 and Offsets])</f>
        <v>-59056862</v>
      </c>
      <c r="J1227" s="48">
        <f>SUBTOTAL(109,Program219[(J)
Accounts Payable Balance
(H + I)])</f>
        <v>103962165</v>
      </c>
      <c r="K1227" s="48">
        <f>SUBTOTAL(109,Program219[(K)
Established 
Accounts Receivable])</f>
        <v>1972170</v>
      </c>
      <c r="L1227" s="48">
        <f>SUBTOTAL(109,Program219[(L)
Recovered
 Accounts Receivable])</f>
        <v>-1957647</v>
      </c>
      <c r="M1227" s="48">
        <f>SUBTOTAL(109,Program219[(M)
Accounts Receivable Balance
(K + L)])</f>
        <v>14523</v>
      </c>
      <c r="N1227" s="48">
        <f>SUBTOTAL(109,Program219[(N)
Net Balance
(J minus M)])</f>
        <v>103947642</v>
      </c>
    </row>
    <row r="1228" spans="1:14" outlineLevel="2" x14ac:dyDescent="0.35">
      <c r="A1228" s="63" t="s">
        <v>33</v>
      </c>
      <c r="B1228" s="62"/>
      <c r="C1228" s="61"/>
      <c r="D1228" s="61"/>
      <c r="E1228" s="61"/>
      <c r="F1228" s="61"/>
      <c r="G1228" s="61"/>
      <c r="H1228" s="61"/>
      <c r="I1228" s="61"/>
      <c r="J1228" s="61"/>
      <c r="K1228" s="61"/>
      <c r="L1228" s="61"/>
      <c r="M1228" s="61"/>
      <c r="N1228" s="61"/>
    </row>
    <row r="1229" spans="1:14" ht="77.5" outlineLevel="2" x14ac:dyDescent="0.35">
      <c r="A1229" s="60" t="s">
        <v>185</v>
      </c>
      <c r="B1229" s="59" t="s">
        <v>184</v>
      </c>
      <c r="C1229" s="58" t="s">
        <v>183</v>
      </c>
      <c r="D1229" s="58" t="s">
        <v>182</v>
      </c>
      <c r="E1229" s="56" t="s">
        <v>181</v>
      </c>
      <c r="F1229" s="56" t="s">
        <v>180</v>
      </c>
      <c r="G1229" s="56" t="s">
        <v>179</v>
      </c>
      <c r="H1229" s="57" t="s">
        <v>674</v>
      </c>
      <c r="I1229" s="55" t="s">
        <v>178</v>
      </c>
      <c r="J1229" s="55" t="s">
        <v>177</v>
      </c>
      <c r="K1229" s="56" t="s">
        <v>176</v>
      </c>
      <c r="L1229" s="55" t="s">
        <v>175</v>
      </c>
      <c r="M1229" s="55" t="s">
        <v>174</v>
      </c>
      <c r="N1229" s="54" t="s">
        <v>173</v>
      </c>
    </row>
    <row r="1230" spans="1:14" ht="31" outlineLevel="2" x14ac:dyDescent="0.35">
      <c r="A1230" s="70" t="s">
        <v>265</v>
      </c>
      <c r="B1230" s="69" t="s">
        <v>205</v>
      </c>
      <c r="C1230" s="68">
        <v>1466</v>
      </c>
      <c r="D1230" s="68">
        <v>0</v>
      </c>
      <c r="E1230" s="68">
        <v>0</v>
      </c>
      <c r="F1230" s="68">
        <v>0</v>
      </c>
      <c r="G1230" s="68">
        <v>0</v>
      </c>
      <c r="H1230" s="68">
        <v>1466</v>
      </c>
      <c r="I1230" s="68">
        <v>0</v>
      </c>
      <c r="J1230" s="68">
        <v>1466</v>
      </c>
      <c r="K1230" s="68">
        <v>0</v>
      </c>
      <c r="L1230" s="68">
        <v>0</v>
      </c>
      <c r="M1230" s="68">
        <v>0</v>
      </c>
      <c r="N1230" s="68">
        <v>1466</v>
      </c>
    </row>
    <row r="1231" spans="1:14" ht="31" outlineLevel="2" x14ac:dyDescent="0.35">
      <c r="A1231" s="70" t="s">
        <v>265</v>
      </c>
      <c r="B1231" s="69" t="s">
        <v>204</v>
      </c>
      <c r="C1231" s="68">
        <v>64851</v>
      </c>
      <c r="D1231" s="68">
        <v>0</v>
      </c>
      <c r="E1231" s="68">
        <v>0</v>
      </c>
      <c r="F1231" s="68">
        <v>0</v>
      </c>
      <c r="G1231" s="68">
        <v>0</v>
      </c>
      <c r="H1231" s="68">
        <v>64851</v>
      </c>
      <c r="I1231" s="68">
        <v>0</v>
      </c>
      <c r="J1231" s="68">
        <v>64851</v>
      </c>
      <c r="K1231" s="68">
        <v>0</v>
      </c>
      <c r="L1231" s="68">
        <v>0</v>
      </c>
      <c r="M1231" s="68">
        <v>0</v>
      </c>
      <c r="N1231" s="68">
        <v>64851</v>
      </c>
    </row>
    <row r="1232" spans="1:14" ht="31" outlineLevel="1" x14ac:dyDescent="0.35">
      <c r="A1232" s="70" t="s">
        <v>265</v>
      </c>
      <c r="B1232" s="69" t="s">
        <v>203</v>
      </c>
      <c r="C1232" s="68">
        <v>277610</v>
      </c>
      <c r="D1232" s="68">
        <v>0</v>
      </c>
      <c r="E1232" s="68">
        <v>0</v>
      </c>
      <c r="F1232" s="68">
        <v>0</v>
      </c>
      <c r="G1232" s="68">
        <v>0</v>
      </c>
      <c r="H1232" s="68">
        <v>277610</v>
      </c>
      <c r="I1232" s="68">
        <v>0</v>
      </c>
      <c r="J1232" s="68">
        <v>277610</v>
      </c>
      <c r="K1232" s="68">
        <v>0</v>
      </c>
      <c r="L1232" s="68">
        <v>0</v>
      </c>
      <c r="M1232" s="68">
        <v>0</v>
      </c>
      <c r="N1232" s="68">
        <v>277610</v>
      </c>
    </row>
    <row r="1233" spans="1:14" ht="31" outlineLevel="1" x14ac:dyDescent="0.35">
      <c r="A1233" s="70" t="s">
        <v>265</v>
      </c>
      <c r="B1233" s="69" t="s">
        <v>202</v>
      </c>
      <c r="C1233" s="68">
        <v>281549</v>
      </c>
      <c r="D1233" s="68">
        <v>-1575</v>
      </c>
      <c r="E1233" s="68">
        <v>0</v>
      </c>
      <c r="F1233" s="68">
        <v>0</v>
      </c>
      <c r="G1233" s="68">
        <v>0</v>
      </c>
      <c r="H1233" s="68">
        <v>279974</v>
      </c>
      <c r="I1233" s="68">
        <v>-279974</v>
      </c>
      <c r="J1233" s="68">
        <v>0</v>
      </c>
      <c r="K1233" s="68">
        <v>34115</v>
      </c>
      <c r="L1233" s="68">
        <v>-34115</v>
      </c>
      <c r="M1233" s="68">
        <v>0</v>
      </c>
      <c r="N1233" s="68">
        <v>0</v>
      </c>
    </row>
    <row r="1234" spans="1:14" ht="31" outlineLevel="2" x14ac:dyDescent="0.35">
      <c r="A1234" s="70" t="s">
        <v>265</v>
      </c>
      <c r="B1234" s="69" t="s">
        <v>201</v>
      </c>
      <c r="C1234" s="68">
        <v>274469</v>
      </c>
      <c r="D1234" s="68">
        <v>0</v>
      </c>
      <c r="E1234" s="68">
        <v>0</v>
      </c>
      <c r="F1234" s="68">
        <v>0</v>
      </c>
      <c r="G1234" s="68">
        <v>0</v>
      </c>
      <c r="H1234" s="68">
        <v>274469</v>
      </c>
      <c r="I1234" s="68">
        <v>-274469</v>
      </c>
      <c r="J1234" s="68">
        <v>0</v>
      </c>
      <c r="K1234" s="68">
        <v>9979</v>
      </c>
      <c r="L1234" s="68">
        <v>-9979</v>
      </c>
      <c r="M1234" s="68">
        <v>0</v>
      </c>
      <c r="N1234" s="68">
        <v>0</v>
      </c>
    </row>
    <row r="1235" spans="1:14" ht="31" outlineLevel="2" x14ac:dyDescent="0.35">
      <c r="A1235" s="70" t="s">
        <v>265</v>
      </c>
      <c r="B1235" s="69" t="s">
        <v>200</v>
      </c>
      <c r="C1235" s="68">
        <v>252962</v>
      </c>
      <c r="D1235" s="68">
        <v>0</v>
      </c>
      <c r="E1235" s="68">
        <v>0</v>
      </c>
      <c r="F1235" s="68">
        <v>0</v>
      </c>
      <c r="G1235" s="68">
        <v>0</v>
      </c>
      <c r="H1235" s="68">
        <v>252962</v>
      </c>
      <c r="I1235" s="68">
        <v>-252962</v>
      </c>
      <c r="J1235" s="68">
        <v>0</v>
      </c>
      <c r="K1235" s="68">
        <v>0</v>
      </c>
      <c r="L1235" s="68">
        <v>0</v>
      </c>
      <c r="M1235" s="68">
        <v>0</v>
      </c>
      <c r="N1235" s="68">
        <v>0</v>
      </c>
    </row>
    <row r="1236" spans="1:14" ht="31" outlineLevel="2" x14ac:dyDescent="0.35">
      <c r="A1236" s="70" t="s">
        <v>265</v>
      </c>
      <c r="B1236" s="69" t="s">
        <v>199</v>
      </c>
      <c r="C1236" s="68">
        <v>256296</v>
      </c>
      <c r="D1236" s="68">
        <v>0</v>
      </c>
      <c r="E1236" s="68">
        <v>0</v>
      </c>
      <c r="F1236" s="68">
        <v>0</v>
      </c>
      <c r="G1236" s="68">
        <v>0</v>
      </c>
      <c r="H1236" s="68">
        <v>256296</v>
      </c>
      <c r="I1236" s="68">
        <v>-256296</v>
      </c>
      <c r="J1236" s="68">
        <v>0</v>
      </c>
      <c r="K1236" s="68">
        <v>0</v>
      </c>
      <c r="L1236" s="68">
        <v>0</v>
      </c>
      <c r="M1236" s="68">
        <v>0</v>
      </c>
      <c r="N1236" s="68">
        <v>0</v>
      </c>
    </row>
    <row r="1237" spans="1:14" ht="31" outlineLevel="2" x14ac:dyDescent="0.35">
      <c r="A1237" s="70" t="s">
        <v>265</v>
      </c>
      <c r="B1237" s="69" t="s">
        <v>198</v>
      </c>
      <c r="C1237" s="68">
        <v>206052</v>
      </c>
      <c r="D1237" s="68">
        <v>0</v>
      </c>
      <c r="E1237" s="68">
        <v>0</v>
      </c>
      <c r="F1237" s="68">
        <v>0</v>
      </c>
      <c r="G1237" s="68">
        <v>0</v>
      </c>
      <c r="H1237" s="68">
        <v>206052</v>
      </c>
      <c r="I1237" s="68">
        <v>-206052</v>
      </c>
      <c r="J1237" s="68">
        <v>0</v>
      </c>
      <c r="K1237" s="68">
        <v>226</v>
      </c>
      <c r="L1237" s="68">
        <v>-226</v>
      </c>
      <c r="M1237" s="68">
        <v>0</v>
      </c>
      <c r="N1237" s="68">
        <v>0</v>
      </c>
    </row>
    <row r="1238" spans="1:14" ht="31" outlineLevel="2" x14ac:dyDescent="0.35">
      <c r="A1238" s="70" t="s">
        <v>265</v>
      </c>
      <c r="B1238" s="69" t="s">
        <v>197</v>
      </c>
      <c r="C1238" s="68">
        <v>183179</v>
      </c>
      <c r="D1238" s="68">
        <v>0</v>
      </c>
      <c r="E1238" s="68">
        <v>0</v>
      </c>
      <c r="F1238" s="68">
        <v>0</v>
      </c>
      <c r="G1238" s="68">
        <v>0</v>
      </c>
      <c r="H1238" s="68">
        <v>183179</v>
      </c>
      <c r="I1238" s="68">
        <v>-183179</v>
      </c>
      <c r="J1238" s="68">
        <v>0</v>
      </c>
      <c r="K1238" s="68">
        <v>18661</v>
      </c>
      <c r="L1238" s="68">
        <v>-18661</v>
      </c>
      <c r="M1238" s="68">
        <v>0</v>
      </c>
      <c r="N1238" s="68">
        <v>0</v>
      </c>
    </row>
    <row r="1239" spans="1:14" ht="31" outlineLevel="2" x14ac:dyDescent="0.35">
      <c r="A1239" s="70" t="s">
        <v>265</v>
      </c>
      <c r="B1239" s="69" t="s">
        <v>196</v>
      </c>
      <c r="C1239" s="68">
        <v>127266</v>
      </c>
      <c r="D1239" s="68">
        <v>-1000</v>
      </c>
      <c r="E1239" s="68">
        <v>0</v>
      </c>
      <c r="F1239" s="68">
        <v>0</v>
      </c>
      <c r="G1239" s="68">
        <v>0</v>
      </c>
      <c r="H1239" s="68">
        <v>126266</v>
      </c>
      <c r="I1239" s="68">
        <v>-126266</v>
      </c>
      <c r="J1239" s="68">
        <v>0</v>
      </c>
      <c r="K1239" s="68">
        <v>5000</v>
      </c>
      <c r="L1239" s="68">
        <v>-5000</v>
      </c>
      <c r="M1239" s="68">
        <v>0</v>
      </c>
      <c r="N1239" s="68">
        <v>0</v>
      </c>
    </row>
    <row r="1240" spans="1:14" ht="31" outlineLevel="2" x14ac:dyDescent="0.35">
      <c r="A1240" s="70" t="s">
        <v>265</v>
      </c>
      <c r="B1240" s="69" t="s">
        <v>195</v>
      </c>
      <c r="C1240" s="68">
        <v>117841</v>
      </c>
      <c r="D1240" s="68">
        <v>0</v>
      </c>
      <c r="E1240" s="68">
        <v>0</v>
      </c>
      <c r="F1240" s="68">
        <v>0</v>
      </c>
      <c r="G1240" s="68">
        <v>0</v>
      </c>
      <c r="H1240" s="68">
        <v>117841</v>
      </c>
      <c r="I1240" s="68">
        <v>-117841</v>
      </c>
      <c r="J1240" s="68">
        <v>0</v>
      </c>
      <c r="K1240" s="68">
        <v>19863</v>
      </c>
      <c r="L1240" s="68">
        <v>-19863</v>
      </c>
      <c r="M1240" s="68">
        <v>0</v>
      </c>
      <c r="N1240" s="68">
        <v>0</v>
      </c>
    </row>
    <row r="1241" spans="1:14" ht="31" outlineLevel="2" x14ac:dyDescent="0.35">
      <c r="A1241" s="70" t="s">
        <v>265</v>
      </c>
      <c r="B1241" s="69" t="s">
        <v>194</v>
      </c>
      <c r="C1241" s="68">
        <v>146697</v>
      </c>
      <c r="D1241" s="68">
        <v>-150</v>
      </c>
      <c r="E1241" s="68">
        <v>0</v>
      </c>
      <c r="F1241" s="68">
        <v>0</v>
      </c>
      <c r="G1241" s="68">
        <v>0</v>
      </c>
      <c r="H1241" s="68">
        <v>146547</v>
      </c>
      <c r="I1241" s="68">
        <v>-146547</v>
      </c>
      <c r="J1241" s="68">
        <v>0</v>
      </c>
      <c r="K1241" s="68">
        <v>89658</v>
      </c>
      <c r="L1241" s="68">
        <v>-89658</v>
      </c>
      <c r="M1241" s="68">
        <v>0</v>
      </c>
      <c r="N1241" s="68">
        <v>0</v>
      </c>
    </row>
    <row r="1242" spans="1:14" ht="31" outlineLevel="2" x14ac:dyDescent="0.35">
      <c r="A1242" s="70" t="s">
        <v>265</v>
      </c>
      <c r="B1242" s="69" t="s">
        <v>193</v>
      </c>
      <c r="C1242" s="68">
        <v>263871</v>
      </c>
      <c r="D1242" s="68">
        <v>-34759</v>
      </c>
      <c r="E1242" s="68">
        <v>0</v>
      </c>
      <c r="F1242" s="68">
        <v>0</v>
      </c>
      <c r="G1242" s="68">
        <v>0</v>
      </c>
      <c r="H1242" s="68">
        <v>229112</v>
      </c>
      <c r="I1242" s="68">
        <v>-229112</v>
      </c>
      <c r="J1242" s="68">
        <v>0</v>
      </c>
      <c r="K1242" s="68">
        <v>0</v>
      </c>
      <c r="L1242" s="68">
        <v>0</v>
      </c>
      <c r="M1242" s="68">
        <v>0</v>
      </c>
      <c r="N1242" s="68">
        <v>0</v>
      </c>
    </row>
    <row r="1243" spans="1:14" ht="31" outlineLevel="2" x14ac:dyDescent="0.35">
      <c r="A1243" s="70" t="s">
        <v>265</v>
      </c>
      <c r="B1243" s="69" t="s">
        <v>192</v>
      </c>
      <c r="C1243" s="68">
        <v>149920</v>
      </c>
      <c r="D1243" s="68">
        <v>0</v>
      </c>
      <c r="E1243" s="68">
        <v>0</v>
      </c>
      <c r="F1243" s="68">
        <v>0</v>
      </c>
      <c r="G1243" s="68">
        <v>0</v>
      </c>
      <c r="H1243" s="68">
        <v>149920</v>
      </c>
      <c r="I1243" s="68">
        <v>-149920</v>
      </c>
      <c r="J1243" s="68">
        <v>0</v>
      </c>
      <c r="K1243" s="68">
        <v>7275</v>
      </c>
      <c r="L1243" s="68">
        <v>-7275</v>
      </c>
      <c r="M1243" s="68">
        <v>0</v>
      </c>
      <c r="N1243" s="68">
        <v>0</v>
      </c>
    </row>
    <row r="1244" spans="1:14" ht="31" outlineLevel="2" x14ac:dyDescent="0.35">
      <c r="A1244" s="70" t="s">
        <v>265</v>
      </c>
      <c r="B1244" s="69" t="s">
        <v>191</v>
      </c>
      <c r="C1244" s="68">
        <v>56757</v>
      </c>
      <c r="D1244" s="68">
        <v>-2436</v>
      </c>
      <c r="E1244" s="68">
        <v>0</v>
      </c>
      <c r="F1244" s="68">
        <v>0</v>
      </c>
      <c r="G1244" s="68">
        <v>0</v>
      </c>
      <c r="H1244" s="68">
        <v>54321</v>
      </c>
      <c r="I1244" s="68">
        <v>-54321</v>
      </c>
      <c r="J1244" s="68">
        <v>0</v>
      </c>
      <c r="K1244" s="68">
        <v>0</v>
      </c>
      <c r="L1244" s="68">
        <v>0</v>
      </c>
      <c r="M1244" s="68">
        <v>0</v>
      </c>
      <c r="N1244" s="68">
        <v>0</v>
      </c>
    </row>
    <row r="1245" spans="1:14" ht="31" outlineLevel="2" x14ac:dyDescent="0.35">
      <c r="A1245" s="70" t="s">
        <v>265</v>
      </c>
      <c r="B1245" s="69" t="s">
        <v>190</v>
      </c>
      <c r="C1245" s="68">
        <v>73236</v>
      </c>
      <c r="D1245" s="68">
        <v>0</v>
      </c>
      <c r="E1245" s="68">
        <v>0</v>
      </c>
      <c r="F1245" s="68">
        <v>0</v>
      </c>
      <c r="G1245" s="68">
        <v>0</v>
      </c>
      <c r="H1245" s="68">
        <v>73236</v>
      </c>
      <c r="I1245" s="68">
        <v>-73236</v>
      </c>
      <c r="J1245" s="68">
        <v>0</v>
      </c>
      <c r="K1245" s="68">
        <v>0</v>
      </c>
      <c r="L1245" s="68">
        <v>0</v>
      </c>
      <c r="M1245" s="68">
        <v>0</v>
      </c>
      <c r="N1245" s="68">
        <v>0</v>
      </c>
    </row>
    <row r="1246" spans="1:14" ht="31" outlineLevel="2" x14ac:dyDescent="0.35">
      <c r="A1246" s="70" t="s">
        <v>265</v>
      </c>
      <c r="B1246" s="69" t="s">
        <v>189</v>
      </c>
      <c r="C1246" s="68">
        <v>9510</v>
      </c>
      <c r="D1246" s="68">
        <v>0</v>
      </c>
      <c r="E1246" s="68">
        <v>0</v>
      </c>
      <c r="F1246" s="68">
        <v>0</v>
      </c>
      <c r="G1246" s="68">
        <v>0</v>
      </c>
      <c r="H1246" s="68">
        <v>9510</v>
      </c>
      <c r="I1246" s="68">
        <v>-9510</v>
      </c>
      <c r="J1246" s="68">
        <v>0</v>
      </c>
      <c r="K1246" s="68">
        <v>0</v>
      </c>
      <c r="L1246" s="68">
        <v>0</v>
      </c>
      <c r="M1246" s="68">
        <v>0</v>
      </c>
      <c r="N1246" s="68">
        <v>0</v>
      </c>
    </row>
    <row r="1247" spans="1:14" ht="31" outlineLevel="2" x14ac:dyDescent="0.35">
      <c r="A1247" s="70" t="s">
        <v>265</v>
      </c>
      <c r="B1247" s="69" t="s">
        <v>188</v>
      </c>
      <c r="C1247" s="68">
        <v>80953</v>
      </c>
      <c r="D1247" s="68">
        <v>0</v>
      </c>
      <c r="E1247" s="68">
        <v>0</v>
      </c>
      <c r="F1247" s="68">
        <v>0</v>
      </c>
      <c r="G1247" s="68">
        <v>0</v>
      </c>
      <c r="H1247" s="68">
        <v>80953</v>
      </c>
      <c r="I1247" s="68">
        <v>-80953</v>
      </c>
      <c r="J1247" s="68">
        <v>0</v>
      </c>
      <c r="K1247" s="68">
        <v>0</v>
      </c>
      <c r="L1247" s="68">
        <v>0</v>
      </c>
      <c r="M1247" s="68">
        <v>0</v>
      </c>
      <c r="N1247" s="68">
        <v>0</v>
      </c>
    </row>
    <row r="1248" spans="1:14" ht="16" outlineLevel="2" thickBot="1" x14ac:dyDescent="0.4">
      <c r="A1248" s="50" t="s">
        <v>87</v>
      </c>
      <c r="B1248" s="67" t="s">
        <v>12</v>
      </c>
      <c r="C1248" s="48">
        <f>SUBTOTAL(109,Program122[(C)
Program
Costs])</f>
        <v>2824485</v>
      </c>
      <c r="D1248" s="48">
        <f>SUBTOTAL(109,Program122[(D)
Prior Period Adjustments])</f>
        <v>-39920</v>
      </c>
      <c r="E1248" s="48">
        <f>SUBTOTAL(109,Program122[(E)
Current Period Desk 
Reviews])</f>
        <v>0</v>
      </c>
      <c r="F1248" s="48">
        <f>SUBTOTAL(109,Program122[(F)
Current Period 
Final 
Audits])</f>
        <v>0</v>
      </c>
      <c r="G1248" s="48">
        <f>SUBTOTAL(109,Program122[(G)
Current Period 
Other Adjustments])</f>
        <v>0</v>
      </c>
      <c r="H1248" s="48">
        <f>SUBTOTAL(109,Program122[(H)
Net Program Costs
Sum (C through G)])</f>
        <v>2784565</v>
      </c>
      <c r="I1248" s="48">
        <f>SUBTOTAL(109,Program122[(I)
Payments
 and Offsets])</f>
        <v>-2440638</v>
      </c>
      <c r="J1248" s="48">
        <f>SUBTOTAL(109,Program122[(J)
Accounts Payable Balance
(H + I)])</f>
        <v>343927</v>
      </c>
      <c r="K1248" s="48">
        <f>SUBTOTAL(109,Program122[(K)
Established 
Accounts Receivable])</f>
        <v>184777</v>
      </c>
      <c r="L1248" s="48">
        <f>SUBTOTAL(109,Program122[(L)
Recovered
 Accounts Receivable])</f>
        <v>-184777</v>
      </c>
      <c r="M1248" s="48">
        <f>SUBTOTAL(109,Program122[(M)
Accounts Receivable Balance
(K + L)])</f>
        <v>0</v>
      </c>
      <c r="N1248" s="48">
        <f>SUBTOTAL(109,Program122[(N)
Net Balance
(J minus M)])</f>
        <v>343927</v>
      </c>
    </row>
    <row r="1249" spans="1:14" outlineLevel="1" x14ac:dyDescent="0.35">
      <c r="A1249" s="63" t="s">
        <v>33</v>
      </c>
      <c r="B1249" s="62"/>
      <c r="C1249" s="61"/>
      <c r="D1249" s="61"/>
      <c r="E1249" s="61"/>
      <c r="F1249" s="61"/>
      <c r="G1249" s="61"/>
      <c r="H1249" s="61"/>
      <c r="I1249" s="61"/>
      <c r="J1249" s="61"/>
      <c r="K1249" s="61"/>
      <c r="L1249" s="61"/>
      <c r="M1249" s="61"/>
      <c r="N1249" s="61"/>
    </row>
    <row r="1250" spans="1:14" ht="77.5" outlineLevel="2" x14ac:dyDescent="0.35">
      <c r="A1250" s="60" t="s">
        <v>185</v>
      </c>
      <c r="B1250" s="59" t="s">
        <v>184</v>
      </c>
      <c r="C1250" s="58" t="s">
        <v>183</v>
      </c>
      <c r="D1250" s="58" t="s">
        <v>182</v>
      </c>
      <c r="E1250" s="56" t="s">
        <v>181</v>
      </c>
      <c r="F1250" s="56" t="s">
        <v>180</v>
      </c>
      <c r="G1250" s="56" t="s">
        <v>179</v>
      </c>
      <c r="H1250" s="57" t="s">
        <v>674</v>
      </c>
      <c r="I1250" s="55" t="s">
        <v>178</v>
      </c>
      <c r="J1250" s="55" t="s">
        <v>177</v>
      </c>
      <c r="K1250" s="56" t="s">
        <v>176</v>
      </c>
      <c r="L1250" s="55" t="s">
        <v>175</v>
      </c>
      <c r="M1250" s="55" t="s">
        <v>174</v>
      </c>
      <c r="N1250" s="54" t="s">
        <v>173</v>
      </c>
    </row>
    <row r="1251" spans="1:14" outlineLevel="1" x14ac:dyDescent="0.35">
      <c r="A1251" s="53" t="s">
        <v>264</v>
      </c>
      <c r="B1251" s="66" t="s">
        <v>203</v>
      </c>
      <c r="C1251" s="51">
        <v>6055089</v>
      </c>
      <c r="D1251" s="51">
        <v>-1257679</v>
      </c>
      <c r="E1251" s="51">
        <v>0</v>
      </c>
      <c r="F1251" s="51">
        <v>0</v>
      </c>
      <c r="G1251" s="51">
        <v>0</v>
      </c>
      <c r="H1251" s="51">
        <v>4797410</v>
      </c>
      <c r="I1251" s="51">
        <v>0</v>
      </c>
      <c r="J1251" s="51">
        <v>4797410</v>
      </c>
      <c r="K1251" s="51">
        <v>0</v>
      </c>
      <c r="L1251" s="51">
        <v>0</v>
      </c>
      <c r="M1251" s="51">
        <v>0</v>
      </c>
      <c r="N1251" s="51">
        <v>4797410</v>
      </c>
    </row>
    <row r="1252" spans="1:14" outlineLevel="1" x14ac:dyDescent="0.35">
      <c r="A1252" s="53" t="s">
        <v>264</v>
      </c>
      <c r="B1252" s="66" t="s">
        <v>202</v>
      </c>
      <c r="C1252" s="51">
        <v>5803146</v>
      </c>
      <c r="D1252" s="51">
        <v>-344798</v>
      </c>
      <c r="E1252" s="51">
        <v>0</v>
      </c>
      <c r="F1252" s="51">
        <v>0</v>
      </c>
      <c r="G1252" s="51">
        <v>0</v>
      </c>
      <c r="H1252" s="51">
        <v>5458348</v>
      </c>
      <c r="I1252" s="51">
        <v>-5346969</v>
      </c>
      <c r="J1252" s="51">
        <v>111379</v>
      </c>
      <c r="K1252" s="51">
        <v>499658</v>
      </c>
      <c r="L1252" s="51">
        <v>-499658</v>
      </c>
      <c r="M1252" s="51">
        <v>0</v>
      </c>
      <c r="N1252" s="51">
        <v>111379</v>
      </c>
    </row>
    <row r="1253" spans="1:14" outlineLevel="2" x14ac:dyDescent="0.35">
      <c r="A1253" s="53" t="s">
        <v>264</v>
      </c>
      <c r="B1253" s="66" t="s">
        <v>201</v>
      </c>
      <c r="C1253" s="51">
        <v>3669582</v>
      </c>
      <c r="D1253" s="51">
        <v>-85458</v>
      </c>
      <c r="E1253" s="51">
        <v>0</v>
      </c>
      <c r="F1253" s="51">
        <v>0</v>
      </c>
      <c r="G1253" s="51">
        <v>0</v>
      </c>
      <c r="H1253" s="51">
        <v>3584124</v>
      </c>
      <c r="I1253" s="51">
        <v>-3584124</v>
      </c>
      <c r="J1253" s="51">
        <v>0</v>
      </c>
      <c r="K1253" s="51">
        <v>33517</v>
      </c>
      <c r="L1253" s="51">
        <v>-33517</v>
      </c>
      <c r="M1253" s="51">
        <v>0</v>
      </c>
      <c r="N1253" s="51">
        <v>0</v>
      </c>
    </row>
    <row r="1254" spans="1:14" outlineLevel="2" x14ac:dyDescent="0.35">
      <c r="A1254" s="53" t="s">
        <v>264</v>
      </c>
      <c r="B1254" s="66" t="s">
        <v>200</v>
      </c>
      <c r="C1254" s="51">
        <v>2568168</v>
      </c>
      <c r="D1254" s="51">
        <v>-152252</v>
      </c>
      <c r="E1254" s="51">
        <v>0</v>
      </c>
      <c r="F1254" s="51">
        <v>0</v>
      </c>
      <c r="G1254" s="51">
        <v>0</v>
      </c>
      <c r="H1254" s="51">
        <v>2415916</v>
      </c>
      <c r="I1254" s="51">
        <v>-2415916</v>
      </c>
      <c r="J1254" s="51">
        <v>0</v>
      </c>
      <c r="K1254" s="51">
        <v>515303</v>
      </c>
      <c r="L1254" s="51">
        <v>-515303</v>
      </c>
      <c r="M1254" s="51">
        <v>0</v>
      </c>
      <c r="N1254" s="51">
        <v>0</v>
      </c>
    </row>
    <row r="1255" spans="1:14" outlineLevel="2" x14ac:dyDescent="0.35">
      <c r="A1255" s="53" t="s">
        <v>264</v>
      </c>
      <c r="B1255" s="66" t="s">
        <v>199</v>
      </c>
      <c r="C1255" s="51">
        <v>2271865</v>
      </c>
      <c r="D1255" s="51">
        <v>-411360</v>
      </c>
      <c r="E1255" s="51">
        <v>0</v>
      </c>
      <c r="F1255" s="51">
        <v>0</v>
      </c>
      <c r="G1255" s="51">
        <v>0</v>
      </c>
      <c r="H1255" s="51">
        <v>1860505</v>
      </c>
      <c r="I1255" s="51">
        <v>-1860505</v>
      </c>
      <c r="J1255" s="51">
        <v>0</v>
      </c>
      <c r="K1255" s="51">
        <v>0</v>
      </c>
      <c r="L1255" s="51">
        <v>0</v>
      </c>
      <c r="M1255" s="51">
        <v>0</v>
      </c>
      <c r="N1255" s="51">
        <v>0</v>
      </c>
    </row>
    <row r="1256" spans="1:14" outlineLevel="2" x14ac:dyDescent="0.35">
      <c r="A1256" s="53" t="s">
        <v>264</v>
      </c>
      <c r="B1256" s="66" t="s">
        <v>198</v>
      </c>
      <c r="C1256" s="51">
        <v>1564474</v>
      </c>
      <c r="D1256" s="51">
        <v>-274421</v>
      </c>
      <c r="E1256" s="51">
        <v>0</v>
      </c>
      <c r="F1256" s="51">
        <v>0</v>
      </c>
      <c r="G1256" s="51">
        <v>0</v>
      </c>
      <c r="H1256" s="51">
        <v>1290053</v>
      </c>
      <c r="I1256" s="51">
        <v>-1290053</v>
      </c>
      <c r="J1256" s="51">
        <v>0</v>
      </c>
      <c r="K1256" s="51">
        <v>3</v>
      </c>
      <c r="L1256" s="51">
        <v>-3</v>
      </c>
      <c r="M1256" s="51">
        <v>0</v>
      </c>
      <c r="N1256" s="51">
        <v>0</v>
      </c>
    </row>
    <row r="1257" spans="1:14" outlineLevel="2" x14ac:dyDescent="0.35">
      <c r="A1257" s="53" t="s">
        <v>264</v>
      </c>
      <c r="B1257" s="66" t="s">
        <v>197</v>
      </c>
      <c r="C1257" s="51">
        <v>2256489</v>
      </c>
      <c r="D1257" s="51">
        <v>-165871</v>
      </c>
      <c r="E1257" s="51">
        <v>0</v>
      </c>
      <c r="F1257" s="51">
        <v>0</v>
      </c>
      <c r="G1257" s="51">
        <v>0</v>
      </c>
      <c r="H1257" s="51">
        <v>2090618</v>
      </c>
      <c r="I1257" s="51">
        <v>-2090618</v>
      </c>
      <c r="J1257" s="51">
        <v>0</v>
      </c>
      <c r="K1257" s="51">
        <v>29457</v>
      </c>
      <c r="L1257" s="51">
        <v>-29457</v>
      </c>
      <c r="M1257" s="51">
        <v>0</v>
      </c>
      <c r="N1257" s="51">
        <v>0</v>
      </c>
    </row>
    <row r="1258" spans="1:14" outlineLevel="2" x14ac:dyDescent="0.35">
      <c r="A1258" s="53" t="s">
        <v>264</v>
      </c>
      <c r="B1258" s="66" t="s">
        <v>196</v>
      </c>
      <c r="C1258" s="51">
        <v>1419495</v>
      </c>
      <c r="D1258" s="51">
        <v>-699</v>
      </c>
      <c r="E1258" s="51">
        <v>0</v>
      </c>
      <c r="F1258" s="51">
        <v>0</v>
      </c>
      <c r="G1258" s="51">
        <v>0</v>
      </c>
      <c r="H1258" s="51">
        <v>1418796</v>
      </c>
      <c r="I1258" s="51">
        <v>-1418796</v>
      </c>
      <c r="J1258" s="51">
        <v>0</v>
      </c>
      <c r="K1258" s="51">
        <v>20307</v>
      </c>
      <c r="L1258" s="51">
        <v>-20307</v>
      </c>
      <c r="M1258" s="51">
        <v>0</v>
      </c>
      <c r="N1258" s="51">
        <v>0</v>
      </c>
    </row>
    <row r="1259" spans="1:14" outlineLevel="2" x14ac:dyDescent="0.35">
      <c r="A1259" s="53" t="s">
        <v>264</v>
      </c>
      <c r="B1259" s="66" t="s">
        <v>195</v>
      </c>
      <c r="C1259" s="51">
        <v>847656</v>
      </c>
      <c r="D1259" s="51">
        <v>-1137</v>
      </c>
      <c r="E1259" s="51">
        <v>0</v>
      </c>
      <c r="F1259" s="51">
        <v>0</v>
      </c>
      <c r="G1259" s="51">
        <v>0</v>
      </c>
      <c r="H1259" s="51">
        <v>846519</v>
      </c>
      <c r="I1259" s="51">
        <v>-846519</v>
      </c>
      <c r="J1259" s="51">
        <v>0</v>
      </c>
      <c r="K1259" s="51">
        <v>18868</v>
      </c>
      <c r="L1259" s="51">
        <v>-18868</v>
      </c>
      <c r="M1259" s="51">
        <v>0</v>
      </c>
      <c r="N1259" s="51">
        <v>0</v>
      </c>
    </row>
    <row r="1260" spans="1:14" outlineLevel="2" x14ac:dyDescent="0.35">
      <c r="A1260" s="53" t="s">
        <v>264</v>
      </c>
      <c r="B1260" s="66" t="s">
        <v>194</v>
      </c>
      <c r="C1260" s="51">
        <v>590065</v>
      </c>
      <c r="D1260" s="51">
        <v>-1267</v>
      </c>
      <c r="E1260" s="51">
        <v>0</v>
      </c>
      <c r="F1260" s="51">
        <v>0</v>
      </c>
      <c r="G1260" s="51">
        <v>0</v>
      </c>
      <c r="H1260" s="51">
        <v>588798</v>
      </c>
      <c r="I1260" s="51">
        <v>-588798</v>
      </c>
      <c r="J1260" s="51">
        <v>0</v>
      </c>
      <c r="K1260" s="51">
        <v>154093</v>
      </c>
      <c r="L1260" s="51">
        <v>-154093</v>
      </c>
      <c r="M1260" s="51">
        <v>0</v>
      </c>
      <c r="N1260" s="51">
        <v>0</v>
      </c>
    </row>
    <row r="1261" spans="1:14" outlineLevel="2" x14ac:dyDescent="0.35">
      <c r="A1261" s="53" t="s">
        <v>264</v>
      </c>
      <c r="B1261" s="66" t="s">
        <v>193</v>
      </c>
      <c r="C1261" s="51">
        <v>1247701</v>
      </c>
      <c r="D1261" s="51">
        <v>-2067</v>
      </c>
      <c r="E1261" s="51">
        <v>0</v>
      </c>
      <c r="F1261" s="51">
        <v>0</v>
      </c>
      <c r="G1261" s="51">
        <v>0</v>
      </c>
      <c r="H1261" s="51">
        <v>1245634</v>
      </c>
      <c r="I1261" s="51">
        <v>-1245634</v>
      </c>
      <c r="J1261" s="51">
        <v>0</v>
      </c>
      <c r="K1261" s="51">
        <v>35606</v>
      </c>
      <c r="L1261" s="51">
        <v>-35606</v>
      </c>
      <c r="M1261" s="51">
        <v>0</v>
      </c>
      <c r="N1261" s="51">
        <v>0</v>
      </c>
    </row>
    <row r="1262" spans="1:14" outlineLevel="2" x14ac:dyDescent="0.35">
      <c r="A1262" s="53" t="s">
        <v>264</v>
      </c>
      <c r="B1262" s="66" t="s">
        <v>192</v>
      </c>
      <c r="C1262" s="51">
        <v>496298</v>
      </c>
      <c r="D1262" s="51">
        <v>0</v>
      </c>
      <c r="E1262" s="51">
        <v>0</v>
      </c>
      <c r="F1262" s="51">
        <v>0</v>
      </c>
      <c r="G1262" s="51">
        <v>0</v>
      </c>
      <c r="H1262" s="51">
        <v>496298</v>
      </c>
      <c r="I1262" s="51">
        <v>-496298</v>
      </c>
      <c r="J1262" s="51">
        <v>0</v>
      </c>
      <c r="K1262" s="51">
        <v>30142</v>
      </c>
      <c r="L1262" s="51">
        <v>-30142</v>
      </c>
      <c r="M1262" s="51">
        <v>0</v>
      </c>
      <c r="N1262" s="51">
        <v>0</v>
      </c>
    </row>
    <row r="1263" spans="1:14" outlineLevel="2" x14ac:dyDescent="0.35">
      <c r="A1263" s="53" t="s">
        <v>264</v>
      </c>
      <c r="B1263" s="66" t="s">
        <v>191</v>
      </c>
      <c r="C1263" s="51">
        <v>344697</v>
      </c>
      <c r="D1263" s="51">
        <v>0</v>
      </c>
      <c r="E1263" s="51">
        <v>0</v>
      </c>
      <c r="F1263" s="51">
        <v>0</v>
      </c>
      <c r="G1263" s="51">
        <v>0</v>
      </c>
      <c r="H1263" s="51">
        <v>344697</v>
      </c>
      <c r="I1263" s="51">
        <v>-344697</v>
      </c>
      <c r="J1263" s="51">
        <v>0</v>
      </c>
      <c r="K1263" s="51">
        <v>79456</v>
      </c>
      <c r="L1263" s="51">
        <v>-79456</v>
      </c>
      <c r="M1263" s="51">
        <v>0</v>
      </c>
      <c r="N1263" s="51">
        <v>0</v>
      </c>
    </row>
    <row r="1264" spans="1:14" outlineLevel="2" x14ac:dyDescent="0.35">
      <c r="A1264" s="53" t="s">
        <v>264</v>
      </c>
      <c r="B1264" s="66" t="s">
        <v>190</v>
      </c>
      <c r="C1264" s="51">
        <v>386347</v>
      </c>
      <c r="D1264" s="51">
        <v>-254</v>
      </c>
      <c r="E1264" s="51">
        <v>0</v>
      </c>
      <c r="F1264" s="51">
        <v>0</v>
      </c>
      <c r="G1264" s="51">
        <v>0</v>
      </c>
      <c r="H1264" s="51">
        <v>386093</v>
      </c>
      <c r="I1264" s="51">
        <v>-386093</v>
      </c>
      <c r="J1264" s="51">
        <v>0</v>
      </c>
      <c r="K1264" s="51">
        <v>47</v>
      </c>
      <c r="L1264" s="51">
        <v>-47</v>
      </c>
      <c r="M1264" s="51">
        <v>0</v>
      </c>
      <c r="N1264" s="51">
        <v>0</v>
      </c>
    </row>
    <row r="1265" spans="1:14" outlineLevel="2" x14ac:dyDescent="0.35">
      <c r="A1265" s="53" t="s">
        <v>264</v>
      </c>
      <c r="B1265" s="66" t="s">
        <v>189</v>
      </c>
      <c r="C1265" s="51">
        <v>297492</v>
      </c>
      <c r="D1265" s="51">
        <v>-15571</v>
      </c>
      <c r="E1265" s="51">
        <v>0</v>
      </c>
      <c r="F1265" s="51">
        <v>0</v>
      </c>
      <c r="G1265" s="51">
        <v>0</v>
      </c>
      <c r="H1265" s="51">
        <v>281921</v>
      </c>
      <c r="I1265" s="51">
        <v>-281921</v>
      </c>
      <c r="J1265" s="51">
        <v>0</v>
      </c>
      <c r="K1265" s="51">
        <v>0</v>
      </c>
      <c r="L1265" s="51">
        <v>0</v>
      </c>
      <c r="M1265" s="51">
        <v>0</v>
      </c>
      <c r="N1265" s="51">
        <v>0</v>
      </c>
    </row>
    <row r="1266" spans="1:14" outlineLevel="2" x14ac:dyDescent="0.35">
      <c r="A1266" s="53" t="s">
        <v>264</v>
      </c>
      <c r="B1266" s="66" t="s">
        <v>188</v>
      </c>
      <c r="C1266" s="51">
        <v>153688</v>
      </c>
      <c r="D1266" s="51">
        <v>-12560</v>
      </c>
      <c r="E1266" s="51">
        <v>0</v>
      </c>
      <c r="F1266" s="51">
        <v>0</v>
      </c>
      <c r="G1266" s="51">
        <v>0</v>
      </c>
      <c r="H1266" s="51">
        <v>141128</v>
      </c>
      <c r="I1266" s="51">
        <v>-141128</v>
      </c>
      <c r="J1266" s="51">
        <v>0</v>
      </c>
      <c r="K1266" s="51">
        <v>0</v>
      </c>
      <c r="L1266" s="51">
        <v>0</v>
      </c>
      <c r="M1266" s="51">
        <v>0</v>
      </c>
      <c r="N1266" s="51">
        <v>0</v>
      </c>
    </row>
    <row r="1267" spans="1:14" outlineLevel="2" x14ac:dyDescent="0.35">
      <c r="A1267" s="53" t="s">
        <v>264</v>
      </c>
      <c r="B1267" s="66" t="s">
        <v>186</v>
      </c>
      <c r="C1267" s="51">
        <v>96824</v>
      </c>
      <c r="D1267" s="51">
        <v>-24070</v>
      </c>
      <c r="E1267" s="51">
        <v>0</v>
      </c>
      <c r="F1267" s="51">
        <v>0</v>
      </c>
      <c r="G1267" s="51">
        <v>0</v>
      </c>
      <c r="H1267" s="51">
        <v>72754</v>
      </c>
      <c r="I1267" s="51">
        <v>-72754</v>
      </c>
      <c r="J1267" s="51">
        <v>0</v>
      </c>
      <c r="K1267" s="51">
        <v>0</v>
      </c>
      <c r="L1267" s="51">
        <v>0</v>
      </c>
      <c r="M1267" s="51">
        <v>0</v>
      </c>
      <c r="N1267" s="51">
        <v>0</v>
      </c>
    </row>
    <row r="1268" spans="1:14" outlineLevel="2" x14ac:dyDescent="0.35">
      <c r="A1268" s="53" t="s">
        <v>264</v>
      </c>
      <c r="B1268" s="66" t="s">
        <v>227</v>
      </c>
      <c r="C1268" s="51">
        <v>43390</v>
      </c>
      <c r="D1268" s="51">
        <v>-1368</v>
      </c>
      <c r="E1268" s="51">
        <v>0</v>
      </c>
      <c r="F1268" s="51">
        <v>0</v>
      </c>
      <c r="G1268" s="51">
        <v>0</v>
      </c>
      <c r="H1268" s="51">
        <v>42022</v>
      </c>
      <c r="I1268" s="51">
        <v>-42022</v>
      </c>
      <c r="J1268" s="51">
        <v>0</v>
      </c>
      <c r="K1268" s="51">
        <v>0</v>
      </c>
      <c r="L1268" s="51">
        <v>0</v>
      </c>
      <c r="M1268" s="51">
        <v>0</v>
      </c>
      <c r="N1268" s="51">
        <v>0</v>
      </c>
    </row>
    <row r="1269" spans="1:14" ht="16" outlineLevel="2" thickBot="1" x14ac:dyDescent="0.4">
      <c r="A1269" s="50" t="s">
        <v>86</v>
      </c>
      <c r="B1269" s="67" t="s">
        <v>12</v>
      </c>
      <c r="C1269" s="48">
        <f>SUBTOTAL(109,Program118[(C)
Program
Costs])</f>
        <v>30112466</v>
      </c>
      <c r="D1269" s="48">
        <f>SUBTOTAL(109,Program118[(D)
Prior Period Adjustments])</f>
        <v>-2750832</v>
      </c>
      <c r="E1269" s="48">
        <f>SUBTOTAL(109,Program118[(E)
Current Period Desk 
Reviews])</f>
        <v>0</v>
      </c>
      <c r="F1269" s="48">
        <f>SUBTOTAL(109,Program118[(F)
Current Period 
Final 
Audits])</f>
        <v>0</v>
      </c>
      <c r="G1269" s="48">
        <f>SUBTOTAL(109,Program118[(G)
Current Period 
Other Adjustments])</f>
        <v>0</v>
      </c>
      <c r="H1269" s="48">
        <f>SUBTOTAL(109,Program118[(H)
Net Program Costs
Sum (C through G)])</f>
        <v>27361634</v>
      </c>
      <c r="I1269" s="48">
        <f>SUBTOTAL(109,Program118[(I)
Payments
 and Offsets])</f>
        <v>-22452845</v>
      </c>
      <c r="J1269" s="48">
        <f>SUBTOTAL(109,Program118[(J)
Accounts Payable Balance
(H + I)])</f>
        <v>4908789</v>
      </c>
      <c r="K1269" s="48">
        <f>SUBTOTAL(109,Program118[(K)
Established 
Accounts Receivable])</f>
        <v>1416457</v>
      </c>
      <c r="L1269" s="48">
        <f>SUBTOTAL(109,Program118[(L)
Recovered
 Accounts Receivable])</f>
        <v>-1416457</v>
      </c>
      <c r="M1269" s="48">
        <f>SUBTOTAL(109,Program118[(M)
Accounts Receivable Balance
(K + L)])</f>
        <v>0</v>
      </c>
      <c r="N1269" s="48">
        <f>SUBTOTAL(109,Program118[(N)
Net Balance
(J minus M)])</f>
        <v>4908789</v>
      </c>
    </row>
    <row r="1270" spans="1:14" outlineLevel="2" x14ac:dyDescent="0.35">
      <c r="A1270" s="63" t="s">
        <v>33</v>
      </c>
      <c r="B1270" s="62"/>
      <c r="C1270" s="61"/>
      <c r="D1270" s="61"/>
      <c r="E1270" s="61"/>
      <c r="F1270" s="61"/>
      <c r="G1270" s="61"/>
      <c r="H1270" s="61"/>
      <c r="I1270" s="61"/>
      <c r="J1270" s="61"/>
      <c r="K1270" s="61"/>
      <c r="L1270" s="61"/>
      <c r="M1270" s="61"/>
      <c r="N1270" s="61"/>
    </row>
    <row r="1271" spans="1:14" ht="77.5" outlineLevel="2" x14ac:dyDescent="0.35">
      <c r="A1271" s="60" t="s">
        <v>185</v>
      </c>
      <c r="B1271" s="59" t="s">
        <v>184</v>
      </c>
      <c r="C1271" s="58" t="s">
        <v>183</v>
      </c>
      <c r="D1271" s="58" t="s">
        <v>182</v>
      </c>
      <c r="E1271" s="56" t="s">
        <v>181</v>
      </c>
      <c r="F1271" s="56" t="s">
        <v>180</v>
      </c>
      <c r="G1271" s="56" t="s">
        <v>179</v>
      </c>
      <c r="H1271" s="57" t="s">
        <v>674</v>
      </c>
      <c r="I1271" s="55" t="s">
        <v>178</v>
      </c>
      <c r="J1271" s="55" t="s">
        <v>177</v>
      </c>
      <c r="K1271" s="56" t="s">
        <v>176</v>
      </c>
      <c r="L1271" s="55" t="s">
        <v>175</v>
      </c>
      <c r="M1271" s="55" t="s">
        <v>174</v>
      </c>
      <c r="N1271" s="54" t="s">
        <v>173</v>
      </c>
    </row>
    <row r="1272" spans="1:14" ht="31" outlineLevel="2" x14ac:dyDescent="0.35">
      <c r="A1272" s="70" t="s">
        <v>263</v>
      </c>
      <c r="B1272" s="69" t="s">
        <v>215</v>
      </c>
      <c r="C1272" s="68">
        <v>785067</v>
      </c>
      <c r="D1272" s="68">
        <v>0</v>
      </c>
      <c r="E1272" s="68">
        <v>0</v>
      </c>
      <c r="F1272" s="68">
        <v>0</v>
      </c>
      <c r="G1272" s="68">
        <v>0</v>
      </c>
      <c r="H1272" s="68">
        <v>785067</v>
      </c>
      <c r="I1272" s="68">
        <v>0</v>
      </c>
      <c r="J1272" s="68">
        <v>785067</v>
      </c>
      <c r="K1272" s="68">
        <v>0</v>
      </c>
      <c r="L1272" s="68">
        <v>0</v>
      </c>
      <c r="M1272" s="68">
        <v>0</v>
      </c>
      <c r="N1272" s="68">
        <v>785067</v>
      </c>
    </row>
    <row r="1273" spans="1:14" ht="31" outlineLevel="1" x14ac:dyDescent="0.35">
      <c r="A1273" s="70" t="s">
        <v>263</v>
      </c>
      <c r="B1273" s="69" t="s">
        <v>214</v>
      </c>
      <c r="C1273" s="68">
        <v>813447</v>
      </c>
      <c r="D1273" s="68">
        <v>0</v>
      </c>
      <c r="E1273" s="68">
        <v>0</v>
      </c>
      <c r="F1273" s="68">
        <v>0</v>
      </c>
      <c r="G1273" s="68">
        <v>-1589</v>
      </c>
      <c r="H1273" s="68">
        <v>811858</v>
      </c>
      <c r="I1273" s="68">
        <v>-797562</v>
      </c>
      <c r="J1273" s="68">
        <v>14296</v>
      </c>
      <c r="K1273" s="68">
        <v>0</v>
      </c>
      <c r="L1273" s="68">
        <v>0</v>
      </c>
      <c r="M1273" s="68">
        <v>0</v>
      </c>
      <c r="N1273" s="68">
        <v>14296</v>
      </c>
    </row>
    <row r="1274" spans="1:14" ht="31" outlineLevel="1" x14ac:dyDescent="0.35">
      <c r="A1274" s="70" t="s">
        <v>263</v>
      </c>
      <c r="B1274" s="69" t="s">
        <v>212</v>
      </c>
      <c r="C1274" s="68">
        <v>820384</v>
      </c>
      <c r="D1274" s="68">
        <v>-2354</v>
      </c>
      <c r="E1274" s="68">
        <v>0</v>
      </c>
      <c r="F1274" s="68">
        <v>0</v>
      </c>
      <c r="G1274" s="68">
        <v>0</v>
      </c>
      <c r="H1274" s="68">
        <v>818030</v>
      </c>
      <c r="I1274" s="68">
        <v>-818030</v>
      </c>
      <c r="J1274" s="68">
        <v>0</v>
      </c>
      <c r="K1274" s="68">
        <v>0</v>
      </c>
      <c r="L1274" s="68">
        <v>0</v>
      </c>
      <c r="M1274" s="68">
        <v>0</v>
      </c>
      <c r="N1274" s="68">
        <v>0</v>
      </c>
    </row>
    <row r="1275" spans="1:14" ht="31" outlineLevel="2" x14ac:dyDescent="0.35">
      <c r="A1275" s="70" t="s">
        <v>263</v>
      </c>
      <c r="B1275" s="69" t="s">
        <v>220</v>
      </c>
      <c r="C1275" s="68">
        <v>759867</v>
      </c>
      <c r="D1275" s="68">
        <v>-3686</v>
      </c>
      <c r="E1275" s="68">
        <v>0</v>
      </c>
      <c r="F1275" s="68">
        <v>0</v>
      </c>
      <c r="G1275" s="68">
        <v>0</v>
      </c>
      <c r="H1275" s="68">
        <v>756181</v>
      </c>
      <c r="I1275" s="68">
        <v>-756181</v>
      </c>
      <c r="J1275" s="68">
        <v>0</v>
      </c>
      <c r="K1275" s="68">
        <v>0</v>
      </c>
      <c r="L1275" s="68">
        <v>0</v>
      </c>
      <c r="M1275" s="68">
        <v>0</v>
      </c>
      <c r="N1275" s="68">
        <v>0</v>
      </c>
    </row>
    <row r="1276" spans="1:14" ht="31" outlineLevel="1" x14ac:dyDescent="0.35">
      <c r="A1276" s="70" t="s">
        <v>263</v>
      </c>
      <c r="B1276" s="69" t="s">
        <v>219</v>
      </c>
      <c r="C1276" s="68">
        <v>743927</v>
      </c>
      <c r="D1276" s="68">
        <v>64970</v>
      </c>
      <c r="E1276" s="68">
        <v>0</v>
      </c>
      <c r="F1276" s="68">
        <v>0</v>
      </c>
      <c r="G1276" s="68">
        <v>0</v>
      </c>
      <c r="H1276" s="68">
        <v>808897</v>
      </c>
      <c r="I1276" s="68">
        <v>-808897</v>
      </c>
      <c r="J1276" s="68">
        <v>0</v>
      </c>
      <c r="K1276" s="68">
        <v>0</v>
      </c>
      <c r="L1276" s="68">
        <v>0</v>
      </c>
      <c r="M1276" s="68">
        <v>0</v>
      </c>
      <c r="N1276" s="68">
        <v>0</v>
      </c>
    </row>
    <row r="1277" spans="1:14" ht="31" outlineLevel="2" x14ac:dyDescent="0.35">
      <c r="A1277" s="70" t="s">
        <v>263</v>
      </c>
      <c r="B1277" s="69" t="s">
        <v>218</v>
      </c>
      <c r="C1277" s="68">
        <v>548844</v>
      </c>
      <c r="D1277" s="68">
        <v>-2909</v>
      </c>
      <c r="E1277" s="68">
        <v>0</v>
      </c>
      <c r="F1277" s="68">
        <v>0</v>
      </c>
      <c r="G1277" s="68">
        <v>0</v>
      </c>
      <c r="H1277" s="68">
        <v>545935</v>
      </c>
      <c r="I1277" s="68">
        <v>-545935</v>
      </c>
      <c r="J1277" s="68">
        <v>0</v>
      </c>
      <c r="K1277" s="68">
        <v>0</v>
      </c>
      <c r="L1277" s="68">
        <v>0</v>
      </c>
      <c r="M1277" s="68">
        <v>0</v>
      </c>
      <c r="N1277" s="68">
        <v>0</v>
      </c>
    </row>
    <row r="1278" spans="1:14" ht="31" outlineLevel="2" x14ac:dyDescent="0.35">
      <c r="A1278" s="70" t="s">
        <v>263</v>
      </c>
      <c r="B1278" s="69" t="s">
        <v>209</v>
      </c>
      <c r="C1278" s="68">
        <v>631918</v>
      </c>
      <c r="D1278" s="68">
        <v>-2670</v>
      </c>
      <c r="E1278" s="68">
        <v>0</v>
      </c>
      <c r="F1278" s="68">
        <v>0</v>
      </c>
      <c r="G1278" s="68">
        <v>0</v>
      </c>
      <c r="H1278" s="68">
        <v>629248</v>
      </c>
      <c r="I1278" s="68">
        <v>-629248</v>
      </c>
      <c r="J1278" s="68">
        <v>0</v>
      </c>
      <c r="K1278" s="68">
        <v>0</v>
      </c>
      <c r="L1278" s="68">
        <v>0</v>
      </c>
      <c r="M1278" s="68">
        <v>0</v>
      </c>
      <c r="N1278" s="68">
        <v>0</v>
      </c>
    </row>
    <row r="1279" spans="1:14" ht="31" outlineLevel="2" x14ac:dyDescent="0.35">
      <c r="A1279" s="70" t="s">
        <v>263</v>
      </c>
      <c r="B1279" s="69" t="s">
        <v>208</v>
      </c>
      <c r="C1279" s="68">
        <v>695724</v>
      </c>
      <c r="D1279" s="68">
        <v>-117</v>
      </c>
      <c r="E1279" s="68">
        <v>0</v>
      </c>
      <c r="F1279" s="68">
        <v>0</v>
      </c>
      <c r="G1279" s="68">
        <v>0</v>
      </c>
      <c r="H1279" s="68">
        <v>695607</v>
      </c>
      <c r="I1279" s="68">
        <v>-695607</v>
      </c>
      <c r="J1279" s="68">
        <v>0</v>
      </c>
      <c r="K1279" s="68">
        <v>0</v>
      </c>
      <c r="L1279" s="68">
        <v>0</v>
      </c>
      <c r="M1279" s="68">
        <v>0</v>
      </c>
      <c r="N1279" s="68">
        <v>0</v>
      </c>
    </row>
    <row r="1280" spans="1:14" ht="31" outlineLevel="2" x14ac:dyDescent="0.35">
      <c r="A1280" s="70" t="s">
        <v>263</v>
      </c>
      <c r="B1280" s="69" t="s">
        <v>206</v>
      </c>
      <c r="C1280" s="68">
        <v>661245</v>
      </c>
      <c r="D1280" s="68">
        <v>0</v>
      </c>
      <c r="E1280" s="68">
        <v>0</v>
      </c>
      <c r="F1280" s="68">
        <v>0</v>
      </c>
      <c r="G1280" s="68">
        <v>0</v>
      </c>
      <c r="H1280" s="68">
        <v>661245</v>
      </c>
      <c r="I1280" s="68">
        <v>-661245</v>
      </c>
      <c r="J1280" s="68">
        <v>0</v>
      </c>
      <c r="K1280" s="68">
        <v>0</v>
      </c>
      <c r="L1280" s="68">
        <v>0</v>
      </c>
      <c r="M1280" s="68">
        <v>0</v>
      </c>
      <c r="N1280" s="68">
        <v>0</v>
      </c>
    </row>
    <row r="1281" spans="1:14" ht="31" outlineLevel="2" x14ac:dyDescent="0.35">
      <c r="A1281" s="70" t="s">
        <v>263</v>
      </c>
      <c r="B1281" s="69" t="s">
        <v>205</v>
      </c>
      <c r="C1281" s="68">
        <v>638712</v>
      </c>
      <c r="D1281" s="68">
        <v>0</v>
      </c>
      <c r="E1281" s="68">
        <v>0</v>
      </c>
      <c r="F1281" s="68">
        <v>0</v>
      </c>
      <c r="G1281" s="68">
        <v>0</v>
      </c>
      <c r="H1281" s="68">
        <v>638712</v>
      </c>
      <c r="I1281" s="68">
        <v>-638712</v>
      </c>
      <c r="J1281" s="68">
        <v>0</v>
      </c>
      <c r="K1281" s="68">
        <v>0</v>
      </c>
      <c r="L1281" s="68">
        <v>0</v>
      </c>
      <c r="M1281" s="68">
        <v>0</v>
      </c>
      <c r="N1281" s="68">
        <v>0</v>
      </c>
    </row>
    <row r="1282" spans="1:14" ht="31" outlineLevel="2" x14ac:dyDescent="0.35">
      <c r="A1282" s="70" t="s">
        <v>263</v>
      </c>
      <c r="B1282" s="69" t="s">
        <v>204</v>
      </c>
      <c r="C1282" s="68">
        <v>512389</v>
      </c>
      <c r="D1282" s="68">
        <v>-94</v>
      </c>
      <c r="E1282" s="68">
        <v>0</v>
      </c>
      <c r="F1282" s="68">
        <v>0</v>
      </c>
      <c r="G1282" s="68">
        <v>0</v>
      </c>
      <c r="H1282" s="68">
        <v>512295</v>
      </c>
      <c r="I1282" s="68">
        <v>-512295</v>
      </c>
      <c r="J1282" s="68">
        <v>0</v>
      </c>
      <c r="K1282" s="68">
        <v>0</v>
      </c>
      <c r="L1282" s="68">
        <v>0</v>
      </c>
      <c r="M1282" s="68">
        <v>0</v>
      </c>
      <c r="N1282" s="68">
        <v>0</v>
      </c>
    </row>
    <row r="1283" spans="1:14" ht="31" outlineLevel="2" x14ac:dyDescent="0.35">
      <c r="A1283" s="70" t="s">
        <v>263</v>
      </c>
      <c r="B1283" s="69" t="s">
        <v>203</v>
      </c>
      <c r="C1283" s="68">
        <v>715965</v>
      </c>
      <c r="D1283" s="68">
        <v>-648</v>
      </c>
      <c r="E1283" s="68">
        <v>0</v>
      </c>
      <c r="F1283" s="68">
        <v>0</v>
      </c>
      <c r="G1283" s="68">
        <v>0</v>
      </c>
      <c r="H1283" s="68">
        <v>715317</v>
      </c>
      <c r="I1283" s="68">
        <v>-715317</v>
      </c>
      <c r="J1283" s="68">
        <v>0</v>
      </c>
      <c r="K1283" s="68">
        <v>0</v>
      </c>
      <c r="L1283" s="68">
        <v>0</v>
      </c>
      <c r="M1283" s="68">
        <v>0</v>
      </c>
      <c r="N1283" s="68">
        <v>0</v>
      </c>
    </row>
    <row r="1284" spans="1:14" ht="31" outlineLevel="2" x14ac:dyDescent="0.35">
      <c r="A1284" s="70" t="s">
        <v>263</v>
      </c>
      <c r="B1284" s="69" t="s">
        <v>202</v>
      </c>
      <c r="C1284" s="68">
        <v>585148</v>
      </c>
      <c r="D1284" s="68">
        <v>-322</v>
      </c>
      <c r="E1284" s="68">
        <v>0</v>
      </c>
      <c r="F1284" s="68">
        <v>0</v>
      </c>
      <c r="G1284" s="68">
        <v>0</v>
      </c>
      <c r="H1284" s="68">
        <v>584826</v>
      </c>
      <c r="I1284" s="68">
        <v>-584826</v>
      </c>
      <c r="J1284" s="68">
        <v>0</v>
      </c>
      <c r="K1284" s="68">
        <v>0</v>
      </c>
      <c r="L1284" s="68">
        <v>0</v>
      </c>
      <c r="M1284" s="68">
        <v>0</v>
      </c>
      <c r="N1284" s="68">
        <v>0</v>
      </c>
    </row>
    <row r="1285" spans="1:14" ht="31" outlineLevel="2" x14ac:dyDescent="0.35">
      <c r="A1285" s="70" t="s">
        <v>263</v>
      </c>
      <c r="B1285" s="69" t="s">
        <v>201</v>
      </c>
      <c r="C1285" s="68">
        <v>524996</v>
      </c>
      <c r="D1285" s="68">
        <v>-979</v>
      </c>
      <c r="E1285" s="68">
        <v>0</v>
      </c>
      <c r="F1285" s="68">
        <v>0</v>
      </c>
      <c r="G1285" s="68">
        <v>0</v>
      </c>
      <c r="H1285" s="68">
        <v>524017</v>
      </c>
      <c r="I1285" s="68">
        <v>-524017</v>
      </c>
      <c r="J1285" s="68">
        <v>0</v>
      </c>
      <c r="K1285" s="68">
        <v>0</v>
      </c>
      <c r="L1285" s="68">
        <v>0</v>
      </c>
      <c r="M1285" s="68">
        <v>0</v>
      </c>
      <c r="N1285" s="68">
        <v>0</v>
      </c>
    </row>
    <row r="1286" spans="1:14" ht="31" outlineLevel="2" x14ac:dyDescent="0.35">
      <c r="A1286" s="70" t="s">
        <v>263</v>
      </c>
      <c r="B1286" s="69" t="s">
        <v>200</v>
      </c>
      <c r="C1286" s="68">
        <v>292437</v>
      </c>
      <c r="D1286" s="68">
        <v>-823</v>
      </c>
      <c r="E1286" s="68">
        <v>0</v>
      </c>
      <c r="F1286" s="68">
        <v>0</v>
      </c>
      <c r="G1286" s="68">
        <v>0</v>
      </c>
      <c r="H1286" s="68">
        <v>291614</v>
      </c>
      <c r="I1286" s="68">
        <v>-291614</v>
      </c>
      <c r="J1286" s="68">
        <v>0</v>
      </c>
      <c r="K1286" s="68">
        <v>0</v>
      </c>
      <c r="L1286" s="68">
        <v>0</v>
      </c>
      <c r="M1286" s="68">
        <v>0</v>
      </c>
      <c r="N1286" s="68">
        <v>0</v>
      </c>
    </row>
    <row r="1287" spans="1:14" ht="31" outlineLevel="2" x14ac:dyDescent="0.35">
      <c r="A1287" s="70" t="s">
        <v>263</v>
      </c>
      <c r="B1287" s="69" t="s">
        <v>199</v>
      </c>
      <c r="C1287" s="68">
        <v>269439</v>
      </c>
      <c r="D1287" s="68">
        <v>0</v>
      </c>
      <c r="E1287" s="68">
        <v>0</v>
      </c>
      <c r="F1287" s="68">
        <v>0</v>
      </c>
      <c r="G1287" s="68">
        <v>0</v>
      </c>
      <c r="H1287" s="68">
        <v>269439</v>
      </c>
      <c r="I1287" s="68">
        <v>-269439</v>
      </c>
      <c r="J1287" s="68">
        <v>0</v>
      </c>
      <c r="K1287" s="68">
        <v>0</v>
      </c>
      <c r="L1287" s="68">
        <v>0</v>
      </c>
      <c r="M1287" s="68">
        <v>0</v>
      </c>
      <c r="N1287" s="68">
        <v>0</v>
      </c>
    </row>
    <row r="1288" spans="1:14" ht="31" outlineLevel="2" x14ac:dyDescent="0.35">
      <c r="A1288" s="70" t="s">
        <v>263</v>
      </c>
      <c r="B1288" s="69" t="s">
        <v>198</v>
      </c>
      <c r="C1288" s="68">
        <v>232369</v>
      </c>
      <c r="D1288" s="68">
        <v>0</v>
      </c>
      <c r="E1288" s="68">
        <v>0</v>
      </c>
      <c r="F1288" s="68">
        <v>0</v>
      </c>
      <c r="G1288" s="68">
        <v>0</v>
      </c>
      <c r="H1288" s="68">
        <v>232369</v>
      </c>
      <c r="I1288" s="68">
        <v>-232369</v>
      </c>
      <c r="J1288" s="68">
        <v>0</v>
      </c>
      <c r="K1288" s="68">
        <v>0</v>
      </c>
      <c r="L1288" s="68">
        <v>0</v>
      </c>
      <c r="M1288" s="68">
        <v>0</v>
      </c>
      <c r="N1288" s="68">
        <v>0</v>
      </c>
    </row>
    <row r="1289" spans="1:14" ht="31" outlineLevel="2" x14ac:dyDescent="0.35">
      <c r="A1289" s="70" t="s">
        <v>263</v>
      </c>
      <c r="B1289" s="69" t="s">
        <v>197</v>
      </c>
      <c r="C1289" s="68">
        <v>218108</v>
      </c>
      <c r="D1289" s="68">
        <v>0</v>
      </c>
      <c r="E1289" s="68">
        <v>0</v>
      </c>
      <c r="F1289" s="68">
        <v>0</v>
      </c>
      <c r="G1289" s="68">
        <v>0</v>
      </c>
      <c r="H1289" s="68">
        <v>218108</v>
      </c>
      <c r="I1289" s="68">
        <v>-218108</v>
      </c>
      <c r="J1289" s="68">
        <v>0</v>
      </c>
      <c r="K1289" s="68">
        <v>0</v>
      </c>
      <c r="L1289" s="68">
        <v>0</v>
      </c>
      <c r="M1289" s="68">
        <v>0</v>
      </c>
      <c r="N1289" s="68">
        <v>0</v>
      </c>
    </row>
    <row r="1290" spans="1:14" ht="31" outlineLevel="2" x14ac:dyDescent="0.35">
      <c r="A1290" s="70" t="s">
        <v>263</v>
      </c>
      <c r="B1290" s="69" t="s">
        <v>196</v>
      </c>
      <c r="C1290" s="68">
        <v>83946</v>
      </c>
      <c r="D1290" s="68">
        <v>0</v>
      </c>
      <c r="E1290" s="68">
        <v>0</v>
      </c>
      <c r="F1290" s="68">
        <v>0</v>
      </c>
      <c r="G1290" s="68">
        <v>0</v>
      </c>
      <c r="H1290" s="68">
        <v>83946</v>
      </c>
      <c r="I1290" s="68">
        <v>-83946</v>
      </c>
      <c r="J1290" s="68">
        <v>0</v>
      </c>
      <c r="K1290" s="68">
        <v>0</v>
      </c>
      <c r="L1290" s="68">
        <v>0</v>
      </c>
      <c r="M1290" s="68">
        <v>0</v>
      </c>
      <c r="N1290" s="68">
        <v>0</v>
      </c>
    </row>
    <row r="1291" spans="1:14" ht="31" outlineLevel="2" x14ac:dyDescent="0.35">
      <c r="A1291" s="70" t="s">
        <v>263</v>
      </c>
      <c r="B1291" s="69" t="s">
        <v>195</v>
      </c>
      <c r="C1291" s="68">
        <v>62123</v>
      </c>
      <c r="D1291" s="68">
        <v>0</v>
      </c>
      <c r="E1291" s="68">
        <v>0</v>
      </c>
      <c r="F1291" s="68">
        <v>0</v>
      </c>
      <c r="G1291" s="68">
        <v>0</v>
      </c>
      <c r="H1291" s="68">
        <v>62123</v>
      </c>
      <c r="I1291" s="68">
        <v>-62123</v>
      </c>
      <c r="J1291" s="68">
        <v>0</v>
      </c>
      <c r="K1291" s="68">
        <v>0</v>
      </c>
      <c r="L1291" s="68">
        <v>0</v>
      </c>
      <c r="M1291" s="68">
        <v>0</v>
      </c>
      <c r="N1291" s="68">
        <v>0</v>
      </c>
    </row>
    <row r="1292" spans="1:14" ht="16" outlineLevel="2" thickBot="1" x14ac:dyDescent="0.4">
      <c r="A1292" s="50" t="s">
        <v>85</v>
      </c>
      <c r="B1292" s="67" t="s">
        <v>12</v>
      </c>
      <c r="C1292" s="48">
        <f>SUBTOTAL(109,Program264[(C)
Program
Costs])</f>
        <v>10596055</v>
      </c>
      <c r="D1292" s="48">
        <f>SUBTOTAL(109,Program264[(D)
Prior Period Adjustments])</f>
        <v>50368</v>
      </c>
      <c r="E1292" s="48">
        <f>SUBTOTAL(109,Program264[(E)
Current Period Desk 
Reviews])</f>
        <v>0</v>
      </c>
      <c r="F1292" s="48">
        <f>SUBTOTAL(109,Program264[(F)
Current Period 
Final 
Audits])</f>
        <v>0</v>
      </c>
      <c r="G1292" s="48">
        <f>SUBTOTAL(109,Program264[(G)
Current Period 
Other Adjustments])</f>
        <v>-1589</v>
      </c>
      <c r="H1292" s="48">
        <f>SUBTOTAL(109,Program264[(H)
Net Program Costs
Sum (C through G)])</f>
        <v>10644834</v>
      </c>
      <c r="I1292" s="48">
        <f>SUBTOTAL(109,Program264[(I)
Payments
 and Offsets])</f>
        <v>-9845471</v>
      </c>
      <c r="J1292" s="48">
        <f>SUBTOTAL(109,Program264[(J)
Accounts Payable Balance
(H + I)])</f>
        <v>799363</v>
      </c>
      <c r="K1292" s="48">
        <f>SUBTOTAL(109,Program264[(K)
Established 
Accounts Receivable])</f>
        <v>0</v>
      </c>
      <c r="L1292" s="48">
        <f>SUBTOTAL(109,Program264[(L)
Recovered
 Accounts Receivable])</f>
        <v>0</v>
      </c>
      <c r="M1292" s="48">
        <f>SUBTOTAL(109,Program264[(M)
Accounts Receivable Balance
(K + L)])</f>
        <v>0</v>
      </c>
      <c r="N1292" s="48">
        <f>SUBTOTAL(109,Program264[(N)
Net Balance
(J minus M)])</f>
        <v>799363</v>
      </c>
    </row>
    <row r="1293" spans="1:14" outlineLevel="2" x14ac:dyDescent="0.35">
      <c r="A1293" s="63" t="s">
        <v>33</v>
      </c>
      <c r="B1293" s="62"/>
      <c r="C1293" s="61"/>
      <c r="D1293" s="61"/>
      <c r="E1293" s="61"/>
      <c r="F1293" s="61"/>
      <c r="G1293" s="61"/>
      <c r="H1293" s="61"/>
      <c r="I1293" s="61"/>
      <c r="J1293" s="61"/>
      <c r="K1293" s="61"/>
      <c r="L1293" s="61"/>
      <c r="M1293" s="61"/>
      <c r="N1293" s="61"/>
    </row>
    <row r="1294" spans="1:14" ht="77.5" outlineLevel="2" x14ac:dyDescent="0.35">
      <c r="A1294" s="60" t="s">
        <v>185</v>
      </c>
      <c r="B1294" s="59" t="s">
        <v>184</v>
      </c>
      <c r="C1294" s="58" t="s">
        <v>183</v>
      </c>
      <c r="D1294" s="58" t="s">
        <v>182</v>
      </c>
      <c r="E1294" s="56" t="s">
        <v>181</v>
      </c>
      <c r="F1294" s="56" t="s">
        <v>180</v>
      </c>
      <c r="G1294" s="56" t="s">
        <v>179</v>
      </c>
      <c r="H1294" s="57" t="s">
        <v>674</v>
      </c>
      <c r="I1294" s="55" t="s">
        <v>178</v>
      </c>
      <c r="J1294" s="55" t="s">
        <v>177</v>
      </c>
      <c r="K1294" s="56" t="s">
        <v>176</v>
      </c>
      <c r="L1294" s="55" t="s">
        <v>175</v>
      </c>
      <c r="M1294" s="55" t="s">
        <v>174</v>
      </c>
      <c r="N1294" s="54" t="s">
        <v>173</v>
      </c>
    </row>
    <row r="1295" spans="1:14" outlineLevel="1" x14ac:dyDescent="0.35">
      <c r="A1295" s="53" t="s">
        <v>262</v>
      </c>
      <c r="B1295" s="66" t="s">
        <v>215</v>
      </c>
      <c r="C1295" s="51">
        <v>6606478</v>
      </c>
      <c r="D1295" s="51">
        <v>0</v>
      </c>
      <c r="E1295" s="51">
        <v>0</v>
      </c>
      <c r="F1295" s="51">
        <v>0</v>
      </c>
      <c r="G1295" s="51">
        <v>0</v>
      </c>
      <c r="H1295" s="51">
        <v>6606478</v>
      </c>
      <c r="I1295" s="51">
        <v>0</v>
      </c>
      <c r="J1295" s="51">
        <v>6606478</v>
      </c>
      <c r="K1295" s="51">
        <v>0</v>
      </c>
      <c r="L1295" s="51">
        <v>0</v>
      </c>
      <c r="M1295" s="51">
        <v>0</v>
      </c>
      <c r="N1295" s="51">
        <v>6606478</v>
      </c>
    </row>
    <row r="1296" spans="1:14" outlineLevel="2" x14ac:dyDescent="0.35">
      <c r="A1296" s="53" t="s">
        <v>262</v>
      </c>
      <c r="B1296" s="66" t="s">
        <v>214</v>
      </c>
      <c r="C1296" s="51">
        <v>7063265</v>
      </c>
      <c r="D1296" s="51">
        <v>234</v>
      </c>
      <c r="E1296" s="51">
        <v>0</v>
      </c>
      <c r="F1296" s="51">
        <v>0</v>
      </c>
      <c r="G1296" s="51">
        <v>-7052</v>
      </c>
      <c r="H1296" s="51">
        <v>7056447</v>
      </c>
      <c r="I1296" s="51">
        <v>0</v>
      </c>
      <c r="J1296" s="51">
        <v>7056447</v>
      </c>
      <c r="K1296" s="51">
        <v>0</v>
      </c>
      <c r="L1296" s="51">
        <v>0</v>
      </c>
      <c r="M1296" s="51">
        <v>0</v>
      </c>
      <c r="N1296" s="51">
        <v>7056447</v>
      </c>
    </row>
    <row r="1297" spans="1:14" outlineLevel="1" x14ac:dyDescent="0.35">
      <c r="A1297" s="53" t="s">
        <v>262</v>
      </c>
      <c r="B1297" s="66" t="s">
        <v>212</v>
      </c>
      <c r="C1297" s="51">
        <v>6175792</v>
      </c>
      <c r="D1297" s="51">
        <v>-8485</v>
      </c>
      <c r="E1297" s="51">
        <v>0</v>
      </c>
      <c r="F1297" s="51">
        <v>0</v>
      </c>
      <c r="G1297" s="51">
        <v>0</v>
      </c>
      <c r="H1297" s="51">
        <v>6167307</v>
      </c>
      <c r="I1297" s="51">
        <v>0</v>
      </c>
      <c r="J1297" s="51">
        <v>6167307</v>
      </c>
      <c r="K1297" s="51">
        <v>0</v>
      </c>
      <c r="L1297" s="51">
        <v>0</v>
      </c>
      <c r="M1297" s="51">
        <v>0</v>
      </c>
      <c r="N1297" s="51">
        <v>6167307</v>
      </c>
    </row>
    <row r="1298" spans="1:14" outlineLevel="1" x14ac:dyDescent="0.35">
      <c r="A1298" s="53" t="s">
        <v>262</v>
      </c>
      <c r="B1298" s="66" t="s">
        <v>220</v>
      </c>
      <c r="C1298" s="51">
        <v>6788442</v>
      </c>
      <c r="D1298" s="51">
        <v>-6524</v>
      </c>
      <c r="E1298" s="51">
        <v>0</v>
      </c>
      <c r="F1298" s="51">
        <v>0</v>
      </c>
      <c r="G1298" s="51">
        <v>0</v>
      </c>
      <c r="H1298" s="51">
        <v>6781918</v>
      </c>
      <c r="I1298" s="51">
        <v>0</v>
      </c>
      <c r="J1298" s="51">
        <v>6781918</v>
      </c>
      <c r="K1298" s="51">
        <v>0</v>
      </c>
      <c r="L1298" s="51">
        <v>0</v>
      </c>
      <c r="M1298" s="51">
        <v>0</v>
      </c>
      <c r="N1298" s="51">
        <v>6781918</v>
      </c>
    </row>
    <row r="1299" spans="1:14" outlineLevel="2" x14ac:dyDescent="0.35">
      <c r="A1299" s="53" t="s">
        <v>262</v>
      </c>
      <c r="B1299" s="66" t="s">
        <v>219</v>
      </c>
      <c r="C1299" s="51">
        <v>6766069</v>
      </c>
      <c r="D1299" s="51">
        <v>-647504</v>
      </c>
      <c r="E1299" s="51">
        <v>0</v>
      </c>
      <c r="F1299" s="51">
        <v>0</v>
      </c>
      <c r="G1299" s="51">
        <v>0</v>
      </c>
      <c r="H1299" s="51">
        <v>6118565</v>
      </c>
      <c r="I1299" s="51">
        <v>0</v>
      </c>
      <c r="J1299" s="51">
        <v>6118565</v>
      </c>
      <c r="K1299" s="51">
        <v>0</v>
      </c>
      <c r="L1299" s="51">
        <v>0</v>
      </c>
      <c r="M1299" s="51">
        <v>0</v>
      </c>
      <c r="N1299" s="51">
        <v>6118565</v>
      </c>
    </row>
    <row r="1300" spans="1:14" outlineLevel="2" x14ac:dyDescent="0.35">
      <c r="A1300" s="53" t="s">
        <v>262</v>
      </c>
      <c r="B1300" s="66" t="s">
        <v>218</v>
      </c>
      <c r="C1300" s="51">
        <v>6499623</v>
      </c>
      <c r="D1300" s="51">
        <v>-485067</v>
      </c>
      <c r="E1300" s="51">
        <v>0</v>
      </c>
      <c r="F1300" s="51">
        <v>0</v>
      </c>
      <c r="G1300" s="51">
        <v>0</v>
      </c>
      <c r="H1300" s="51">
        <v>6014556</v>
      </c>
      <c r="I1300" s="51">
        <v>0</v>
      </c>
      <c r="J1300" s="51">
        <v>6014556</v>
      </c>
      <c r="K1300" s="51">
        <v>0</v>
      </c>
      <c r="L1300" s="51">
        <v>0</v>
      </c>
      <c r="M1300" s="51">
        <v>0</v>
      </c>
      <c r="N1300" s="51">
        <v>6014556</v>
      </c>
    </row>
    <row r="1301" spans="1:14" outlineLevel="2" x14ac:dyDescent="0.35">
      <c r="A1301" s="53" t="s">
        <v>262</v>
      </c>
      <c r="B1301" s="66" t="s">
        <v>209</v>
      </c>
      <c r="C1301" s="51">
        <v>10479858</v>
      </c>
      <c r="D1301" s="51">
        <v>-5017892</v>
      </c>
      <c r="E1301" s="51">
        <v>0</v>
      </c>
      <c r="F1301" s="51">
        <v>0</v>
      </c>
      <c r="G1301" s="51">
        <v>0</v>
      </c>
      <c r="H1301" s="51">
        <v>5461966</v>
      </c>
      <c r="I1301" s="51">
        <v>0</v>
      </c>
      <c r="J1301" s="51">
        <v>5461966</v>
      </c>
      <c r="K1301" s="51">
        <v>0</v>
      </c>
      <c r="L1301" s="51">
        <v>0</v>
      </c>
      <c r="M1301" s="51">
        <v>0</v>
      </c>
      <c r="N1301" s="51">
        <v>5461966</v>
      </c>
    </row>
    <row r="1302" spans="1:14" outlineLevel="2" x14ac:dyDescent="0.35">
      <c r="A1302" s="53" t="s">
        <v>262</v>
      </c>
      <c r="B1302" s="66" t="s">
        <v>208</v>
      </c>
      <c r="C1302" s="51">
        <v>10817516</v>
      </c>
      <c r="D1302" s="51">
        <v>-5056570</v>
      </c>
      <c r="E1302" s="51">
        <v>0</v>
      </c>
      <c r="F1302" s="51">
        <v>0</v>
      </c>
      <c r="G1302" s="51">
        <v>0</v>
      </c>
      <c r="H1302" s="51">
        <v>5760946</v>
      </c>
      <c r="I1302" s="51">
        <v>0</v>
      </c>
      <c r="J1302" s="51">
        <v>5760946</v>
      </c>
      <c r="K1302" s="51">
        <v>0</v>
      </c>
      <c r="L1302" s="51">
        <v>0</v>
      </c>
      <c r="M1302" s="51">
        <v>0</v>
      </c>
      <c r="N1302" s="51">
        <v>5760946</v>
      </c>
    </row>
    <row r="1303" spans="1:14" outlineLevel="2" x14ac:dyDescent="0.35">
      <c r="A1303" s="53" t="s">
        <v>262</v>
      </c>
      <c r="B1303" s="66" t="s">
        <v>206</v>
      </c>
      <c r="C1303" s="51">
        <v>6352422</v>
      </c>
      <c r="D1303" s="51">
        <v>-327293</v>
      </c>
      <c r="E1303" s="51">
        <v>0</v>
      </c>
      <c r="F1303" s="51">
        <v>0</v>
      </c>
      <c r="G1303" s="51">
        <v>0</v>
      </c>
      <c r="H1303" s="51">
        <v>6025129</v>
      </c>
      <c r="I1303" s="51">
        <v>0</v>
      </c>
      <c r="J1303" s="51">
        <v>6025129</v>
      </c>
      <c r="K1303" s="51">
        <v>0</v>
      </c>
      <c r="L1303" s="51">
        <v>0</v>
      </c>
      <c r="M1303" s="51">
        <v>0</v>
      </c>
      <c r="N1303" s="51">
        <v>6025129</v>
      </c>
    </row>
    <row r="1304" spans="1:14" outlineLevel="2" x14ac:dyDescent="0.35">
      <c r="A1304" s="53" t="s">
        <v>262</v>
      </c>
      <c r="B1304" s="66" t="s">
        <v>205</v>
      </c>
      <c r="C1304" s="51">
        <v>6663950</v>
      </c>
      <c r="D1304" s="51">
        <v>-160246</v>
      </c>
      <c r="E1304" s="51">
        <v>0</v>
      </c>
      <c r="F1304" s="51">
        <v>0</v>
      </c>
      <c r="G1304" s="51">
        <v>0</v>
      </c>
      <c r="H1304" s="51">
        <v>6503704</v>
      </c>
      <c r="I1304" s="51">
        <v>0</v>
      </c>
      <c r="J1304" s="51">
        <v>6503704</v>
      </c>
      <c r="K1304" s="51">
        <v>0</v>
      </c>
      <c r="L1304" s="51">
        <v>0</v>
      </c>
      <c r="M1304" s="51">
        <v>0</v>
      </c>
      <c r="N1304" s="51">
        <v>6503704</v>
      </c>
    </row>
    <row r="1305" spans="1:14" outlineLevel="2" x14ac:dyDescent="0.35">
      <c r="A1305" s="53" t="s">
        <v>262</v>
      </c>
      <c r="B1305" s="66" t="s">
        <v>204</v>
      </c>
      <c r="C1305" s="51">
        <v>12830401</v>
      </c>
      <c r="D1305" s="51">
        <v>-6391913</v>
      </c>
      <c r="E1305" s="51">
        <v>0</v>
      </c>
      <c r="F1305" s="51">
        <v>0</v>
      </c>
      <c r="G1305" s="51">
        <v>0</v>
      </c>
      <c r="H1305" s="51">
        <v>6438488</v>
      </c>
      <c r="I1305" s="51">
        <v>0</v>
      </c>
      <c r="J1305" s="51">
        <v>6438488</v>
      </c>
      <c r="K1305" s="51">
        <v>0</v>
      </c>
      <c r="L1305" s="51">
        <v>0</v>
      </c>
      <c r="M1305" s="51">
        <v>0</v>
      </c>
      <c r="N1305" s="51">
        <v>6438488</v>
      </c>
    </row>
    <row r="1306" spans="1:14" outlineLevel="2" x14ac:dyDescent="0.35">
      <c r="A1306" s="53" t="s">
        <v>262</v>
      </c>
      <c r="B1306" s="66" t="s">
        <v>203</v>
      </c>
      <c r="C1306" s="51">
        <v>17587042</v>
      </c>
      <c r="D1306" s="51">
        <v>-8375682</v>
      </c>
      <c r="E1306" s="51">
        <v>0</v>
      </c>
      <c r="F1306" s="51">
        <v>0</v>
      </c>
      <c r="G1306" s="51">
        <v>0</v>
      </c>
      <c r="H1306" s="51">
        <v>9211360</v>
      </c>
      <c r="I1306" s="51">
        <v>0</v>
      </c>
      <c r="J1306" s="51">
        <v>9211360</v>
      </c>
      <c r="K1306" s="51">
        <v>0</v>
      </c>
      <c r="L1306" s="51">
        <v>0</v>
      </c>
      <c r="M1306" s="51">
        <v>0</v>
      </c>
      <c r="N1306" s="51">
        <v>9211360</v>
      </c>
    </row>
    <row r="1307" spans="1:14" outlineLevel="2" x14ac:dyDescent="0.35">
      <c r="A1307" s="53" t="s">
        <v>262</v>
      </c>
      <c r="B1307" s="66" t="s">
        <v>202</v>
      </c>
      <c r="C1307" s="51">
        <v>17753361</v>
      </c>
      <c r="D1307" s="51">
        <v>-7906496</v>
      </c>
      <c r="E1307" s="51">
        <v>0</v>
      </c>
      <c r="F1307" s="51">
        <v>0</v>
      </c>
      <c r="G1307" s="51">
        <v>0</v>
      </c>
      <c r="H1307" s="51">
        <v>9846865</v>
      </c>
      <c r="I1307" s="51">
        <v>-7917464</v>
      </c>
      <c r="J1307" s="51">
        <v>1929401</v>
      </c>
      <c r="K1307" s="51">
        <v>10543101</v>
      </c>
      <c r="L1307" s="51">
        <v>-10543101</v>
      </c>
      <c r="M1307" s="51">
        <v>0</v>
      </c>
      <c r="N1307" s="51">
        <v>1929401</v>
      </c>
    </row>
    <row r="1308" spans="1:14" outlineLevel="2" x14ac:dyDescent="0.35">
      <c r="A1308" s="53" t="s">
        <v>262</v>
      </c>
      <c r="B1308" s="66" t="s">
        <v>201</v>
      </c>
      <c r="C1308" s="51">
        <v>23090363</v>
      </c>
      <c r="D1308" s="51">
        <v>-9780138</v>
      </c>
      <c r="E1308" s="51">
        <v>0</v>
      </c>
      <c r="F1308" s="51">
        <v>0</v>
      </c>
      <c r="G1308" s="51">
        <v>0</v>
      </c>
      <c r="H1308" s="51">
        <v>13310225</v>
      </c>
      <c r="I1308" s="51">
        <v>-11075800</v>
      </c>
      <c r="J1308" s="51">
        <v>2234425</v>
      </c>
      <c r="K1308" s="51">
        <v>6047022</v>
      </c>
      <c r="L1308" s="51">
        <v>-6047022</v>
      </c>
      <c r="M1308" s="51">
        <v>0</v>
      </c>
      <c r="N1308" s="51">
        <v>2234425</v>
      </c>
    </row>
    <row r="1309" spans="1:14" outlineLevel="2" x14ac:dyDescent="0.35">
      <c r="A1309" s="53" t="s">
        <v>262</v>
      </c>
      <c r="B1309" s="66" t="s">
        <v>200</v>
      </c>
      <c r="C1309" s="51">
        <v>24529434</v>
      </c>
      <c r="D1309" s="51">
        <v>-11342356</v>
      </c>
      <c r="E1309" s="51">
        <v>0</v>
      </c>
      <c r="F1309" s="51">
        <v>0</v>
      </c>
      <c r="G1309" s="51">
        <v>0</v>
      </c>
      <c r="H1309" s="51">
        <v>13187078</v>
      </c>
      <c r="I1309" s="51">
        <v>0</v>
      </c>
      <c r="J1309" s="51">
        <v>13187078</v>
      </c>
      <c r="K1309" s="51">
        <v>0</v>
      </c>
      <c r="L1309" s="51">
        <v>0</v>
      </c>
      <c r="M1309" s="51">
        <v>0</v>
      </c>
      <c r="N1309" s="51">
        <v>13187078</v>
      </c>
    </row>
    <row r="1310" spans="1:14" outlineLevel="1" x14ac:dyDescent="0.35">
      <c r="A1310" s="53" t="s">
        <v>262</v>
      </c>
      <c r="B1310" s="66" t="s">
        <v>199</v>
      </c>
      <c r="C1310" s="51">
        <v>29025196</v>
      </c>
      <c r="D1310" s="51">
        <v>-19350288</v>
      </c>
      <c r="E1310" s="51">
        <v>0</v>
      </c>
      <c r="F1310" s="51">
        <v>0</v>
      </c>
      <c r="G1310" s="51">
        <v>0</v>
      </c>
      <c r="H1310" s="51">
        <v>9674908</v>
      </c>
      <c r="I1310" s="51">
        <v>-9674908</v>
      </c>
      <c r="J1310" s="51">
        <v>0</v>
      </c>
      <c r="K1310" s="51">
        <v>0</v>
      </c>
      <c r="L1310" s="51">
        <v>0</v>
      </c>
      <c r="M1310" s="51">
        <v>0</v>
      </c>
      <c r="N1310" s="51">
        <v>0</v>
      </c>
    </row>
    <row r="1311" spans="1:14" outlineLevel="1" x14ac:dyDescent="0.35">
      <c r="A1311" s="53" t="s">
        <v>262</v>
      </c>
      <c r="B1311" s="66" t="s">
        <v>198</v>
      </c>
      <c r="C1311" s="51">
        <v>27886756</v>
      </c>
      <c r="D1311" s="51">
        <v>-12138986</v>
      </c>
      <c r="E1311" s="51">
        <v>0</v>
      </c>
      <c r="F1311" s="51">
        <v>0</v>
      </c>
      <c r="G1311" s="51">
        <v>0</v>
      </c>
      <c r="H1311" s="51">
        <v>15747770</v>
      </c>
      <c r="I1311" s="51">
        <v>-15747770</v>
      </c>
      <c r="J1311" s="51">
        <v>0</v>
      </c>
      <c r="K1311" s="51">
        <v>78</v>
      </c>
      <c r="L1311" s="51">
        <v>-78</v>
      </c>
      <c r="M1311" s="51">
        <v>0</v>
      </c>
      <c r="N1311" s="51">
        <v>0</v>
      </c>
    </row>
    <row r="1312" spans="1:14" outlineLevel="2" x14ac:dyDescent="0.35">
      <c r="A1312" s="53" t="s">
        <v>262</v>
      </c>
      <c r="B1312" s="66" t="s">
        <v>197</v>
      </c>
      <c r="C1312" s="51">
        <v>36547698</v>
      </c>
      <c r="D1312" s="51">
        <v>-22099429</v>
      </c>
      <c r="E1312" s="51">
        <v>0</v>
      </c>
      <c r="F1312" s="51">
        <v>0</v>
      </c>
      <c r="G1312" s="51">
        <v>0</v>
      </c>
      <c r="H1312" s="51">
        <v>14448269</v>
      </c>
      <c r="I1312" s="51">
        <v>-14448269</v>
      </c>
      <c r="J1312" s="51">
        <v>0</v>
      </c>
      <c r="K1312" s="51">
        <v>0</v>
      </c>
      <c r="L1312" s="51">
        <v>0</v>
      </c>
      <c r="M1312" s="51">
        <v>0</v>
      </c>
      <c r="N1312" s="51">
        <v>0</v>
      </c>
    </row>
    <row r="1313" spans="1:14" outlineLevel="2" x14ac:dyDescent="0.35">
      <c r="A1313" s="53" t="s">
        <v>262</v>
      </c>
      <c r="B1313" s="66" t="s">
        <v>196</v>
      </c>
      <c r="C1313" s="51">
        <v>40029528</v>
      </c>
      <c r="D1313" s="51">
        <v>-25357771</v>
      </c>
      <c r="E1313" s="51">
        <v>0</v>
      </c>
      <c r="F1313" s="51">
        <v>0</v>
      </c>
      <c r="G1313" s="51">
        <v>0</v>
      </c>
      <c r="H1313" s="51">
        <v>14671757</v>
      </c>
      <c r="I1313" s="51">
        <v>-14671757</v>
      </c>
      <c r="J1313" s="51">
        <v>0</v>
      </c>
      <c r="K1313" s="51">
        <v>5245281</v>
      </c>
      <c r="L1313" s="51">
        <v>-5245281</v>
      </c>
      <c r="M1313" s="51">
        <v>0</v>
      </c>
      <c r="N1313" s="51">
        <v>0</v>
      </c>
    </row>
    <row r="1314" spans="1:14" outlineLevel="2" x14ac:dyDescent="0.35">
      <c r="A1314" s="53" t="s">
        <v>262</v>
      </c>
      <c r="B1314" s="66" t="s">
        <v>195</v>
      </c>
      <c r="C1314" s="51">
        <v>34186573</v>
      </c>
      <c r="D1314" s="51">
        <v>-19708019</v>
      </c>
      <c r="E1314" s="51">
        <v>0</v>
      </c>
      <c r="F1314" s="51">
        <v>0</v>
      </c>
      <c r="G1314" s="51">
        <v>0</v>
      </c>
      <c r="H1314" s="51">
        <v>14478554</v>
      </c>
      <c r="I1314" s="51">
        <v>-14478554</v>
      </c>
      <c r="J1314" s="51">
        <v>0</v>
      </c>
      <c r="K1314" s="51">
        <v>5889090</v>
      </c>
      <c r="L1314" s="51">
        <v>-5889090</v>
      </c>
      <c r="M1314" s="51">
        <v>0</v>
      </c>
      <c r="N1314" s="51">
        <v>0</v>
      </c>
    </row>
    <row r="1315" spans="1:14" outlineLevel="2" x14ac:dyDescent="0.35">
      <c r="A1315" s="53" t="s">
        <v>262</v>
      </c>
      <c r="B1315" s="66" t="s">
        <v>194</v>
      </c>
      <c r="C1315" s="51">
        <v>28335925</v>
      </c>
      <c r="D1315" s="51">
        <v>-13866737</v>
      </c>
      <c r="E1315" s="51">
        <v>0</v>
      </c>
      <c r="F1315" s="51">
        <v>0</v>
      </c>
      <c r="G1315" s="51">
        <v>0</v>
      </c>
      <c r="H1315" s="51">
        <v>14469188</v>
      </c>
      <c r="I1315" s="51">
        <v>-14469188</v>
      </c>
      <c r="J1315" s="51">
        <v>0</v>
      </c>
      <c r="K1315" s="51">
        <v>5357016</v>
      </c>
      <c r="L1315" s="51">
        <v>-5357016</v>
      </c>
      <c r="M1315" s="51">
        <v>0</v>
      </c>
      <c r="N1315" s="51">
        <v>0</v>
      </c>
    </row>
    <row r="1316" spans="1:14" outlineLevel="2" x14ac:dyDescent="0.35">
      <c r="A1316" s="53" t="s">
        <v>262</v>
      </c>
      <c r="B1316" s="66" t="s">
        <v>193</v>
      </c>
      <c r="C1316" s="51">
        <v>22933945</v>
      </c>
      <c r="D1316" s="51">
        <v>-10065636</v>
      </c>
      <c r="E1316" s="51">
        <v>0</v>
      </c>
      <c r="F1316" s="51">
        <v>0</v>
      </c>
      <c r="G1316" s="51">
        <v>0</v>
      </c>
      <c r="H1316" s="51">
        <v>12868309</v>
      </c>
      <c r="I1316" s="51">
        <v>-12868309</v>
      </c>
      <c r="J1316" s="51">
        <v>0</v>
      </c>
      <c r="K1316" s="51">
        <v>3359034</v>
      </c>
      <c r="L1316" s="51">
        <v>-3359034</v>
      </c>
      <c r="M1316" s="51">
        <v>0</v>
      </c>
      <c r="N1316" s="51">
        <v>0</v>
      </c>
    </row>
    <row r="1317" spans="1:14" outlineLevel="1" x14ac:dyDescent="0.35">
      <c r="A1317" s="53" t="s">
        <v>262</v>
      </c>
      <c r="B1317" s="66" t="s">
        <v>192</v>
      </c>
      <c r="C1317" s="51">
        <v>21614501</v>
      </c>
      <c r="D1317" s="51">
        <v>-7637534</v>
      </c>
      <c r="E1317" s="51">
        <v>0</v>
      </c>
      <c r="F1317" s="51">
        <v>0</v>
      </c>
      <c r="G1317" s="51">
        <v>0</v>
      </c>
      <c r="H1317" s="51">
        <v>13976967</v>
      </c>
      <c r="I1317" s="51">
        <v>-13976967</v>
      </c>
      <c r="J1317" s="51">
        <v>0</v>
      </c>
      <c r="K1317" s="51">
        <v>2223826</v>
      </c>
      <c r="L1317" s="51">
        <v>-2223826</v>
      </c>
      <c r="M1317" s="51">
        <v>0</v>
      </c>
      <c r="N1317" s="51">
        <v>0</v>
      </c>
    </row>
    <row r="1318" spans="1:14" outlineLevel="2" x14ac:dyDescent="0.35">
      <c r="A1318" s="53" t="s">
        <v>262</v>
      </c>
      <c r="B1318" s="66" t="s">
        <v>191</v>
      </c>
      <c r="C1318" s="51">
        <v>21045170</v>
      </c>
      <c r="D1318" s="51">
        <v>-8773218</v>
      </c>
      <c r="E1318" s="51">
        <v>0</v>
      </c>
      <c r="F1318" s="51">
        <v>0</v>
      </c>
      <c r="G1318" s="51">
        <v>0</v>
      </c>
      <c r="H1318" s="51">
        <v>12271952</v>
      </c>
      <c r="I1318" s="51">
        <v>-12271952</v>
      </c>
      <c r="J1318" s="51">
        <v>0</v>
      </c>
      <c r="K1318" s="51">
        <v>2521286</v>
      </c>
      <c r="L1318" s="51">
        <v>-2521286</v>
      </c>
      <c r="M1318" s="51">
        <v>0</v>
      </c>
      <c r="N1318" s="51">
        <v>0</v>
      </c>
    </row>
    <row r="1319" spans="1:14" outlineLevel="2" x14ac:dyDescent="0.35">
      <c r="A1319" s="53" t="s">
        <v>262</v>
      </c>
      <c r="B1319" s="66" t="s">
        <v>190</v>
      </c>
      <c r="C1319" s="51">
        <v>18386343</v>
      </c>
      <c r="D1319" s="51">
        <v>-8367375</v>
      </c>
      <c r="E1319" s="51">
        <v>0</v>
      </c>
      <c r="F1319" s="51">
        <v>0</v>
      </c>
      <c r="G1319" s="51">
        <v>0</v>
      </c>
      <c r="H1319" s="51">
        <v>10018968</v>
      </c>
      <c r="I1319" s="51">
        <v>-10018968</v>
      </c>
      <c r="J1319" s="51">
        <v>0</v>
      </c>
      <c r="K1319" s="51">
        <v>2220331</v>
      </c>
      <c r="L1319" s="51">
        <v>-2220331</v>
      </c>
      <c r="M1319" s="51">
        <v>0</v>
      </c>
      <c r="N1319" s="51">
        <v>0</v>
      </c>
    </row>
    <row r="1320" spans="1:14" ht="16" outlineLevel="2" thickBot="1" x14ac:dyDescent="0.4">
      <c r="A1320" s="50" t="s">
        <v>84</v>
      </c>
      <c r="B1320" s="67" t="s">
        <v>12</v>
      </c>
      <c r="C1320" s="48">
        <f>SUBTOTAL(109,Program187[(C)
Program
Costs])</f>
        <v>449995651</v>
      </c>
      <c r="D1320" s="48">
        <f>SUBTOTAL(109,Program187[(D)
Prior Period Adjustments])</f>
        <v>-202870925</v>
      </c>
      <c r="E1320" s="48">
        <f>SUBTOTAL(109,Program187[(E)
Current Period Desk 
Reviews])</f>
        <v>0</v>
      </c>
      <c r="F1320" s="48">
        <f>SUBTOTAL(109,Program187[(F)
Current Period 
Final 
Audits])</f>
        <v>0</v>
      </c>
      <c r="G1320" s="48">
        <f>SUBTOTAL(109,Program187[(G)
Current Period 
Other Adjustments])</f>
        <v>-7052</v>
      </c>
      <c r="H1320" s="48">
        <f>SUBTOTAL(109,Program187[(H)
Net Program Costs
Sum (C through G)])</f>
        <v>247117674</v>
      </c>
      <c r="I1320" s="48">
        <f>SUBTOTAL(109,Program187[(I)
Payments
 and Offsets])</f>
        <v>-151619906</v>
      </c>
      <c r="J1320" s="48">
        <f>SUBTOTAL(109,Program187[(J)
Accounts Payable Balance
(H + I)])</f>
        <v>95497768</v>
      </c>
      <c r="K1320" s="48">
        <f>SUBTOTAL(109,Program187[(K)
Established 
Accounts Receivable])</f>
        <v>43406065</v>
      </c>
      <c r="L1320" s="48">
        <f>SUBTOTAL(109,Program187[(L)
Recovered
 Accounts Receivable])</f>
        <v>-43406065</v>
      </c>
      <c r="M1320" s="48">
        <f>SUBTOTAL(109,Program187[(M)
Accounts Receivable Balance
(K + L)])</f>
        <v>0</v>
      </c>
      <c r="N1320" s="48">
        <f>SUBTOTAL(109,Program187[(N)
Net Balance
(J minus M)])</f>
        <v>95497768</v>
      </c>
    </row>
    <row r="1321" spans="1:14" outlineLevel="2" x14ac:dyDescent="0.35">
      <c r="A1321" s="63" t="s">
        <v>33</v>
      </c>
      <c r="B1321" s="62"/>
      <c r="C1321" s="61"/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</row>
    <row r="1322" spans="1:14" ht="77.5" outlineLevel="1" x14ac:dyDescent="0.35">
      <c r="A1322" s="60" t="s">
        <v>185</v>
      </c>
      <c r="B1322" s="59" t="s">
        <v>184</v>
      </c>
      <c r="C1322" s="58" t="s">
        <v>183</v>
      </c>
      <c r="D1322" s="58" t="s">
        <v>182</v>
      </c>
      <c r="E1322" s="56" t="s">
        <v>181</v>
      </c>
      <c r="F1322" s="56" t="s">
        <v>180</v>
      </c>
      <c r="G1322" s="56" t="s">
        <v>179</v>
      </c>
      <c r="H1322" s="57" t="s">
        <v>674</v>
      </c>
      <c r="I1322" s="55" t="s">
        <v>178</v>
      </c>
      <c r="J1322" s="55" t="s">
        <v>177</v>
      </c>
      <c r="K1322" s="56" t="s">
        <v>176</v>
      </c>
      <c r="L1322" s="55" t="s">
        <v>175</v>
      </c>
      <c r="M1322" s="55" t="s">
        <v>174</v>
      </c>
      <c r="N1322" s="54" t="s">
        <v>173</v>
      </c>
    </row>
    <row r="1323" spans="1:14" outlineLevel="1" x14ac:dyDescent="0.35">
      <c r="A1323" s="53" t="s">
        <v>261</v>
      </c>
      <c r="B1323" s="66" t="s">
        <v>215</v>
      </c>
      <c r="C1323" s="51">
        <v>659885</v>
      </c>
      <c r="D1323" s="51">
        <v>0</v>
      </c>
      <c r="E1323" s="51">
        <v>0</v>
      </c>
      <c r="F1323" s="51">
        <v>0</v>
      </c>
      <c r="G1323" s="51">
        <v>0</v>
      </c>
      <c r="H1323" s="51">
        <v>659885</v>
      </c>
      <c r="I1323" s="51">
        <v>0</v>
      </c>
      <c r="J1323" s="51">
        <v>659885</v>
      </c>
      <c r="K1323" s="51">
        <v>0</v>
      </c>
      <c r="L1323" s="51">
        <v>0</v>
      </c>
      <c r="M1323" s="51">
        <v>0</v>
      </c>
      <c r="N1323" s="51">
        <v>659885</v>
      </c>
    </row>
    <row r="1324" spans="1:14" outlineLevel="2" x14ac:dyDescent="0.35">
      <c r="A1324" s="53" t="s">
        <v>261</v>
      </c>
      <c r="B1324" s="66" t="s">
        <v>214</v>
      </c>
      <c r="C1324" s="51">
        <v>670903</v>
      </c>
      <c r="D1324" s="51">
        <v>0</v>
      </c>
      <c r="E1324" s="51">
        <v>0</v>
      </c>
      <c r="F1324" s="51">
        <v>0</v>
      </c>
      <c r="G1324" s="51">
        <v>-1250</v>
      </c>
      <c r="H1324" s="51">
        <v>669653</v>
      </c>
      <c r="I1324" s="51">
        <v>0</v>
      </c>
      <c r="J1324" s="51">
        <v>669653</v>
      </c>
      <c r="K1324" s="51">
        <v>0</v>
      </c>
      <c r="L1324" s="51">
        <v>0</v>
      </c>
      <c r="M1324" s="51">
        <v>0</v>
      </c>
      <c r="N1324" s="51">
        <v>669653</v>
      </c>
    </row>
    <row r="1325" spans="1:14" outlineLevel="2" x14ac:dyDescent="0.35">
      <c r="A1325" s="53" t="s">
        <v>261</v>
      </c>
      <c r="B1325" s="66" t="s">
        <v>212</v>
      </c>
      <c r="C1325" s="51">
        <v>618726</v>
      </c>
      <c r="D1325" s="51">
        <v>-370</v>
      </c>
      <c r="E1325" s="51">
        <v>0</v>
      </c>
      <c r="F1325" s="51">
        <v>0</v>
      </c>
      <c r="G1325" s="51">
        <v>0</v>
      </c>
      <c r="H1325" s="51">
        <v>618356</v>
      </c>
      <c r="I1325" s="51">
        <v>0</v>
      </c>
      <c r="J1325" s="51">
        <v>618356</v>
      </c>
      <c r="K1325" s="51">
        <v>0</v>
      </c>
      <c r="L1325" s="51">
        <v>0</v>
      </c>
      <c r="M1325" s="51">
        <v>0</v>
      </c>
      <c r="N1325" s="51">
        <v>618356</v>
      </c>
    </row>
    <row r="1326" spans="1:14" outlineLevel="2" x14ac:dyDescent="0.35">
      <c r="A1326" s="53" t="s">
        <v>261</v>
      </c>
      <c r="B1326" s="66" t="s">
        <v>220</v>
      </c>
      <c r="C1326" s="51">
        <v>538479</v>
      </c>
      <c r="D1326" s="51">
        <v>-275</v>
      </c>
      <c r="E1326" s="51">
        <v>0</v>
      </c>
      <c r="F1326" s="51">
        <v>0</v>
      </c>
      <c r="G1326" s="51">
        <v>0</v>
      </c>
      <c r="H1326" s="51">
        <v>538204</v>
      </c>
      <c r="I1326" s="51">
        <v>0</v>
      </c>
      <c r="J1326" s="51">
        <v>538204</v>
      </c>
      <c r="K1326" s="51">
        <v>0</v>
      </c>
      <c r="L1326" s="51">
        <v>0</v>
      </c>
      <c r="M1326" s="51">
        <v>0</v>
      </c>
      <c r="N1326" s="51">
        <v>538204</v>
      </c>
    </row>
    <row r="1327" spans="1:14" outlineLevel="2" x14ac:dyDescent="0.35">
      <c r="A1327" s="53" t="s">
        <v>261</v>
      </c>
      <c r="B1327" s="66" t="s">
        <v>219</v>
      </c>
      <c r="C1327" s="51">
        <v>503068</v>
      </c>
      <c r="D1327" s="51">
        <v>-1672</v>
      </c>
      <c r="E1327" s="51">
        <v>0</v>
      </c>
      <c r="F1327" s="51">
        <v>0</v>
      </c>
      <c r="G1327" s="51">
        <v>0</v>
      </c>
      <c r="H1327" s="51">
        <v>501396</v>
      </c>
      <c r="I1327" s="51">
        <v>0</v>
      </c>
      <c r="J1327" s="51">
        <v>501396</v>
      </c>
      <c r="K1327" s="51">
        <v>0</v>
      </c>
      <c r="L1327" s="51">
        <v>0</v>
      </c>
      <c r="M1327" s="51">
        <v>0</v>
      </c>
      <c r="N1327" s="51">
        <v>501396</v>
      </c>
    </row>
    <row r="1328" spans="1:14" outlineLevel="2" x14ac:dyDescent="0.35">
      <c r="A1328" s="53" t="s">
        <v>261</v>
      </c>
      <c r="B1328" s="66" t="s">
        <v>218</v>
      </c>
      <c r="C1328" s="51">
        <v>518237</v>
      </c>
      <c r="D1328" s="51">
        <v>-891</v>
      </c>
      <c r="E1328" s="51">
        <v>0</v>
      </c>
      <c r="F1328" s="51">
        <v>0</v>
      </c>
      <c r="G1328" s="51">
        <v>0</v>
      </c>
      <c r="H1328" s="51">
        <v>517346</v>
      </c>
      <c r="I1328" s="51">
        <v>0</v>
      </c>
      <c r="J1328" s="51">
        <v>517346</v>
      </c>
      <c r="K1328" s="51">
        <v>0</v>
      </c>
      <c r="L1328" s="51">
        <v>0</v>
      </c>
      <c r="M1328" s="51">
        <v>0</v>
      </c>
      <c r="N1328" s="51">
        <v>517346</v>
      </c>
    </row>
    <row r="1329" spans="1:14" outlineLevel="2" x14ac:dyDescent="0.35">
      <c r="A1329" s="53" t="s">
        <v>261</v>
      </c>
      <c r="B1329" s="66" t="s">
        <v>209</v>
      </c>
      <c r="C1329" s="51">
        <v>418332</v>
      </c>
      <c r="D1329" s="51">
        <v>-6357</v>
      </c>
      <c r="E1329" s="51">
        <v>0</v>
      </c>
      <c r="F1329" s="51">
        <v>0</v>
      </c>
      <c r="G1329" s="51">
        <v>0</v>
      </c>
      <c r="H1329" s="51">
        <v>411975</v>
      </c>
      <c r="I1329" s="51">
        <v>0</v>
      </c>
      <c r="J1329" s="51">
        <v>411975</v>
      </c>
      <c r="K1329" s="51">
        <v>0</v>
      </c>
      <c r="L1329" s="51">
        <v>0</v>
      </c>
      <c r="M1329" s="51">
        <v>0</v>
      </c>
      <c r="N1329" s="51">
        <v>411975</v>
      </c>
    </row>
    <row r="1330" spans="1:14" outlineLevel="2" x14ac:dyDescent="0.35">
      <c r="A1330" s="53" t="s">
        <v>261</v>
      </c>
      <c r="B1330" s="66" t="s">
        <v>208</v>
      </c>
      <c r="C1330" s="51">
        <v>371996</v>
      </c>
      <c r="D1330" s="51">
        <v>-2984</v>
      </c>
      <c r="E1330" s="51">
        <v>0</v>
      </c>
      <c r="F1330" s="51">
        <v>0</v>
      </c>
      <c r="G1330" s="51">
        <v>0</v>
      </c>
      <c r="H1330" s="51">
        <v>369012</v>
      </c>
      <c r="I1330" s="51">
        <v>0</v>
      </c>
      <c r="J1330" s="51">
        <v>369012</v>
      </c>
      <c r="K1330" s="51">
        <v>0</v>
      </c>
      <c r="L1330" s="51">
        <v>0</v>
      </c>
      <c r="M1330" s="51">
        <v>0</v>
      </c>
      <c r="N1330" s="51">
        <v>369012</v>
      </c>
    </row>
    <row r="1331" spans="1:14" outlineLevel="2" x14ac:dyDescent="0.35">
      <c r="A1331" s="53" t="s">
        <v>261</v>
      </c>
      <c r="B1331" s="66" t="s">
        <v>206</v>
      </c>
      <c r="C1331" s="51">
        <v>341603</v>
      </c>
      <c r="D1331" s="51">
        <v>-2212</v>
      </c>
      <c r="E1331" s="51">
        <v>0</v>
      </c>
      <c r="F1331" s="51">
        <v>0</v>
      </c>
      <c r="G1331" s="51">
        <v>0</v>
      </c>
      <c r="H1331" s="51">
        <v>339391</v>
      </c>
      <c r="I1331" s="51">
        <v>0</v>
      </c>
      <c r="J1331" s="51">
        <v>339391</v>
      </c>
      <c r="K1331" s="51">
        <v>0</v>
      </c>
      <c r="L1331" s="51">
        <v>0</v>
      </c>
      <c r="M1331" s="51">
        <v>0</v>
      </c>
      <c r="N1331" s="51">
        <v>339391</v>
      </c>
    </row>
    <row r="1332" spans="1:14" outlineLevel="2" x14ac:dyDescent="0.35">
      <c r="A1332" s="53" t="s">
        <v>261</v>
      </c>
      <c r="B1332" s="66" t="s">
        <v>205</v>
      </c>
      <c r="C1332" s="51">
        <v>420045</v>
      </c>
      <c r="D1332" s="51">
        <v>-1900</v>
      </c>
      <c r="E1332" s="51">
        <v>0</v>
      </c>
      <c r="F1332" s="51">
        <v>0</v>
      </c>
      <c r="G1332" s="51">
        <v>0</v>
      </c>
      <c r="H1332" s="51">
        <v>418145</v>
      </c>
      <c r="I1332" s="51">
        <v>0</v>
      </c>
      <c r="J1332" s="51">
        <v>418145</v>
      </c>
      <c r="K1332" s="51">
        <v>0</v>
      </c>
      <c r="L1332" s="51">
        <v>0</v>
      </c>
      <c r="M1332" s="51">
        <v>0</v>
      </c>
      <c r="N1332" s="51">
        <v>418145</v>
      </c>
    </row>
    <row r="1333" spans="1:14" outlineLevel="2" x14ac:dyDescent="0.35">
      <c r="A1333" s="53" t="s">
        <v>261</v>
      </c>
      <c r="B1333" s="66" t="s">
        <v>204</v>
      </c>
      <c r="C1333" s="51">
        <v>362924</v>
      </c>
      <c r="D1333" s="51">
        <v>-987</v>
      </c>
      <c r="E1333" s="51">
        <v>0</v>
      </c>
      <c r="F1333" s="51">
        <v>0</v>
      </c>
      <c r="G1333" s="51">
        <v>0</v>
      </c>
      <c r="H1333" s="51">
        <v>361937</v>
      </c>
      <c r="I1333" s="51">
        <v>0</v>
      </c>
      <c r="J1333" s="51">
        <v>361937</v>
      </c>
      <c r="K1333" s="51">
        <v>0</v>
      </c>
      <c r="L1333" s="51">
        <v>0</v>
      </c>
      <c r="M1333" s="51">
        <v>0</v>
      </c>
      <c r="N1333" s="51">
        <v>361937</v>
      </c>
    </row>
    <row r="1334" spans="1:14" outlineLevel="2" x14ac:dyDescent="0.35">
      <c r="A1334" s="53" t="s">
        <v>261</v>
      </c>
      <c r="B1334" s="66" t="s">
        <v>203</v>
      </c>
      <c r="C1334" s="51">
        <v>269968</v>
      </c>
      <c r="D1334" s="51">
        <v>-1037</v>
      </c>
      <c r="E1334" s="51">
        <v>0</v>
      </c>
      <c r="F1334" s="51">
        <v>0</v>
      </c>
      <c r="G1334" s="51">
        <v>0</v>
      </c>
      <c r="H1334" s="51">
        <v>268931</v>
      </c>
      <c r="I1334" s="51">
        <v>0</v>
      </c>
      <c r="J1334" s="51">
        <v>268931</v>
      </c>
      <c r="K1334" s="51">
        <v>0</v>
      </c>
      <c r="L1334" s="51">
        <v>0</v>
      </c>
      <c r="M1334" s="51">
        <v>0</v>
      </c>
      <c r="N1334" s="51">
        <v>268931</v>
      </c>
    </row>
    <row r="1335" spans="1:14" outlineLevel="2" x14ac:dyDescent="0.35">
      <c r="A1335" s="53" t="s">
        <v>261</v>
      </c>
      <c r="B1335" s="66" t="s">
        <v>202</v>
      </c>
      <c r="C1335" s="51">
        <v>361954</v>
      </c>
      <c r="D1335" s="51">
        <v>-888</v>
      </c>
      <c r="E1335" s="51">
        <v>0</v>
      </c>
      <c r="F1335" s="51">
        <v>0</v>
      </c>
      <c r="G1335" s="51">
        <v>0</v>
      </c>
      <c r="H1335" s="51">
        <v>361066</v>
      </c>
      <c r="I1335" s="51">
        <v>0</v>
      </c>
      <c r="J1335" s="51">
        <v>361066</v>
      </c>
      <c r="K1335" s="51">
        <v>0</v>
      </c>
      <c r="L1335" s="51">
        <v>0</v>
      </c>
      <c r="M1335" s="51">
        <v>0</v>
      </c>
      <c r="N1335" s="51">
        <v>361066</v>
      </c>
    </row>
    <row r="1336" spans="1:14" outlineLevel="2" x14ac:dyDescent="0.35">
      <c r="A1336" s="53" t="s">
        <v>261</v>
      </c>
      <c r="B1336" s="66" t="s">
        <v>201</v>
      </c>
      <c r="C1336" s="51">
        <v>272224</v>
      </c>
      <c r="D1336" s="51">
        <v>-1070</v>
      </c>
      <c r="E1336" s="51">
        <v>0</v>
      </c>
      <c r="F1336" s="51">
        <v>0</v>
      </c>
      <c r="G1336" s="51">
        <v>0</v>
      </c>
      <c r="H1336" s="51">
        <v>271154</v>
      </c>
      <c r="I1336" s="51">
        <v>0</v>
      </c>
      <c r="J1336" s="51">
        <v>271154</v>
      </c>
      <c r="K1336" s="51">
        <v>0</v>
      </c>
      <c r="L1336" s="51">
        <v>0</v>
      </c>
      <c r="M1336" s="51">
        <v>0</v>
      </c>
      <c r="N1336" s="51">
        <v>271154</v>
      </c>
    </row>
    <row r="1337" spans="1:14" outlineLevel="2" x14ac:dyDescent="0.35">
      <c r="A1337" s="53" t="s">
        <v>261</v>
      </c>
      <c r="B1337" s="66" t="s">
        <v>200</v>
      </c>
      <c r="C1337" s="51">
        <v>299056</v>
      </c>
      <c r="D1337" s="51">
        <v>-884</v>
      </c>
      <c r="E1337" s="51">
        <v>0</v>
      </c>
      <c r="F1337" s="51">
        <v>0</v>
      </c>
      <c r="G1337" s="51">
        <v>0</v>
      </c>
      <c r="H1337" s="51">
        <v>298172</v>
      </c>
      <c r="I1337" s="51">
        <v>0</v>
      </c>
      <c r="J1337" s="51">
        <v>298172</v>
      </c>
      <c r="K1337" s="51">
        <v>0</v>
      </c>
      <c r="L1337" s="51">
        <v>0</v>
      </c>
      <c r="M1337" s="51">
        <v>0</v>
      </c>
      <c r="N1337" s="51">
        <v>298172</v>
      </c>
    </row>
    <row r="1338" spans="1:14" outlineLevel="2" x14ac:dyDescent="0.35">
      <c r="A1338" s="53" t="s">
        <v>261</v>
      </c>
      <c r="B1338" s="66" t="s">
        <v>199</v>
      </c>
      <c r="C1338" s="51">
        <v>242389</v>
      </c>
      <c r="D1338" s="51">
        <v>-554</v>
      </c>
      <c r="E1338" s="51">
        <v>0</v>
      </c>
      <c r="F1338" s="51">
        <v>0</v>
      </c>
      <c r="G1338" s="51">
        <v>0</v>
      </c>
      <c r="H1338" s="51">
        <v>241835</v>
      </c>
      <c r="I1338" s="51">
        <v>0</v>
      </c>
      <c r="J1338" s="51">
        <v>241835</v>
      </c>
      <c r="K1338" s="51">
        <v>0</v>
      </c>
      <c r="L1338" s="51">
        <v>0</v>
      </c>
      <c r="M1338" s="51">
        <v>0</v>
      </c>
      <c r="N1338" s="51">
        <v>241835</v>
      </c>
    </row>
    <row r="1339" spans="1:14" outlineLevel="2" x14ac:dyDescent="0.35">
      <c r="A1339" s="53" t="s">
        <v>261</v>
      </c>
      <c r="B1339" s="66" t="s">
        <v>198</v>
      </c>
      <c r="C1339" s="51">
        <v>225243</v>
      </c>
      <c r="D1339" s="51">
        <v>-915</v>
      </c>
      <c r="E1339" s="51">
        <v>0</v>
      </c>
      <c r="F1339" s="51">
        <v>0</v>
      </c>
      <c r="G1339" s="51">
        <v>0</v>
      </c>
      <c r="H1339" s="51">
        <v>224328</v>
      </c>
      <c r="I1339" s="51">
        <v>0</v>
      </c>
      <c r="J1339" s="51">
        <v>224328</v>
      </c>
      <c r="K1339" s="51">
        <v>0</v>
      </c>
      <c r="L1339" s="51">
        <v>0</v>
      </c>
      <c r="M1339" s="51">
        <v>0</v>
      </c>
      <c r="N1339" s="51">
        <v>224328</v>
      </c>
    </row>
    <row r="1340" spans="1:14" ht="16" outlineLevel="2" thickBot="1" x14ac:dyDescent="0.4">
      <c r="A1340" s="50" t="s">
        <v>83</v>
      </c>
      <c r="B1340" s="67" t="s">
        <v>12</v>
      </c>
      <c r="C1340" s="48">
        <f>SUBTOTAL(109,Program356[(C)
Program
Costs])</f>
        <v>7095032</v>
      </c>
      <c r="D1340" s="48">
        <f>SUBTOTAL(109,Program356[(D)
Prior Period Adjustments])</f>
        <v>-22996</v>
      </c>
      <c r="E1340" s="48">
        <f>SUBTOTAL(109,Program356[(E)
Current Period Desk 
Reviews])</f>
        <v>0</v>
      </c>
      <c r="F1340" s="48">
        <f>SUBTOTAL(109,Program356[(F)
Current Period 
Final 
Audits])</f>
        <v>0</v>
      </c>
      <c r="G1340" s="48">
        <f>SUBTOTAL(109,Program356[(G)
Current Period 
Other Adjustments])</f>
        <v>-1250</v>
      </c>
      <c r="H1340" s="48">
        <f>SUBTOTAL(109,Program356[(H)
Net Program Costs
Sum (C through G)])</f>
        <v>7070786</v>
      </c>
      <c r="I1340" s="48">
        <f>SUBTOTAL(109,Program356[(I)
Payments
 and Offsets])</f>
        <v>0</v>
      </c>
      <c r="J1340" s="48">
        <f>SUBTOTAL(109,Program356[(J)
Accounts Payable Balance
(H + I)])</f>
        <v>7070786</v>
      </c>
      <c r="K1340" s="48">
        <f>SUBTOTAL(109,Program356[(K)
Established 
Accounts Receivable])</f>
        <v>0</v>
      </c>
      <c r="L1340" s="48">
        <f>SUBTOTAL(109,Program356[(L)
Recovered
 Accounts Receivable])</f>
        <v>0</v>
      </c>
      <c r="M1340" s="48">
        <f>SUBTOTAL(109,Program356[(M)
Accounts Receivable Balance
(K + L)])</f>
        <v>0</v>
      </c>
      <c r="N1340" s="48">
        <f>SUBTOTAL(109,Program356[(N)
Net Balance
(J minus M)])</f>
        <v>7070786</v>
      </c>
    </row>
    <row r="1341" spans="1:14" outlineLevel="1" x14ac:dyDescent="0.35">
      <c r="A1341" s="63" t="s">
        <v>33</v>
      </c>
      <c r="B1341" s="62"/>
      <c r="C1341" s="61"/>
      <c r="D1341" s="61"/>
      <c r="E1341" s="61"/>
      <c r="F1341" s="61"/>
      <c r="G1341" s="61"/>
      <c r="H1341" s="61"/>
      <c r="I1341" s="61"/>
      <c r="J1341" s="61"/>
      <c r="K1341" s="61"/>
      <c r="L1341" s="61"/>
      <c r="M1341" s="61"/>
      <c r="N1341" s="61"/>
    </row>
    <row r="1342" spans="1:14" ht="77.5" outlineLevel="2" x14ac:dyDescent="0.35">
      <c r="A1342" s="60" t="s">
        <v>185</v>
      </c>
      <c r="B1342" s="59" t="s">
        <v>184</v>
      </c>
      <c r="C1342" s="58" t="s">
        <v>183</v>
      </c>
      <c r="D1342" s="58" t="s">
        <v>182</v>
      </c>
      <c r="E1342" s="56" t="s">
        <v>181</v>
      </c>
      <c r="F1342" s="56" t="s">
        <v>180</v>
      </c>
      <c r="G1342" s="56" t="s">
        <v>179</v>
      </c>
      <c r="H1342" s="57" t="s">
        <v>674</v>
      </c>
      <c r="I1342" s="55" t="s">
        <v>178</v>
      </c>
      <c r="J1342" s="55" t="s">
        <v>177</v>
      </c>
      <c r="K1342" s="56" t="s">
        <v>176</v>
      </c>
      <c r="L1342" s="55" t="s">
        <v>175</v>
      </c>
      <c r="M1342" s="55" t="s">
        <v>174</v>
      </c>
      <c r="N1342" s="54" t="s">
        <v>173</v>
      </c>
    </row>
    <row r="1343" spans="1:14" outlineLevel="2" x14ac:dyDescent="0.35">
      <c r="A1343" s="53" t="s">
        <v>260</v>
      </c>
      <c r="B1343" s="66" t="s">
        <v>205</v>
      </c>
      <c r="C1343" s="51">
        <v>47464</v>
      </c>
      <c r="D1343" s="51">
        <v>0</v>
      </c>
      <c r="E1343" s="51">
        <v>0</v>
      </c>
      <c r="F1343" s="51">
        <v>0</v>
      </c>
      <c r="G1343" s="51">
        <v>0</v>
      </c>
      <c r="H1343" s="51">
        <v>47464</v>
      </c>
      <c r="I1343" s="51">
        <v>0</v>
      </c>
      <c r="J1343" s="51">
        <v>47464</v>
      </c>
      <c r="K1343" s="51">
        <v>0</v>
      </c>
      <c r="L1343" s="51">
        <v>0</v>
      </c>
      <c r="M1343" s="51">
        <v>0</v>
      </c>
      <c r="N1343" s="51">
        <v>47464</v>
      </c>
    </row>
    <row r="1344" spans="1:14" outlineLevel="2" x14ac:dyDescent="0.35">
      <c r="A1344" s="53" t="s">
        <v>260</v>
      </c>
      <c r="B1344" s="66" t="s">
        <v>204</v>
      </c>
      <c r="C1344" s="51">
        <v>1009278</v>
      </c>
      <c r="D1344" s="51">
        <v>0</v>
      </c>
      <c r="E1344" s="51">
        <v>0</v>
      </c>
      <c r="F1344" s="51">
        <v>0</v>
      </c>
      <c r="G1344" s="51">
        <v>0</v>
      </c>
      <c r="H1344" s="51">
        <v>1009278</v>
      </c>
      <c r="I1344" s="51">
        <v>0</v>
      </c>
      <c r="J1344" s="51">
        <v>1009278</v>
      </c>
      <c r="K1344" s="51">
        <v>0</v>
      </c>
      <c r="L1344" s="51">
        <v>0</v>
      </c>
      <c r="M1344" s="51">
        <v>0</v>
      </c>
      <c r="N1344" s="51">
        <v>1009278</v>
      </c>
    </row>
    <row r="1345" spans="1:14" outlineLevel="2" x14ac:dyDescent="0.35">
      <c r="A1345" s="53" t="s">
        <v>260</v>
      </c>
      <c r="B1345" s="66" t="s">
        <v>203</v>
      </c>
      <c r="C1345" s="51">
        <v>1280819</v>
      </c>
      <c r="D1345" s="51">
        <v>0</v>
      </c>
      <c r="E1345" s="51">
        <v>0</v>
      </c>
      <c r="F1345" s="51">
        <v>0</v>
      </c>
      <c r="G1345" s="51">
        <v>0</v>
      </c>
      <c r="H1345" s="51">
        <v>1280819</v>
      </c>
      <c r="I1345" s="51">
        <v>0</v>
      </c>
      <c r="J1345" s="51">
        <v>1280819</v>
      </c>
      <c r="K1345" s="51">
        <v>0</v>
      </c>
      <c r="L1345" s="51">
        <v>0</v>
      </c>
      <c r="M1345" s="51">
        <v>0</v>
      </c>
      <c r="N1345" s="51">
        <v>1280819</v>
      </c>
    </row>
    <row r="1346" spans="1:14" outlineLevel="2" x14ac:dyDescent="0.35">
      <c r="A1346" s="53" t="s">
        <v>260</v>
      </c>
      <c r="B1346" s="66" t="s">
        <v>202</v>
      </c>
      <c r="C1346" s="51">
        <v>1523434</v>
      </c>
      <c r="D1346" s="51">
        <v>-10000</v>
      </c>
      <c r="E1346" s="51">
        <v>0</v>
      </c>
      <c r="F1346" s="51">
        <v>0</v>
      </c>
      <c r="G1346" s="51">
        <v>0</v>
      </c>
      <c r="H1346" s="51">
        <v>1513434</v>
      </c>
      <c r="I1346" s="51">
        <v>-1513434</v>
      </c>
      <c r="J1346" s="51">
        <v>0</v>
      </c>
      <c r="K1346" s="51">
        <v>40324</v>
      </c>
      <c r="L1346" s="51">
        <v>-40324</v>
      </c>
      <c r="M1346" s="51">
        <v>0</v>
      </c>
      <c r="N1346" s="51">
        <v>0</v>
      </c>
    </row>
    <row r="1347" spans="1:14" outlineLevel="2" x14ac:dyDescent="0.35">
      <c r="A1347" s="53" t="s">
        <v>260</v>
      </c>
      <c r="B1347" s="66" t="s">
        <v>201</v>
      </c>
      <c r="C1347" s="51">
        <v>726819</v>
      </c>
      <c r="D1347" s="51">
        <v>-40548</v>
      </c>
      <c r="E1347" s="51">
        <v>0</v>
      </c>
      <c r="F1347" s="51">
        <v>0</v>
      </c>
      <c r="G1347" s="51">
        <v>0</v>
      </c>
      <c r="H1347" s="51">
        <v>686271</v>
      </c>
      <c r="I1347" s="51">
        <v>-686271</v>
      </c>
      <c r="J1347" s="51">
        <v>0</v>
      </c>
      <c r="K1347" s="51">
        <v>40548</v>
      </c>
      <c r="L1347" s="51">
        <v>-40548</v>
      </c>
      <c r="M1347" s="51">
        <v>0</v>
      </c>
      <c r="N1347" s="51">
        <v>0</v>
      </c>
    </row>
    <row r="1348" spans="1:14" outlineLevel="2" x14ac:dyDescent="0.35">
      <c r="A1348" s="53" t="s">
        <v>260</v>
      </c>
      <c r="B1348" s="66" t="s">
        <v>200</v>
      </c>
      <c r="C1348" s="51">
        <v>1468026</v>
      </c>
      <c r="D1348" s="51">
        <v>-2000</v>
      </c>
      <c r="E1348" s="51">
        <v>0</v>
      </c>
      <c r="F1348" s="51">
        <v>0</v>
      </c>
      <c r="G1348" s="51">
        <v>0</v>
      </c>
      <c r="H1348" s="51">
        <v>1466026</v>
      </c>
      <c r="I1348" s="51">
        <v>-1466026</v>
      </c>
      <c r="J1348" s="51">
        <v>0</v>
      </c>
      <c r="K1348" s="51">
        <v>289413</v>
      </c>
      <c r="L1348" s="51">
        <v>-289413</v>
      </c>
      <c r="M1348" s="51">
        <v>0</v>
      </c>
      <c r="N1348" s="51">
        <v>0</v>
      </c>
    </row>
    <row r="1349" spans="1:14" outlineLevel="2" x14ac:dyDescent="0.35">
      <c r="A1349" s="53" t="s">
        <v>260</v>
      </c>
      <c r="B1349" s="66" t="s">
        <v>199</v>
      </c>
      <c r="C1349" s="51">
        <v>1273878</v>
      </c>
      <c r="D1349" s="51">
        <v>-271544</v>
      </c>
      <c r="E1349" s="51">
        <v>0</v>
      </c>
      <c r="F1349" s="51">
        <v>0</v>
      </c>
      <c r="G1349" s="51">
        <v>0</v>
      </c>
      <c r="H1349" s="51">
        <v>1002334</v>
      </c>
      <c r="I1349" s="51">
        <v>-1002334</v>
      </c>
      <c r="J1349" s="51">
        <v>0</v>
      </c>
      <c r="K1349" s="51">
        <v>0</v>
      </c>
      <c r="L1349" s="51">
        <v>0</v>
      </c>
      <c r="M1349" s="51">
        <v>0</v>
      </c>
      <c r="N1349" s="51">
        <v>0</v>
      </c>
    </row>
    <row r="1350" spans="1:14" outlineLevel="2" x14ac:dyDescent="0.35">
      <c r="A1350" s="53" t="s">
        <v>260</v>
      </c>
      <c r="B1350" s="66" t="s">
        <v>198</v>
      </c>
      <c r="C1350" s="51">
        <v>1470196</v>
      </c>
      <c r="D1350" s="51">
        <v>-358654</v>
      </c>
      <c r="E1350" s="51">
        <v>0</v>
      </c>
      <c r="F1350" s="51">
        <v>0</v>
      </c>
      <c r="G1350" s="51">
        <v>0</v>
      </c>
      <c r="H1350" s="51">
        <v>1111542</v>
      </c>
      <c r="I1350" s="51">
        <v>-1111542</v>
      </c>
      <c r="J1350" s="51">
        <v>0</v>
      </c>
      <c r="K1350" s="51">
        <v>501</v>
      </c>
      <c r="L1350" s="51">
        <v>-501</v>
      </c>
      <c r="M1350" s="51">
        <v>0</v>
      </c>
      <c r="N1350" s="51">
        <v>0</v>
      </c>
    </row>
    <row r="1351" spans="1:14" outlineLevel="2" x14ac:dyDescent="0.35">
      <c r="A1351" s="53" t="s">
        <v>260</v>
      </c>
      <c r="B1351" s="66" t="s">
        <v>197</v>
      </c>
      <c r="C1351" s="51">
        <v>2298917</v>
      </c>
      <c r="D1351" s="51">
        <v>-1328577</v>
      </c>
      <c r="E1351" s="51">
        <v>0</v>
      </c>
      <c r="F1351" s="51">
        <v>0</v>
      </c>
      <c r="G1351" s="51">
        <v>0</v>
      </c>
      <c r="H1351" s="51">
        <v>970340</v>
      </c>
      <c r="I1351" s="51">
        <v>-970340</v>
      </c>
      <c r="J1351" s="51">
        <v>0</v>
      </c>
      <c r="K1351" s="51">
        <v>1208147</v>
      </c>
      <c r="L1351" s="51">
        <v>-1208147</v>
      </c>
      <c r="M1351" s="51">
        <v>0</v>
      </c>
      <c r="N1351" s="51">
        <v>0</v>
      </c>
    </row>
    <row r="1352" spans="1:14" outlineLevel="2" x14ac:dyDescent="0.35">
      <c r="A1352" s="53" t="s">
        <v>260</v>
      </c>
      <c r="B1352" s="66" t="s">
        <v>196</v>
      </c>
      <c r="C1352" s="51">
        <v>2170448</v>
      </c>
      <c r="D1352" s="51">
        <v>-1188936</v>
      </c>
      <c r="E1352" s="51">
        <v>0</v>
      </c>
      <c r="F1352" s="51">
        <v>0</v>
      </c>
      <c r="G1352" s="51">
        <v>0</v>
      </c>
      <c r="H1352" s="51">
        <v>981512</v>
      </c>
      <c r="I1352" s="51">
        <v>-981512</v>
      </c>
      <c r="J1352" s="51">
        <v>0</v>
      </c>
      <c r="K1352" s="51">
        <v>1169454</v>
      </c>
      <c r="L1352" s="51">
        <v>-1169454</v>
      </c>
      <c r="M1352" s="51">
        <v>0</v>
      </c>
      <c r="N1352" s="51">
        <v>0</v>
      </c>
    </row>
    <row r="1353" spans="1:14" outlineLevel="1" x14ac:dyDescent="0.35">
      <c r="A1353" s="53" t="s">
        <v>260</v>
      </c>
      <c r="B1353" s="66" t="s">
        <v>195</v>
      </c>
      <c r="C1353" s="51">
        <v>1695760</v>
      </c>
      <c r="D1353" s="51">
        <v>-884062</v>
      </c>
      <c r="E1353" s="51">
        <v>0</v>
      </c>
      <c r="F1353" s="51">
        <v>0</v>
      </c>
      <c r="G1353" s="51">
        <v>0</v>
      </c>
      <c r="H1353" s="51">
        <v>811698</v>
      </c>
      <c r="I1353" s="51">
        <v>-811698</v>
      </c>
      <c r="J1353" s="51">
        <v>0</v>
      </c>
      <c r="K1353" s="51">
        <v>1488386</v>
      </c>
      <c r="L1353" s="51">
        <v>-1402610</v>
      </c>
      <c r="M1353" s="51">
        <v>85776</v>
      </c>
      <c r="N1353" s="51">
        <v>-85776</v>
      </c>
    </row>
    <row r="1354" spans="1:14" outlineLevel="1" x14ac:dyDescent="0.35">
      <c r="A1354" s="53" t="s">
        <v>260</v>
      </c>
      <c r="B1354" s="66" t="s">
        <v>194</v>
      </c>
      <c r="C1354" s="51">
        <v>1974347</v>
      </c>
      <c r="D1354" s="51">
        <v>-477476</v>
      </c>
      <c r="E1354" s="51">
        <v>0</v>
      </c>
      <c r="F1354" s="51">
        <v>0</v>
      </c>
      <c r="G1354" s="51">
        <v>0</v>
      </c>
      <c r="H1354" s="51">
        <v>1496871</v>
      </c>
      <c r="I1354" s="51">
        <v>-1496871</v>
      </c>
      <c r="J1354" s="51">
        <v>0</v>
      </c>
      <c r="K1354" s="51">
        <v>682863</v>
      </c>
      <c r="L1354" s="51">
        <v>-682863</v>
      </c>
      <c r="M1354" s="51">
        <v>0</v>
      </c>
      <c r="N1354" s="51">
        <v>0</v>
      </c>
    </row>
    <row r="1355" spans="1:14" outlineLevel="2" x14ac:dyDescent="0.35">
      <c r="A1355" s="53" t="s">
        <v>260</v>
      </c>
      <c r="B1355" s="66" t="s">
        <v>193</v>
      </c>
      <c r="C1355" s="51">
        <v>2060889</v>
      </c>
      <c r="D1355" s="51">
        <v>-30246</v>
      </c>
      <c r="E1355" s="51">
        <v>0</v>
      </c>
      <c r="F1355" s="51">
        <v>0</v>
      </c>
      <c r="G1355" s="51">
        <v>0</v>
      </c>
      <c r="H1355" s="51">
        <v>2030643</v>
      </c>
      <c r="I1355" s="51">
        <v>-2030643</v>
      </c>
      <c r="J1355" s="51">
        <v>0</v>
      </c>
      <c r="K1355" s="51">
        <v>4875</v>
      </c>
      <c r="L1355" s="51">
        <v>-4875</v>
      </c>
      <c r="M1355" s="51">
        <v>0</v>
      </c>
      <c r="N1355" s="51">
        <v>0</v>
      </c>
    </row>
    <row r="1356" spans="1:14" outlineLevel="2" x14ac:dyDescent="0.35">
      <c r="A1356" s="53" t="s">
        <v>260</v>
      </c>
      <c r="B1356" s="66" t="s">
        <v>192</v>
      </c>
      <c r="C1356" s="51">
        <v>1851618</v>
      </c>
      <c r="D1356" s="51">
        <v>-74340</v>
      </c>
      <c r="E1356" s="51">
        <v>0</v>
      </c>
      <c r="F1356" s="51">
        <v>0</v>
      </c>
      <c r="G1356" s="51">
        <v>0</v>
      </c>
      <c r="H1356" s="51">
        <v>1777278</v>
      </c>
      <c r="I1356" s="51">
        <v>-1777278</v>
      </c>
      <c r="J1356" s="51">
        <v>0</v>
      </c>
      <c r="K1356" s="51">
        <v>163914</v>
      </c>
      <c r="L1356" s="51">
        <v>-163914</v>
      </c>
      <c r="M1356" s="51">
        <v>0</v>
      </c>
      <c r="N1356" s="51">
        <v>0</v>
      </c>
    </row>
    <row r="1357" spans="1:14" outlineLevel="2" x14ac:dyDescent="0.35">
      <c r="A1357" s="53" t="s">
        <v>260</v>
      </c>
      <c r="B1357" s="66" t="s">
        <v>191</v>
      </c>
      <c r="C1357" s="51">
        <v>1653119</v>
      </c>
      <c r="D1357" s="51">
        <v>-10678</v>
      </c>
      <c r="E1357" s="51">
        <v>0</v>
      </c>
      <c r="F1357" s="51">
        <v>0</v>
      </c>
      <c r="G1357" s="51">
        <v>0</v>
      </c>
      <c r="H1357" s="51">
        <v>1642441</v>
      </c>
      <c r="I1357" s="51">
        <v>-1642441</v>
      </c>
      <c r="J1357" s="51">
        <v>0</v>
      </c>
      <c r="K1357" s="51">
        <v>78650</v>
      </c>
      <c r="L1357" s="51">
        <v>-78650</v>
      </c>
      <c r="M1357" s="51">
        <v>0</v>
      </c>
      <c r="N1357" s="51">
        <v>0</v>
      </c>
    </row>
    <row r="1358" spans="1:14" outlineLevel="2" x14ac:dyDescent="0.35">
      <c r="A1358" s="53" t="s">
        <v>260</v>
      </c>
      <c r="B1358" s="66" t="s">
        <v>190</v>
      </c>
      <c r="C1358" s="51">
        <v>1235198</v>
      </c>
      <c r="D1358" s="51">
        <v>-29776</v>
      </c>
      <c r="E1358" s="51">
        <v>0</v>
      </c>
      <c r="F1358" s="51">
        <v>0</v>
      </c>
      <c r="G1358" s="51">
        <v>0</v>
      </c>
      <c r="H1358" s="51">
        <v>1205422</v>
      </c>
      <c r="I1358" s="51">
        <v>-1205422</v>
      </c>
      <c r="J1358" s="51">
        <v>0</v>
      </c>
      <c r="K1358" s="51">
        <v>12297</v>
      </c>
      <c r="L1358" s="51">
        <v>-12297</v>
      </c>
      <c r="M1358" s="51">
        <v>0</v>
      </c>
      <c r="N1358" s="51">
        <v>0</v>
      </c>
    </row>
    <row r="1359" spans="1:14" outlineLevel="2" x14ac:dyDescent="0.35">
      <c r="A1359" s="53" t="s">
        <v>260</v>
      </c>
      <c r="B1359" s="66" t="s">
        <v>189</v>
      </c>
      <c r="C1359" s="51">
        <v>1310904</v>
      </c>
      <c r="D1359" s="51">
        <v>-71448</v>
      </c>
      <c r="E1359" s="51">
        <v>0</v>
      </c>
      <c r="F1359" s="51">
        <v>0</v>
      </c>
      <c r="G1359" s="51">
        <v>0</v>
      </c>
      <c r="H1359" s="51">
        <v>1239456</v>
      </c>
      <c r="I1359" s="51">
        <v>-1239456</v>
      </c>
      <c r="J1359" s="51">
        <v>0</v>
      </c>
      <c r="K1359" s="51">
        <v>51998</v>
      </c>
      <c r="L1359" s="51">
        <v>-51998</v>
      </c>
      <c r="M1359" s="51">
        <v>0</v>
      </c>
      <c r="N1359" s="51">
        <v>0</v>
      </c>
    </row>
    <row r="1360" spans="1:14" outlineLevel="2" x14ac:dyDescent="0.35">
      <c r="A1360" s="53" t="s">
        <v>260</v>
      </c>
      <c r="B1360" s="66" t="s">
        <v>188</v>
      </c>
      <c r="C1360" s="51">
        <v>1137296</v>
      </c>
      <c r="D1360" s="51">
        <v>-75300</v>
      </c>
      <c r="E1360" s="51">
        <v>0</v>
      </c>
      <c r="F1360" s="51">
        <v>0</v>
      </c>
      <c r="G1360" s="51">
        <v>0</v>
      </c>
      <c r="H1360" s="51">
        <v>1061996</v>
      </c>
      <c r="I1360" s="51">
        <v>-1061996</v>
      </c>
      <c r="J1360" s="51">
        <v>0</v>
      </c>
      <c r="K1360" s="51">
        <v>55739</v>
      </c>
      <c r="L1360" s="51">
        <v>-55739</v>
      </c>
      <c r="M1360" s="51">
        <v>0</v>
      </c>
      <c r="N1360" s="51">
        <v>0</v>
      </c>
    </row>
    <row r="1361" spans="1:14" outlineLevel="2" x14ac:dyDescent="0.35">
      <c r="A1361" s="53" t="s">
        <v>260</v>
      </c>
      <c r="B1361" s="66" t="s">
        <v>186</v>
      </c>
      <c r="C1361" s="51">
        <v>986577</v>
      </c>
      <c r="D1361" s="51">
        <v>-40202</v>
      </c>
      <c r="E1361" s="51">
        <v>0</v>
      </c>
      <c r="F1361" s="51">
        <v>0</v>
      </c>
      <c r="G1361" s="51">
        <v>0</v>
      </c>
      <c r="H1361" s="51">
        <v>946375</v>
      </c>
      <c r="I1361" s="51">
        <v>-946375</v>
      </c>
      <c r="J1361" s="51">
        <v>0</v>
      </c>
      <c r="K1361" s="51">
        <v>26862</v>
      </c>
      <c r="L1361" s="51">
        <v>-26862</v>
      </c>
      <c r="M1361" s="51">
        <v>0</v>
      </c>
      <c r="N1361" s="51">
        <v>0</v>
      </c>
    </row>
    <row r="1362" spans="1:14" outlineLevel="2" x14ac:dyDescent="0.35">
      <c r="A1362" s="53" t="s">
        <v>260</v>
      </c>
      <c r="B1362" s="66" t="s">
        <v>227</v>
      </c>
      <c r="C1362" s="51">
        <v>437523</v>
      </c>
      <c r="D1362" s="51">
        <v>-2001</v>
      </c>
      <c r="E1362" s="51">
        <v>0</v>
      </c>
      <c r="F1362" s="51">
        <v>0</v>
      </c>
      <c r="G1362" s="51">
        <v>0</v>
      </c>
      <c r="H1362" s="51">
        <v>435522</v>
      </c>
      <c r="I1362" s="51">
        <v>-435522</v>
      </c>
      <c r="J1362" s="51">
        <v>0</v>
      </c>
      <c r="K1362" s="51">
        <v>0</v>
      </c>
      <c r="L1362" s="51">
        <v>0</v>
      </c>
      <c r="M1362" s="51">
        <v>0</v>
      </c>
      <c r="N1362" s="51">
        <v>0</v>
      </c>
    </row>
    <row r="1363" spans="1:14" ht="16" outlineLevel="2" thickBot="1" x14ac:dyDescent="0.4">
      <c r="A1363" s="50" t="s">
        <v>82</v>
      </c>
      <c r="B1363" s="67" t="s">
        <v>12</v>
      </c>
      <c r="C1363" s="48">
        <f>SUBTOTAL(109,Program124[(C)
Program
Costs])</f>
        <v>27612510</v>
      </c>
      <c r="D1363" s="48">
        <f>SUBTOTAL(109,Program124[(D)
Prior Period Adjustments])</f>
        <v>-4895788</v>
      </c>
      <c r="E1363" s="48">
        <f>SUBTOTAL(109,Program124[(E)
Current Period Desk 
Reviews])</f>
        <v>0</v>
      </c>
      <c r="F1363" s="48">
        <f>SUBTOTAL(109,Program124[(F)
Current Period 
Final 
Audits])</f>
        <v>0</v>
      </c>
      <c r="G1363" s="48">
        <f>SUBTOTAL(109,Program124[(G)
Current Period 
Other Adjustments])</f>
        <v>0</v>
      </c>
      <c r="H1363" s="48">
        <f>SUBTOTAL(109,Program124[(H)
Net Program Costs
Sum (C through G)])</f>
        <v>22716722</v>
      </c>
      <c r="I1363" s="48">
        <f>SUBTOTAL(109,Program124[(I)
Payments
 and Offsets])</f>
        <v>-20379161</v>
      </c>
      <c r="J1363" s="48">
        <f>SUBTOTAL(109,Program124[(J)
Accounts Payable Balance
(H + I)])</f>
        <v>2337561</v>
      </c>
      <c r="K1363" s="48">
        <f>SUBTOTAL(109,Program124[(K)
Established 
Accounts Receivable])</f>
        <v>5313971</v>
      </c>
      <c r="L1363" s="48">
        <f>SUBTOTAL(109,Program124[(L)
Recovered
 Accounts Receivable])</f>
        <v>-5228195</v>
      </c>
      <c r="M1363" s="48">
        <f>SUBTOTAL(109,Program124[(M)
Accounts Receivable Balance
(K + L)])</f>
        <v>85776</v>
      </c>
      <c r="N1363" s="48">
        <f>SUBTOTAL(109,Program124[(N)
Net Balance
(J minus M)])</f>
        <v>2251785</v>
      </c>
    </row>
    <row r="1364" spans="1:14" outlineLevel="2" x14ac:dyDescent="0.35">
      <c r="A1364" s="63" t="s">
        <v>33</v>
      </c>
      <c r="B1364" s="62"/>
      <c r="C1364" s="61"/>
      <c r="D1364" s="61"/>
      <c r="E1364" s="61"/>
      <c r="F1364" s="61"/>
      <c r="G1364" s="61"/>
      <c r="H1364" s="61"/>
      <c r="I1364" s="61"/>
      <c r="J1364" s="61"/>
      <c r="K1364" s="61"/>
      <c r="L1364" s="61"/>
      <c r="M1364" s="61"/>
      <c r="N1364" s="61"/>
    </row>
    <row r="1365" spans="1:14" ht="77.5" outlineLevel="2" x14ac:dyDescent="0.35">
      <c r="A1365" s="60" t="s">
        <v>185</v>
      </c>
      <c r="B1365" s="59" t="s">
        <v>184</v>
      </c>
      <c r="C1365" s="58" t="s">
        <v>183</v>
      </c>
      <c r="D1365" s="58" t="s">
        <v>182</v>
      </c>
      <c r="E1365" s="56" t="s">
        <v>181</v>
      </c>
      <c r="F1365" s="56" t="s">
        <v>180</v>
      </c>
      <c r="G1365" s="56" t="s">
        <v>179</v>
      </c>
      <c r="H1365" s="57" t="s">
        <v>674</v>
      </c>
      <c r="I1365" s="55" t="s">
        <v>178</v>
      </c>
      <c r="J1365" s="55" t="s">
        <v>177</v>
      </c>
      <c r="K1365" s="56" t="s">
        <v>176</v>
      </c>
      <c r="L1365" s="55" t="s">
        <v>175</v>
      </c>
      <c r="M1365" s="55" t="s">
        <v>174</v>
      </c>
      <c r="N1365" s="54" t="s">
        <v>173</v>
      </c>
    </row>
    <row r="1366" spans="1:14" outlineLevel="1" x14ac:dyDescent="0.35">
      <c r="A1366" s="53" t="s">
        <v>259</v>
      </c>
      <c r="B1366" s="66" t="s">
        <v>205</v>
      </c>
      <c r="C1366" s="51">
        <v>1310491</v>
      </c>
      <c r="D1366" s="51">
        <v>0</v>
      </c>
      <c r="E1366" s="51">
        <v>0</v>
      </c>
      <c r="F1366" s="51">
        <v>0</v>
      </c>
      <c r="G1366" s="51">
        <v>0</v>
      </c>
      <c r="H1366" s="51">
        <v>1310491</v>
      </c>
      <c r="I1366" s="51">
        <v>0</v>
      </c>
      <c r="J1366" s="51">
        <v>1310491</v>
      </c>
      <c r="K1366" s="51">
        <v>0</v>
      </c>
      <c r="L1366" s="51">
        <v>0</v>
      </c>
      <c r="M1366" s="51">
        <v>0</v>
      </c>
      <c r="N1366" s="51">
        <v>1310491</v>
      </c>
    </row>
    <row r="1367" spans="1:14" outlineLevel="2" x14ac:dyDescent="0.35">
      <c r="A1367" s="53" t="s">
        <v>259</v>
      </c>
      <c r="B1367" s="66" t="s">
        <v>204</v>
      </c>
      <c r="C1367" s="51">
        <v>1813889</v>
      </c>
      <c r="D1367" s="51">
        <v>0</v>
      </c>
      <c r="E1367" s="51">
        <v>0</v>
      </c>
      <c r="F1367" s="51">
        <v>0</v>
      </c>
      <c r="G1367" s="51">
        <v>0</v>
      </c>
      <c r="H1367" s="51">
        <v>1813889</v>
      </c>
      <c r="I1367" s="51">
        <v>-1813889</v>
      </c>
      <c r="J1367" s="51">
        <v>0</v>
      </c>
      <c r="K1367" s="51">
        <v>29513</v>
      </c>
      <c r="L1367" s="51">
        <v>-29513</v>
      </c>
      <c r="M1367" s="51">
        <v>0</v>
      </c>
      <c r="N1367" s="51">
        <v>0</v>
      </c>
    </row>
    <row r="1368" spans="1:14" outlineLevel="1" x14ac:dyDescent="0.35">
      <c r="A1368" s="53" t="s">
        <v>259</v>
      </c>
      <c r="B1368" s="66" t="s">
        <v>203</v>
      </c>
      <c r="C1368" s="51">
        <v>5934759</v>
      </c>
      <c r="D1368" s="51">
        <v>-7349</v>
      </c>
      <c r="E1368" s="51">
        <v>0</v>
      </c>
      <c r="F1368" s="51">
        <v>0</v>
      </c>
      <c r="G1368" s="51">
        <v>0</v>
      </c>
      <c r="H1368" s="51">
        <v>5927410</v>
      </c>
      <c r="I1368" s="51">
        <v>-5927410</v>
      </c>
      <c r="J1368" s="51">
        <v>0</v>
      </c>
      <c r="K1368" s="51">
        <v>0</v>
      </c>
      <c r="L1368" s="51">
        <v>0</v>
      </c>
      <c r="M1368" s="51">
        <v>0</v>
      </c>
      <c r="N1368" s="51">
        <v>0</v>
      </c>
    </row>
    <row r="1369" spans="1:14" outlineLevel="1" x14ac:dyDescent="0.35">
      <c r="A1369" s="53" t="s">
        <v>259</v>
      </c>
      <c r="B1369" s="66" t="s">
        <v>202</v>
      </c>
      <c r="C1369" s="51">
        <v>3288387</v>
      </c>
      <c r="D1369" s="51">
        <v>0</v>
      </c>
      <c r="E1369" s="51">
        <v>0</v>
      </c>
      <c r="F1369" s="51">
        <v>0</v>
      </c>
      <c r="G1369" s="51">
        <v>0</v>
      </c>
      <c r="H1369" s="51">
        <v>3288387</v>
      </c>
      <c r="I1369" s="51">
        <v>-3288387</v>
      </c>
      <c r="J1369" s="51">
        <v>0</v>
      </c>
      <c r="K1369" s="51">
        <v>814585</v>
      </c>
      <c r="L1369" s="51">
        <v>-814585</v>
      </c>
      <c r="M1369" s="51">
        <v>0</v>
      </c>
      <c r="N1369" s="51">
        <v>0</v>
      </c>
    </row>
    <row r="1370" spans="1:14" outlineLevel="2" x14ac:dyDescent="0.35">
      <c r="A1370" s="53" t="s">
        <v>259</v>
      </c>
      <c r="B1370" s="66" t="s">
        <v>201</v>
      </c>
      <c r="C1370" s="51">
        <v>3674446</v>
      </c>
      <c r="D1370" s="51">
        <v>-4972</v>
      </c>
      <c r="E1370" s="51">
        <v>0</v>
      </c>
      <c r="F1370" s="51">
        <v>0</v>
      </c>
      <c r="G1370" s="51">
        <v>0</v>
      </c>
      <c r="H1370" s="51">
        <v>3669474</v>
      </c>
      <c r="I1370" s="51">
        <v>-3669474</v>
      </c>
      <c r="J1370" s="51">
        <v>0</v>
      </c>
      <c r="K1370" s="51">
        <v>278758</v>
      </c>
      <c r="L1370" s="51">
        <v>-278758</v>
      </c>
      <c r="M1370" s="51">
        <v>0</v>
      </c>
      <c r="N1370" s="51">
        <v>0</v>
      </c>
    </row>
    <row r="1371" spans="1:14" outlineLevel="2" x14ac:dyDescent="0.35">
      <c r="A1371" s="53" t="s">
        <v>259</v>
      </c>
      <c r="B1371" s="66" t="s">
        <v>200</v>
      </c>
      <c r="C1371" s="51">
        <v>2308990</v>
      </c>
      <c r="D1371" s="51">
        <v>-22979</v>
      </c>
      <c r="E1371" s="51">
        <v>0</v>
      </c>
      <c r="F1371" s="51">
        <v>0</v>
      </c>
      <c r="G1371" s="51">
        <v>0</v>
      </c>
      <c r="H1371" s="51">
        <v>2286011</v>
      </c>
      <c r="I1371" s="51">
        <v>-2286011</v>
      </c>
      <c r="J1371" s="51">
        <v>0</v>
      </c>
      <c r="K1371" s="51">
        <v>475113</v>
      </c>
      <c r="L1371" s="51">
        <v>-475113</v>
      </c>
      <c r="M1371" s="51">
        <v>0</v>
      </c>
      <c r="N1371" s="51">
        <v>0</v>
      </c>
    </row>
    <row r="1372" spans="1:14" outlineLevel="2" x14ac:dyDescent="0.35">
      <c r="A1372" s="53" t="s">
        <v>259</v>
      </c>
      <c r="B1372" s="66" t="s">
        <v>199</v>
      </c>
      <c r="C1372" s="51">
        <v>2998325</v>
      </c>
      <c r="D1372" s="51">
        <v>-75181</v>
      </c>
      <c r="E1372" s="51">
        <v>0</v>
      </c>
      <c r="F1372" s="51">
        <v>0</v>
      </c>
      <c r="G1372" s="51">
        <v>0</v>
      </c>
      <c r="H1372" s="51">
        <v>2923144</v>
      </c>
      <c r="I1372" s="51">
        <v>-2923144</v>
      </c>
      <c r="J1372" s="51">
        <v>0</v>
      </c>
      <c r="K1372" s="51">
        <v>0</v>
      </c>
      <c r="L1372" s="51">
        <v>0</v>
      </c>
      <c r="M1372" s="51">
        <v>0</v>
      </c>
      <c r="N1372" s="51">
        <v>0</v>
      </c>
    </row>
    <row r="1373" spans="1:14" outlineLevel="2" x14ac:dyDescent="0.35">
      <c r="A1373" s="53" t="s">
        <v>259</v>
      </c>
      <c r="B1373" s="66" t="s">
        <v>198</v>
      </c>
      <c r="C1373" s="51">
        <v>1866064</v>
      </c>
      <c r="D1373" s="51">
        <v>-116400</v>
      </c>
      <c r="E1373" s="51">
        <v>0</v>
      </c>
      <c r="F1373" s="51">
        <v>0</v>
      </c>
      <c r="G1373" s="51">
        <v>0</v>
      </c>
      <c r="H1373" s="51">
        <v>1749664</v>
      </c>
      <c r="I1373" s="51">
        <v>-1749664</v>
      </c>
      <c r="J1373" s="51">
        <v>0</v>
      </c>
      <c r="K1373" s="51">
        <v>0</v>
      </c>
      <c r="L1373" s="51">
        <v>0</v>
      </c>
      <c r="M1373" s="51">
        <v>0</v>
      </c>
      <c r="N1373" s="51">
        <v>0</v>
      </c>
    </row>
    <row r="1374" spans="1:14" outlineLevel="1" x14ac:dyDescent="0.35">
      <c r="A1374" s="53" t="s">
        <v>259</v>
      </c>
      <c r="B1374" s="66" t="s">
        <v>197</v>
      </c>
      <c r="C1374" s="51">
        <v>1205394</v>
      </c>
      <c r="D1374" s="51">
        <v>-1928</v>
      </c>
      <c r="E1374" s="51">
        <v>0</v>
      </c>
      <c r="F1374" s="51">
        <v>0</v>
      </c>
      <c r="G1374" s="51">
        <v>0</v>
      </c>
      <c r="H1374" s="51">
        <v>1203466</v>
      </c>
      <c r="I1374" s="51">
        <v>-1203466</v>
      </c>
      <c r="J1374" s="51">
        <v>0</v>
      </c>
      <c r="K1374" s="51">
        <v>7612</v>
      </c>
      <c r="L1374" s="51">
        <v>-7612</v>
      </c>
      <c r="M1374" s="51">
        <v>0</v>
      </c>
      <c r="N1374" s="51">
        <v>0</v>
      </c>
    </row>
    <row r="1375" spans="1:14" outlineLevel="1" x14ac:dyDescent="0.35">
      <c r="A1375" s="53" t="s">
        <v>259</v>
      </c>
      <c r="B1375" s="66" t="s">
        <v>196</v>
      </c>
      <c r="C1375" s="51">
        <v>433068</v>
      </c>
      <c r="D1375" s="51">
        <v>-14811</v>
      </c>
      <c r="E1375" s="51">
        <v>0</v>
      </c>
      <c r="F1375" s="51">
        <v>0</v>
      </c>
      <c r="G1375" s="51">
        <v>0</v>
      </c>
      <c r="H1375" s="51">
        <v>418257</v>
      </c>
      <c r="I1375" s="51">
        <v>-418257</v>
      </c>
      <c r="J1375" s="51">
        <v>0</v>
      </c>
      <c r="K1375" s="51">
        <v>61429</v>
      </c>
      <c r="L1375" s="51">
        <v>-61429</v>
      </c>
      <c r="M1375" s="51">
        <v>0</v>
      </c>
      <c r="N1375" s="51">
        <v>0</v>
      </c>
    </row>
    <row r="1376" spans="1:14" outlineLevel="2" x14ac:dyDescent="0.35">
      <c r="A1376" s="53" t="s">
        <v>259</v>
      </c>
      <c r="B1376" s="66" t="s">
        <v>195</v>
      </c>
      <c r="C1376" s="51">
        <v>449154</v>
      </c>
      <c r="D1376" s="51">
        <v>-3010</v>
      </c>
      <c r="E1376" s="51">
        <v>0</v>
      </c>
      <c r="F1376" s="51">
        <v>0</v>
      </c>
      <c r="G1376" s="51">
        <v>0</v>
      </c>
      <c r="H1376" s="51">
        <v>446144</v>
      </c>
      <c r="I1376" s="51">
        <v>-446144</v>
      </c>
      <c r="J1376" s="51">
        <v>0</v>
      </c>
      <c r="K1376" s="51">
        <v>77643</v>
      </c>
      <c r="L1376" s="51">
        <v>-77643</v>
      </c>
      <c r="M1376" s="51">
        <v>0</v>
      </c>
      <c r="N1376" s="51">
        <v>0</v>
      </c>
    </row>
    <row r="1377" spans="1:14" outlineLevel="2" x14ac:dyDescent="0.35">
      <c r="A1377" s="53" t="s">
        <v>259</v>
      </c>
      <c r="B1377" s="66" t="s">
        <v>194</v>
      </c>
      <c r="C1377" s="51">
        <v>403851</v>
      </c>
      <c r="D1377" s="51">
        <v>-436</v>
      </c>
      <c r="E1377" s="51">
        <v>0</v>
      </c>
      <c r="F1377" s="51">
        <v>0</v>
      </c>
      <c r="G1377" s="51">
        <v>0</v>
      </c>
      <c r="H1377" s="51">
        <v>403415</v>
      </c>
      <c r="I1377" s="51">
        <v>-403415</v>
      </c>
      <c r="J1377" s="51">
        <v>0</v>
      </c>
      <c r="K1377" s="51">
        <v>79342</v>
      </c>
      <c r="L1377" s="51">
        <v>-79342</v>
      </c>
      <c r="M1377" s="51">
        <v>0</v>
      </c>
      <c r="N1377" s="51">
        <v>0</v>
      </c>
    </row>
    <row r="1378" spans="1:14" outlineLevel="2" x14ac:dyDescent="0.35">
      <c r="A1378" s="53" t="s">
        <v>259</v>
      </c>
      <c r="B1378" s="66" t="s">
        <v>193</v>
      </c>
      <c r="C1378" s="51">
        <v>370141</v>
      </c>
      <c r="D1378" s="51">
        <v>-506</v>
      </c>
      <c r="E1378" s="51">
        <v>0</v>
      </c>
      <c r="F1378" s="51">
        <v>0</v>
      </c>
      <c r="G1378" s="51">
        <v>0</v>
      </c>
      <c r="H1378" s="51">
        <v>369635</v>
      </c>
      <c r="I1378" s="51">
        <v>-369635</v>
      </c>
      <c r="J1378" s="51">
        <v>0</v>
      </c>
      <c r="K1378" s="51">
        <v>48302</v>
      </c>
      <c r="L1378" s="51">
        <v>-48302</v>
      </c>
      <c r="M1378" s="51">
        <v>0</v>
      </c>
      <c r="N1378" s="51">
        <v>0</v>
      </c>
    </row>
    <row r="1379" spans="1:14" outlineLevel="2" x14ac:dyDescent="0.35">
      <c r="A1379" s="53" t="s">
        <v>259</v>
      </c>
      <c r="B1379" s="66" t="s">
        <v>192</v>
      </c>
      <c r="C1379" s="51">
        <v>410455</v>
      </c>
      <c r="D1379" s="51">
        <v>0</v>
      </c>
      <c r="E1379" s="51">
        <v>0</v>
      </c>
      <c r="F1379" s="51">
        <v>0</v>
      </c>
      <c r="G1379" s="51">
        <v>0</v>
      </c>
      <c r="H1379" s="51">
        <v>410455</v>
      </c>
      <c r="I1379" s="51">
        <v>-410455</v>
      </c>
      <c r="J1379" s="51">
        <v>0</v>
      </c>
      <c r="K1379" s="51">
        <v>7173</v>
      </c>
      <c r="L1379" s="51">
        <v>-7173</v>
      </c>
      <c r="M1379" s="51">
        <v>0</v>
      </c>
      <c r="N1379" s="51">
        <v>0</v>
      </c>
    </row>
    <row r="1380" spans="1:14" outlineLevel="2" x14ac:dyDescent="0.35">
      <c r="A1380" s="53" t="s">
        <v>259</v>
      </c>
      <c r="B1380" s="66" t="s">
        <v>191</v>
      </c>
      <c r="C1380" s="51">
        <v>254325</v>
      </c>
      <c r="D1380" s="51">
        <v>-25418</v>
      </c>
      <c r="E1380" s="51">
        <v>0</v>
      </c>
      <c r="F1380" s="51">
        <v>0</v>
      </c>
      <c r="G1380" s="51">
        <v>0</v>
      </c>
      <c r="H1380" s="51">
        <v>228907</v>
      </c>
      <c r="I1380" s="51">
        <v>-228907</v>
      </c>
      <c r="J1380" s="51">
        <v>0</v>
      </c>
      <c r="K1380" s="51">
        <v>66224</v>
      </c>
      <c r="L1380" s="51">
        <v>-66224</v>
      </c>
      <c r="M1380" s="51">
        <v>0</v>
      </c>
      <c r="N1380" s="51">
        <v>0</v>
      </c>
    </row>
    <row r="1381" spans="1:14" outlineLevel="2" x14ac:dyDescent="0.35">
      <c r="A1381" s="53" t="s">
        <v>259</v>
      </c>
      <c r="B1381" s="66" t="s">
        <v>190</v>
      </c>
      <c r="C1381" s="51">
        <v>239739</v>
      </c>
      <c r="D1381" s="51">
        <v>-4675</v>
      </c>
      <c r="E1381" s="51">
        <v>0</v>
      </c>
      <c r="F1381" s="51">
        <v>0</v>
      </c>
      <c r="G1381" s="51">
        <v>0</v>
      </c>
      <c r="H1381" s="51">
        <v>235064</v>
      </c>
      <c r="I1381" s="51">
        <v>-235064</v>
      </c>
      <c r="J1381" s="51">
        <v>0</v>
      </c>
      <c r="K1381" s="51">
        <v>34371</v>
      </c>
      <c r="L1381" s="51">
        <v>-34371</v>
      </c>
      <c r="M1381" s="51">
        <v>0</v>
      </c>
      <c r="N1381" s="51">
        <v>0</v>
      </c>
    </row>
    <row r="1382" spans="1:14" outlineLevel="2" x14ac:dyDescent="0.35">
      <c r="A1382" s="53" t="s">
        <v>259</v>
      </c>
      <c r="B1382" s="66" t="s">
        <v>189</v>
      </c>
      <c r="C1382" s="51">
        <v>253287</v>
      </c>
      <c r="D1382" s="51">
        <v>-2397</v>
      </c>
      <c r="E1382" s="51">
        <v>0</v>
      </c>
      <c r="F1382" s="51">
        <v>0</v>
      </c>
      <c r="G1382" s="51">
        <v>0</v>
      </c>
      <c r="H1382" s="51">
        <v>250890</v>
      </c>
      <c r="I1382" s="51">
        <v>-250890</v>
      </c>
      <c r="J1382" s="51">
        <v>0</v>
      </c>
      <c r="K1382" s="51">
        <v>60105</v>
      </c>
      <c r="L1382" s="51">
        <v>-60105</v>
      </c>
      <c r="M1382" s="51">
        <v>0</v>
      </c>
      <c r="N1382" s="51">
        <v>0</v>
      </c>
    </row>
    <row r="1383" spans="1:14" outlineLevel="2" x14ac:dyDescent="0.35">
      <c r="A1383" s="53" t="s">
        <v>259</v>
      </c>
      <c r="B1383" s="66" t="s">
        <v>188</v>
      </c>
      <c r="C1383" s="51">
        <v>302282</v>
      </c>
      <c r="D1383" s="51">
        <v>-59700</v>
      </c>
      <c r="E1383" s="51">
        <v>0</v>
      </c>
      <c r="F1383" s="51">
        <v>0</v>
      </c>
      <c r="G1383" s="51">
        <v>0</v>
      </c>
      <c r="H1383" s="51">
        <v>242582</v>
      </c>
      <c r="I1383" s="51">
        <v>-242582</v>
      </c>
      <c r="J1383" s="51">
        <v>0</v>
      </c>
      <c r="K1383" s="51">
        <v>5298</v>
      </c>
      <c r="L1383" s="51">
        <v>-5298</v>
      </c>
      <c r="M1383" s="51">
        <v>0</v>
      </c>
      <c r="N1383" s="51">
        <v>0</v>
      </c>
    </row>
    <row r="1384" spans="1:14" outlineLevel="2" x14ac:dyDescent="0.35">
      <c r="A1384" s="53" t="s">
        <v>259</v>
      </c>
      <c r="B1384" s="66" t="s">
        <v>186</v>
      </c>
      <c r="C1384" s="51">
        <v>462796</v>
      </c>
      <c r="D1384" s="51">
        <v>-45191</v>
      </c>
      <c r="E1384" s="51">
        <v>0</v>
      </c>
      <c r="F1384" s="51">
        <v>0</v>
      </c>
      <c r="G1384" s="51">
        <v>0</v>
      </c>
      <c r="H1384" s="51">
        <v>417605</v>
      </c>
      <c r="I1384" s="51">
        <v>-417605</v>
      </c>
      <c r="J1384" s="51">
        <v>0</v>
      </c>
      <c r="K1384" s="51">
        <v>44191</v>
      </c>
      <c r="L1384" s="51">
        <v>-44191</v>
      </c>
      <c r="M1384" s="51">
        <v>0</v>
      </c>
      <c r="N1384" s="51">
        <v>0</v>
      </c>
    </row>
    <row r="1385" spans="1:14" outlineLevel="1" x14ac:dyDescent="0.35">
      <c r="A1385" s="53" t="s">
        <v>259</v>
      </c>
      <c r="B1385" s="66" t="s">
        <v>227</v>
      </c>
      <c r="C1385" s="51">
        <v>201638</v>
      </c>
      <c r="D1385" s="51">
        <v>-14878</v>
      </c>
      <c r="E1385" s="51">
        <v>0</v>
      </c>
      <c r="F1385" s="51">
        <v>0</v>
      </c>
      <c r="G1385" s="51">
        <v>0</v>
      </c>
      <c r="H1385" s="51">
        <v>186760</v>
      </c>
      <c r="I1385" s="51">
        <v>-186760</v>
      </c>
      <c r="J1385" s="51">
        <v>0</v>
      </c>
      <c r="K1385" s="51">
        <v>13813</v>
      </c>
      <c r="L1385" s="51">
        <v>-13813</v>
      </c>
      <c r="M1385" s="51">
        <v>0</v>
      </c>
      <c r="N1385" s="51">
        <v>0</v>
      </c>
    </row>
    <row r="1386" spans="1:14" outlineLevel="1" x14ac:dyDescent="0.35">
      <c r="A1386" s="53" t="s">
        <v>259</v>
      </c>
      <c r="B1386" s="66" t="s">
        <v>226</v>
      </c>
      <c r="C1386" s="51">
        <v>192735</v>
      </c>
      <c r="D1386" s="51">
        <v>-15655</v>
      </c>
      <c r="E1386" s="51">
        <v>0</v>
      </c>
      <c r="F1386" s="51">
        <v>0</v>
      </c>
      <c r="G1386" s="51">
        <v>0</v>
      </c>
      <c r="H1386" s="51">
        <v>177080</v>
      </c>
      <c r="I1386" s="51">
        <v>-177080</v>
      </c>
      <c r="J1386" s="51">
        <v>0</v>
      </c>
      <c r="K1386" s="51">
        <v>40093</v>
      </c>
      <c r="L1386" s="51">
        <v>-40093</v>
      </c>
      <c r="M1386" s="51">
        <v>0</v>
      </c>
      <c r="N1386" s="51">
        <v>0</v>
      </c>
    </row>
    <row r="1387" spans="1:14" outlineLevel="2" x14ac:dyDescent="0.35">
      <c r="A1387" s="53" t="s">
        <v>259</v>
      </c>
      <c r="B1387" s="66" t="s">
        <v>225</v>
      </c>
      <c r="C1387" s="51">
        <v>192942</v>
      </c>
      <c r="D1387" s="51">
        <v>-18123</v>
      </c>
      <c r="E1387" s="51">
        <v>0</v>
      </c>
      <c r="F1387" s="51">
        <v>0</v>
      </c>
      <c r="G1387" s="51">
        <v>0</v>
      </c>
      <c r="H1387" s="51">
        <v>174819</v>
      </c>
      <c r="I1387" s="51">
        <v>-174819</v>
      </c>
      <c r="J1387" s="51">
        <v>0</v>
      </c>
      <c r="K1387" s="51">
        <v>17123</v>
      </c>
      <c r="L1387" s="51">
        <v>-17123</v>
      </c>
      <c r="M1387" s="51">
        <v>0</v>
      </c>
      <c r="N1387" s="51">
        <v>0</v>
      </c>
    </row>
    <row r="1388" spans="1:14" ht="16" outlineLevel="1" thickBot="1" x14ac:dyDescent="0.4">
      <c r="A1388" s="50" t="s">
        <v>81</v>
      </c>
      <c r="B1388" s="67" t="s">
        <v>12</v>
      </c>
      <c r="C1388" s="48">
        <f>SUBTOTAL(109,Program83[(C)
Program
Costs])</f>
        <v>28567158</v>
      </c>
      <c r="D1388" s="48">
        <f>SUBTOTAL(109,Program83[(D)
Prior Period Adjustments])</f>
        <v>-433609</v>
      </c>
      <c r="E1388" s="48">
        <f>SUBTOTAL(109,Program83[(E)
Current Period Desk 
Reviews])</f>
        <v>0</v>
      </c>
      <c r="F1388" s="48">
        <f>SUBTOTAL(109,Program83[(F)
Current Period 
Final 
Audits])</f>
        <v>0</v>
      </c>
      <c r="G1388" s="48">
        <f>SUBTOTAL(109,Program83[(G)
Current Period 
Other Adjustments])</f>
        <v>0</v>
      </c>
      <c r="H1388" s="48">
        <f>SUBTOTAL(109,Program83[(H)
Net Program Costs
Sum (C through G)])</f>
        <v>28133549</v>
      </c>
      <c r="I1388" s="48">
        <f>SUBTOTAL(109,Program83[(I)
Payments
 and Offsets])</f>
        <v>-26823058</v>
      </c>
      <c r="J1388" s="48">
        <f>SUBTOTAL(109,Program83[(J)
Accounts Payable Balance
(H + I)])</f>
        <v>1310491</v>
      </c>
      <c r="K1388" s="48">
        <f>SUBTOTAL(109,Program83[(K)
Established 
Accounts Receivable])</f>
        <v>2160688</v>
      </c>
      <c r="L1388" s="48">
        <f>SUBTOTAL(109,Program83[(L)
Recovered
 Accounts Receivable])</f>
        <v>-2160688</v>
      </c>
      <c r="M1388" s="48">
        <f>SUBTOTAL(109,Program83[(M)
Accounts Receivable Balance
(K + L)])</f>
        <v>0</v>
      </c>
      <c r="N1388" s="48">
        <f>SUBTOTAL(109,Program83[(N)
Net Balance
(J minus M)])</f>
        <v>1310491</v>
      </c>
    </row>
    <row r="1389" spans="1:14" outlineLevel="1" x14ac:dyDescent="0.35">
      <c r="A1389" s="63" t="s">
        <v>33</v>
      </c>
      <c r="B1389" s="62"/>
      <c r="C1389" s="61"/>
      <c r="D1389" s="61"/>
      <c r="E1389" s="61"/>
      <c r="F1389" s="61"/>
      <c r="G1389" s="61"/>
      <c r="H1389" s="61"/>
      <c r="I1389" s="61"/>
      <c r="J1389" s="61"/>
      <c r="K1389" s="61"/>
      <c r="L1389" s="61"/>
      <c r="M1389" s="61"/>
      <c r="N1389" s="61"/>
    </row>
    <row r="1390" spans="1:14" ht="77.5" outlineLevel="2" x14ac:dyDescent="0.35">
      <c r="A1390" s="60" t="s">
        <v>185</v>
      </c>
      <c r="B1390" s="59" t="s">
        <v>184</v>
      </c>
      <c r="C1390" s="58" t="s">
        <v>183</v>
      </c>
      <c r="D1390" s="58" t="s">
        <v>182</v>
      </c>
      <c r="E1390" s="56" t="s">
        <v>181</v>
      </c>
      <c r="F1390" s="56" t="s">
        <v>180</v>
      </c>
      <c r="G1390" s="56" t="s">
        <v>179</v>
      </c>
      <c r="H1390" s="57" t="s">
        <v>674</v>
      </c>
      <c r="I1390" s="55" t="s">
        <v>178</v>
      </c>
      <c r="J1390" s="55" t="s">
        <v>177</v>
      </c>
      <c r="K1390" s="56" t="s">
        <v>176</v>
      </c>
      <c r="L1390" s="55" t="s">
        <v>175</v>
      </c>
      <c r="M1390" s="55" t="s">
        <v>174</v>
      </c>
      <c r="N1390" s="54" t="s">
        <v>173</v>
      </c>
    </row>
    <row r="1391" spans="1:14" outlineLevel="2" x14ac:dyDescent="0.35">
      <c r="A1391" s="53" t="s">
        <v>258</v>
      </c>
      <c r="B1391" s="66" t="s">
        <v>209</v>
      </c>
      <c r="C1391" s="51">
        <v>5294437</v>
      </c>
      <c r="D1391" s="51">
        <v>-10000</v>
      </c>
      <c r="E1391" s="51">
        <v>0</v>
      </c>
      <c r="F1391" s="51">
        <v>0</v>
      </c>
      <c r="G1391" s="51">
        <v>0</v>
      </c>
      <c r="H1391" s="51">
        <v>5284437</v>
      </c>
      <c r="I1391" s="51">
        <v>0</v>
      </c>
      <c r="J1391" s="51">
        <v>5284437</v>
      </c>
      <c r="K1391" s="51">
        <v>0</v>
      </c>
      <c r="L1391" s="51">
        <v>0</v>
      </c>
      <c r="M1391" s="51">
        <v>0</v>
      </c>
      <c r="N1391" s="51">
        <v>5284437</v>
      </c>
    </row>
    <row r="1392" spans="1:14" outlineLevel="2" x14ac:dyDescent="0.35">
      <c r="A1392" s="53" t="s">
        <v>258</v>
      </c>
      <c r="B1392" s="66" t="s">
        <v>208</v>
      </c>
      <c r="C1392" s="51">
        <v>4167474</v>
      </c>
      <c r="D1392" s="51">
        <v>-10640</v>
      </c>
      <c r="E1392" s="51">
        <v>0</v>
      </c>
      <c r="F1392" s="51">
        <v>0</v>
      </c>
      <c r="G1392" s="51">
        <v>0</v>
      </c>
      <c r="H1392" s="51">
        <v>4156834</v>
      </c>
      <c r="I1392" s="51">
        <v>0</v>
      </c>
      <c r="J1392" s="51">
        <v>4156834</v>
      </c>
      <c r="K1392" s="51">
        <v>0</v>
      </c>
      <c r="L1392" s="51">
        <v>0</v>
      </c>
      <c r="M1392" s="51">
        <v>0</v>
      </c>
      <c r="N1392" s="51">
        <v>4156834</v>
      </c>
    </row>
    <row r="1393" spans="1:14" outlineLevel="2" x14ac:dyDescent="0.35">
      <c r="A1393" s="53" t="s">
        <v>258</v>
      </c>
      <c r="B1393" s="66" t="s">
        <v>206</v>
      </c>
      <c r="C1393" s="51">
        <v>2057911</v>
      </c>
      <c r="D1393" s="51">
        <v>-19515</v>
      </c>
      <c r="E1393" s="51">
        <v>0</v>
      </c>
      <c r="F1393" s="51">
        <v>0</v>
      </c>
      <c r="G1393" s="51">
        <v>0</v>
      </c>
      <c r="H1393" s="51">
        <v>2038396</v>
      </c>
      <c r="I1393" s="51">
        <v>0</v>
      </c>
      <c r="J1393" s="51">
        <v>2038396</v>
      </c>
      <c r="K1393" s="51">
        <v>0</v>
      </c>
      <c r="L1393" s="51">
        <v>0</v>
      </c>
      <c r="M1393" s="51">
        <v>0</v>
      </c>
      <c r="N1393" s="51">
        <v>2038396</v>
      </c>
    </row>
    <row r="1394" spans="1:14" outlineLevel="2" x14ac:dyDescent="0.35">
      <c r="A1394" s="53" t="s">
        <v>258</v>
      </c>
      <c r="B1394" s="66" t="s">
        <v>205</v>
      </c>
      <c r="C1394" s="51">
        <v>121578</v>
      </c>
      <c r="D1394" s="51">
        <v>0</v>
      </c>
      <c r="E1394" s="51">
        <v>0</v>
      </c>
      <c r="F1394" s="51">
        <v>0</v>
      </c>
      <c r="G1394" s="51">
        <v>0</v>
      </c>
      <c r="H1394" s="51">
        <v>121578</v>
      </c>
      <c r="I1394" s="51">
        <v>0</v>
      </c>
      <c r="J1394" s="51">
        <v>121578</v>
      </c>
      <c r="K1394" s="51">
        <v>0</v>
      </c>
      <c r="L1394" s="51">
        <v>0</v>
      </c>
      <c r="M1394" s="51">
        <v>0</v>
      </c>
      <c r="N1394" s="51">
        <v>121578</v>
      </c>
    </row>
    <row r="1395" spans="1:14" outlineLevel="2" x14ac:dyDescent="0.35">
      <c r="A1395" s="53" t="s">
        <v>258</v>
      </c>
      <c r="B1395" s="66" t="s">
        <v>204</v>
      </c>
      <c r="C1395" s="51">
        <v>191573</v>
      </c>
      <c r="D1395" s="51">
        <v>0</v>
      </c>
      <c r="E1395" s="51">
        <v>0</v>
      </c>
      <c r="F1395" s="51">
        <v>0</v>
      </c>
      <c r="G1395" s="51">
        <v>0</v>
      </c>
      <c r="H1395" s="51">
        <v>191573</v>
      </c>
      <c r="I1395" s="51">
        <v>0</v>
      </c>
      <c r="J1395" s="51">
        <v>191573</v>
      </c>
      <c r="K1395" s="51">
        <v>0</v>
      </c>
      <c r="L1395" s="51">
        <v>0</v>
      </c>
      <c r="M1395" s="51">
        <v>0</v>
      </c>
      <c r="N1395" s="51">
        <v>191573</v>
      </c>
    </row>
    <row r="1396" spans="1:14" outlineLevel="2" x14ac:dyDescent="0.35">
      <c r="A1396" s="53" t="s">
        <v>258</v>
      </c>
      <c r="B1396" s="66" t="s">
        <v>203</v>
      </c>
      <c r="C1396" s="51">
        <v>18688</v>
      </c>
      <c r="D1396" s="51">
        <v>0</v>
      </c>
      <c r="E1396" s="51">
        <v>0</v>
      </c>
      <c r="F1396" s="51">
        <v>0</v>
      </c>
      <c r="G1396" s="51">
        <v>0</v>
      </c>
      <c r="H1396" s="51">
        <v>18688</v>
      </c>
      <c r="I1396" s="51">
        <v>0</v>
      </c>
      <c r="J1396" s="51">
        <v>18688</v>
      </c>
      <c r="K1396" s="51">
        <v>0</v>
      </c>
      <c r="L1396" s="51">
        <v>0</v>
      </c>
      <c r="M1396" s="51">
        <v>0</v>
      </c>
      <c r="N1396" s="51">
        <v>18688</v>
      </c>
    </row>
    <row r="1397" spans="1:14" outlineLevel="1" x14ac:dyDescent="0.35">
      <c r="A1397" s="53" t="s">
        <v>258</v>
      </c>
      <c r="B1397" s="66" t="s">
        <v>202</v>
      </c>
      <c r="C1397" s="51">
        <v>24807</v>
      </c>
      <c r="D1397" s="51">
        <v>0</v>
      </c>
      <c r="E1397" s="51">
        <v>0</v>
      </c>
      <c r="F1397" s="51">
        <v>0</v>
      </c>
      <c r="G1397" s="51">
        <v>0</v>
      </c>
      <c r="H1397" s="51">
        <v>24807</v>
      </c>
      <c r="I1397" s="51">
        <v>0</v>
      </c>
      <c r="J1397" s="51">
        <v>24807</v>
      </c>
      <c r="K1397" s="51">
        <v>0</v>
      </c>
      <c r="L1397" s="51">
        <v>0</v>
      </c>
      <c r="M1397" s="51">
        <v>0</v>
      </c>
      <c r="N1397" s="51">
        <v>24807</v>
      </c>
    </row>
    <row r="1398" spans="1:14" outlineLevel="2" x14ac:dyDescent="0.35">
      <c r="A1398" s="53" t="s">
        <v>258</v>
      </c>
      <c r="B1398" s="66" t="s">
        <v>201</v>
      </c>
      <c r="C1398" s="51">
        <v>21868</v>
      </c>
      <c r="D1398" s="51">
        <v>0</v>
      </c>
      <c r="E1398" s="51">
        <v>0</v>
      </c>
      <c r="F1398" s="51">
        <v>0</v>
      </c>
      <c r="G1398" s="51">
        <v>0</v>
      </c>
      <c r="H1398" s="51">
        <v>21868</v>
      </c>
      <c r="I1398" s="51">
        <v>0</v>
      </c>
      <c r="J1398" s="51">
        <v>21868</v>
      </c>
      <c r="K1398" s="51">
        <v>0</v>
      </c>
      <c r="L1398" s="51">
        <v>0</v>
      </c>
      <c r="M1398" s="51">
        <v>0</v>
      </c>
      <c r="N1398" s="51">
        <v>21868</v>
      </c>
    </row>
    <row r="1399" spans="1:14" outlineLevel="1" x14ac:dyDescent="0.35">
      <c r="A1399" s="53" t="s">
        <v>258</v>
      </c>
      <c r="B1399" s="66" t="s">
        <v>200</v>
      </c>
      <c r="C1399" s="51">
        <v>24382</v>
      </c>
      <c r="D1399" s="51">
        <v>0</v>
      </c>
      <c r="E1399" s="51">
        <v>0</v>
      </c>
      <c r="F1399" s="51">
        <v>0</v>
      </c>
      <c r="G1399" s="51">
        <v>0</v>
      </c>
      <c r="H1399" s="51">
        <v>24382</v>
      </c>
      <c r="I1399" s="51">
        <v>0</v>
      </c>
      <c r="J1399" s="51">
        <v>24382</v>
      </c>
      <c r="K1399" s="51">
        <v>0</v>
      </c>
      <c r="L1399" s="51">
        <v>0</v>
      </c>
      <c r="M1399" s="51">
        <v>0</v>
      </c>
      <c r="N1399" s="51">
        <v>24382</v>
      </c>
    </row>
    <row r="1400" spans="1:14" outlineLevel="1" x14ac:dyDescent="0.35">
      <c r="A1400" s="53" t="s">
        <v>258</v>
      </c>
      <c r="B1400" s="66" t="s">
        <v>199</v>
      </c>
      <c r="C1400" s="51">
        <v>14834</v>
      </c>
      <c r="D1400" s="51">
        <v>0</v>
      </c>
      <c r="E1400" s="51">
        <v>0</v>
      </c>
      <c r="F1400" s="51">
        <v>0</v>
      </c>
      <c r="G1400" s="51">
        <v>0</v>
      </c>
      <c r="H1400" s="51">
        <v>14834</v>
      </c>
      <c r="I1400" s="51">
        <v>0</v>
      </c>
      <c r="J1400" s="51">
        <v>14834</v>
      </c>
      <c r="K1400" s="51">
        <v>0</v>
      </c>
      <c r="L1400" s="51">
        <v>0</v>
      </c>
      <c r="M1400" s="51">
        <v>0</v>
      </c>
      <c r="N1400" s="51">
        <v>14834</v>
      </c>
    </row>
    <row r="1401" spans="1:14" outlineLevel="2" x14ac:dyDescent="0.35">
      <c r="A1401" s="53" t="s">
        <v>258</v>
      </c>
      <c r="B1401" s="66" t="s">
        <v>198</v>
      </c>
      <c r="C1401" s="51">
        <v>9310</v>
      </c>
      <c r="D1401" s="51">
        <v>0</v>
      </c>
      <c r="E1401" s="51">
        <v>0</v>
      </c>
      <c r="F1401" s="51">
        <v>0</v>
      </c>
      <c r="G1401" s="51">
        <v>0</v>
      </c>
      <c r="H1401" s="51">
        <v>9310</v>
      </c>
      <c r="I1401" s="51">
        <v>0</v>
      </c>
      <c r="J1401" s="51">
        <v>9310</v>
      </c>
      <c r="K1401" s="51">
        <v>0</v>
      </c>
      <c r="L1401" s="51">
        <v>0</v>
      </c>
      <c r="M1401" s="51">
        <v>0</v>
      </c>
      <c r="N1401" s="51">
        <v>9310</v>
      </c>
    </row>
    <row r="1402" spans="1:14" ht="16" outlineLevel="2" thickBot="1" x14ac:dyDescent="0.4">
      <c r="A1402" s="50" t="s">
        <v>80</v>
      </c>
      <c r="B1402" s="67" t="s">
        <v>12</v>
      </c>
      <c r="C1402" s="48">
        <f>SUBTOTAL(109,Program324[(C)
Program
Costs])</f>
        <v>11946862</v>
      </c>
      <c r="D1402" s="48">
        <f>SUBTOTAL(109,Program324[(D)
Prior Period Adjustments])</f>
        <v>-40155</v>
      </c>
      <c r="E1402" s="48">
        <f>SUBTOTAL(109,Program324[(E)
Current Period Desk 
Reviews])</f>
        <v>0</v>
      </c>
      <c r="F1402" s="48">
        <f>SUBTOTAL(109,Program324[(F)
Current Period 
Final 
Audits])</f>
        <v>0</v>
      </c>
      <c r="G1402" s="48">
        <f>SUBTOTAL(109,Program324[(G)
Current Period 
Other Adjustments])</f>
        <v>0</v>
      </c>
      <c r="H1402" s="48">
        <f>SUBTOTAL(109,Program324[(H)
Net Program Costs
Sum (C through G)])</f>
        <v>11906707</v>
      </c>
      <c r="I1402" s="48">
        <f>SUBTOTAL(109,Program324[(I)
Payments
 and Offsets])</f>
        <v>0</v>
      </c>
      <c r="J1402" s="48">
        <f>SUBTOTAL(109,Program324[(J)
Accounts Payable Balance
(H + I)])</f>
        <v>11906707</v>
      </c>
      <c r="K1402" s="48">
        <f>SUBTOTAL(109,Program324[(K)
Established 
Accounts Receivable])</f>
        <v>0</v>
      </c>
      <c r="L1402" s="48">
        <f>SUBTOTAL(109,Program324[(L)
Recovered
 Accounts Receivable])</f>
        <v>0</v>
      </c>
      <c r="M1402" s="48">
        <f>SUBTOTAL(109,Program324[(M)
Accounts Receivable Balance
(K + L)])</f>
        <v>0</v>
      </c>
      <c r="N1402" s="48">
        <f>SUBTOTAL(109,Program324[(N)
Net Balance
(J minus M)])</f>
        <v>11906707</v>
      </c>
    </row>
    <row r="1403" spans="1:14" outlineLevel="2" x14ac:dyDescent="0.35">
      <c r="A1403" s="63" t="s">
        <v>33</v>
      </c>
      <c r="B1403" s="62"/>
      <c r="C1403" s="61"/>
      <c r="D1403" s="61"/>
      <c r="E1403" s="61"/>
      <c r="F1403" s="61"/>
      <c r="G1403" s="61"/>
      <c r="H1403" s="61"/>
      <c r="I1403" s="61"/>
      <c r="J1403" s="61"/>
      <c r="K1403" s="61"/>
      <c r="L1403" s="61"/>
      <c r="M1403" s="61"/>
      <c r="N1403" s="61"/>
    </row>
    <row r="1404" spans="1:14" ht="77.5" outlineLevel="2" x14ac:dyDescent="0.35">
      <c r="A1404" s="60" t="s">
        <v>185</v>
      </c>
      <c r="B1404" s="59" t="s">
        <v>184</v>
      </c>
      <c r="C1404" s="58" t="s">
        <v>183</v>
      </c>
      <c r="D1404" s="58" t="s">
        <v>182</v>
      </c>
      <c r="E1404" s="56" t="s">
        <v>181</v>
      </c>
      <c r="F1404" s="56" t="s">
        <v>180</v>
      </c>
      <c r="G1404" s="56" t="s">
        <v>179</v>
      </c>
      <c r="H1404" s="57" t="s">
        <v>674</v>
      </c>
      <c r="I1404" s="55" t="s">
        <v>178</v>
      </c>
      <c r="J1404" s="55" t="s">
        <v>177</v>
      </c>
      <c r="K1404" s="56" t="s">
        <v>176</v>
      </c>
      <c r="L1404" s="55" t="s">
        <v>175</v>
      </c>
      <c r="M1404" s="55" t="s">
        <v>174</v>
      </c>
      <c r="N1404" s="54" t="s">
        <v>173</v>
      </c>
    </row>
    <row r="1405" spans="1:14" outlineLevel="1" x14ac:dyDescent="0.35">
      <c r="A1405" s="53" t="s">
        <v>256</v>
      </c>
      <c r="B1405" s="66" t="s">
        <v>194</v>
      </c>
      <c r="C1405" s="51">
        <v>489234</v>
      </c>
      <c r="D1405" s="51">
        <v>-3609</v>
      </c>
      <c r="E1405" s="51">
        <v>0</v>
      </c>
      <c r="F1405" s="51">
        <v>0</v>
      </c>
      <c r="G1405" s="51">
        <v>0</v>
      </c>
      <c r="H1405" s="51">
        <v>485625</v>
      </c>
      <c r="I1405" s="51">
        <v>-485625</v>
      </c>
      <c r="J1405" s="51">
        <v>0</v>
      </c>
      <c r="K1405" s="51">
        <v>0</v>
      </c>
      <c r="L1405" s="51">
        <v>0</v>
      </c>
      <c r="M1405" s="51">
        <v>0</v>
      </c>
      <c r="N1405" s="51">
        <v>0</v>
      </c>
    </row>
    <row r="1406" spans="1:14" outlineLevel="1" x14ac:dyDescent="0.35">
      <c r="A1406" s="53" t="s">
        <v>256</v>
      </c>
      <c r="B1406" s="66" t="s">
        <v>193</v>
      </c>
      <c r="C1406" s="51">
        <v>425932</v>
      </c>
      <c r="D1406" s="51">
        <v>-7826</v>
      </c>
      <c r="E1406" s="51">
        <v>0</v>
      </c>
      <c r="F1406" s="51">
        <v>0</v>
      </c>
      <c r="G1406" s="51">
        <v>0</v>
      </c>
      <c r="H1406" s="51">
        <v>418106</v>
      </c>
      <c r="I1406" s="51">
        <v>-418106</v>
      </c>
      <c r="J1406" s="51">
        <v>0</v>
      </c>
      <c r="K1406" s="51">
        <v>17668</v>
      </c>
      <c r="L1406" s="51">
        <v>-17668</v>
      </c>
      <c r="M1406" s="51">
        <v>0</v>
      </c>
      <c r="N1406" s="51">
        <v>0</v>
      </c>
    </row>
    <row r="1407" spans="1:14" outlineLevel="2" x14ac:dyDescent="0.35">
      <c r="A1407" s="53" t="s">
        <v>256</v>
      </c>
      <c r="B1407" s="66" t="s">
        <v>188</v>
      </c>
      <c r="C1407" s="51">
        <v>727706</v>
      </c>
      <c r="D1407" s="51">
        <v>-5579</v>
      </c>
      <c r="E1407" s="51">
        <v>0</v>
      </c>
      <c r="F1407" s="51">
        <v>0</v>
      </c>
      <c r="G1407" s="51">
        <v>0</v>
      </c>
      <c r="H1407" s="51">
        <v>722127</v>
      </c>
      <c r="I1407" s="51">
        <v>-722127</v>
      </c>
      <c r="J1407" s="51">
        <v>0</v>
      </c>
      <c r="K1407" s="51">
        <v>2253</v>
      </c>
      <c r="L1407" s="51">
        <v>0</v>
      </c>
      <c r="M1407" s="51">
        <v>2253</v>
      </c>
      <c r="N1407" s="51">
        <v>-2253</v>
      </c>
    </row>
    <row r="1408" spans="1:14" outlineLevel="2" x14ac:dyDescent="0.35">
      <c r="A1408" s="53" t="s">
        <v>256</v>
      </c>
      <c r="B1408" s="66" t="s">
        <v>186</v>
      </c>
      <c r="C1408" s="51">
        <v>4000067</v>
      </c>
      <c r="D1408" s="51">
        <v>-52713</v>
      </c>
      <c r="E1408" s="51">
        <v>0</v>
      </c>
      <c r="F1408" s="51">
        <v>0</v>
      </c>
      <c r="G1408" s="51">
        <v>0</v>
      </c>
      <c r="H1408" s="51">
        <v>3947354</v>
      </c>
      <c r="I1408" s="51">
        <v>-3947354</v>
      </c>
      <c r="J1408" s="51">
        <v>0</v>
      </c>
      <c r="K1408" s="51">
        <v>43742</v>
      </c>
      <c r="L1408" s="51">
        <v>-43742</v>
      </c>
      <c r="M1408" s="51">
        <v>0</v>
      </c>
      <c r="N1408" s="51">
        <v>0</v>
      </c>
    </row>
    <row r="1409" spans="1:14" outlineLevel="2" x14ac:dyDescent="0.35">
      <c r="A1409" s="53" t="s">
        <v>256</v>
      </c>
      <c r="B1409" s="66" t="s">
        <v>227</v>
      </c>
      <c r="C1409" s="51">
        <v>0</v>
      </c>
      <c r="D1409" s="51">
        <v>0</v>
      </c>
      <c r="E1409" s="51">
        <v>0</v>
      </c>
      <c r="F1409" s="51">
        <v>0</v>
      </c>
      <c r="G1409" s="51">
        <v>0</v>
      </c>
      <c r="H1409" s="51">
        <v>0</v>
      </c>
      <c r="I1409" s="51">
        <v>0</v>
      </c>
      <c r="J1409" s="51">
        <v>0</v>
      </c>
      <c r="K1409" s="51">
        <v>72907</v>
      </c>
      <c r="L1409" s="51">
        <v>-72907</v>
      </c>
      <c r="M1409" s="51">
        <v>0</v>
      </c>
      <c r="N1409" s="51">
        <v>0</v>
      </c>
    </row>
    <row r="1410" spans="1:14" outlineLevel="2" x14ac:dyDescent="0.35">
      <c r="A1410" s="53" t="s">
        <v>256</v>
      </c>
      <c r="B1410" s="66" t="s">
        <v>226</v>
      </c>
      <c r="C1410" s="51">
        <v>0</v>
      </c>
      <c r="D1410" s="51">
        <v>0</v>
      </c>
      <c r="E1410" s="51">
        <v>0</v>
      </c>
      <c r="F1410" s="51">
        <v>0</v>
      </c>
      <c r="G1410" s="51">
        <v>0</v>
      </c>
      <c r="H1410" s="51">
        <v>0</v>
      </c>
      <c r="I1410" s="51">
        <v>0</v>
      </c>
      <c r="J1410" s="51">
        <v>0</v>
      </c>
      <c r="K1410" s="51">
        <v>7184</v>
      </c>
      <c r="L1410" s="51">
        <v>-7184</v>
      </c>
      <c r="M1410" s="51">
        <v>0</v>
      </c>
      <c r="N1410" s="51">
        <v>0</v>
      </c>
    </row>
    <row r="1411" spans="1:14" outlineLevel="2" x14ac:dyDescent="0.35">
      <c r="A1411" s="53" t="s">
        <v>256</v>
      </c>
      <c r="B1411" s="66" t="s">
        <v>225</v>
      </c>
      <c r="C1411" s="51">
        <v>0</v>
      </c>
      <c r="D1411" s="51">
        <v>0</v>
      </c>
      <c r="E1411" s="51">
        <v>0</v>
      </c>
      <c r="F1411" s="51">
        <v>0</v>
      </c>
      <c r="G1411" s="51">
        <v>0</v>
      </c>
      <c r="H1411" s="51">
        <v>0</v>
      </c>
      <c r="I1411" s="51">
        <v>0</v>
      </c>
      <c r="J1411" s="51">
        <v>0</v>
      </c>
      <c r="K1411" s="51">
        <v>228</v>
      </c>
      <c r="L1411" s="51">
        <v>-228</v>
      </c>
      <c r="M1411" s="51">
        <v>0</v>
      </c>
      <c r="N1411" s="51">
        <v>0</v>
      </c>
    </row>
    <row r="1412" spans="1:14" outlineLevel="1" x14ac:dyDescent="0.35">
      <c r="A1412" s="53" t="s">
        <v>256</v>
      </c>
      <c r="B1412" s="66" t="s">
        <v>223</v>
      </c>
      <c r="C1412" s="51">
        <v>0</v>
      </c>
      <c r="D1412" s="51">
        <v>0</v>
      </c>
      <c r="E1412" s="51">
        <v>0</v>
      </c>
      <c r="F1412" s="51">
        <v>0</v>
      </c>
      <c r="G1412" s="51">
        <v>0</v>
      </c>
      <c r="H1412" s="51">
        <v>0</v>
      </c>
      <c r="I1412" s="51">
        <v>0</v>
      </c>
      <c r="J1412" s="51">
        <v>0</v>
      </c>
      <c r="K1412" s="51">
        <v>2442</v>
      </c>
      <c r="L1412" s="51">
        <v>-2442</v>
      </c>
      <c r="M1412" s="51">
        <v>0</v>
      </c>
      <c r="N1412" s="51">
        <v>0</v>
      </c>
    </row>
    <row r="1413" spans="1:14" outlineLevel="2" x14ac:dyDescent="0.35">
      <c r="A1413" s="53" t="s">
        <v>256</v>
      </c>
      <c r="B1413" s="66" t="s">
        <v>257</v>
      </c>
      <c r="C1413" s="51">
        <v>0</v>
      </c>
      <c r="D1413" s="51">
        <v>0</v>
      </c>
      <c r="E1413" s="51">
        <v>0</v>
      </c>
      <c r="F1413" s="51">
        <v>0</v>
      </c>
      <c r="G1413" s="51">
        <v>0</v>
      </c>
      <c r="H1413" s="51">
        <v>0</v>
      </c>
      <c r="I1413" s="51">
        <v>0</v>
      </c>
      <c r="J1413" s="51">
        <v>0</v>
      </c>
      <c r="K1413" s="51">
        <v>17383</v>
      </c>
      <c r="L1413" s="51">
        <v>-17383</v>
      </c>
      <c r="M1413" s="51">
        <v>0</v>
      </c>
      <c r="N1413" s="51">
        <v>0</v>
      </c>
    </row>
    <row r="1414" spans="1:14" outlineLevel="2" x14ac:dyDescent="0.35">
      <c r="A1414" s="53" t="s">
        <v>256</v>
      </c>
      <c r="B1414" s="66" t="s">
        <v>255</v>
      </c>
      <c r="C1414" s="51">
        <v>0</v>
      </c>
      <c r="D1414" s="51">
        <v>0</v>
      </c>
      <c r="E1414" s="51">
        <v>0</v>
      </c>
      <c r="F1414" s="51">
        <v>0</v>
      </c>
      <c r="G1414" s="51">
        <v>0</v>
      </c>
      <c r="H1414" s="51">
        <v>0</v>
      </c>
      <c r="I1414" s="51">
        <v>0</v>
      </c>
      <c r="J1414" s="51">
        <v>0</v>
      </c>
      <c r="K1414" s="51">
        <v>103</v>
      </c>
      <c r="L1414" s="51">
        <v>-103</v>
      </c>
      <c r="M1414" s="51">
        <v>0</v>
      </c>
      <c r="N1414" s="51">
        <v>0</v>
      </c>
    </row>
    <row r="1415" spans="1:14" ht="16" outlineLevel="2" thickBot="1" x14ac:dyDescent="0.4">
      <c r="A1415" s="50" t="s">
        <v>79</v>
      </c>
      <c r="B1415" s="67" t="s">
        <v>12</v>
      </c>
      <c r="C1415" s="48">
        <f>SUBTOTAL(109,Program24[(C)
Program
Costs])</f>
        <v>5642939</v>
      </c>
      <c r="D1415" s="48">
        <f>SUBTOTAL(109,Program24[(D)
Prior Period Adjustments])</f>
        <v>-69727</v>
      </c>
      <c r="E1415" s="48">
        <f>SUBTOTAL(109,Program24[(E)
Current Period Desk 
Reviews])</f>
        <v>0</v>
      </c>
      <c r="F1415" s="48">
        <f>SUBTOTAL(109,Program24[(F)
Current Period 
Final 
Audits])</f>
        <v>0</v>
      </c>
      <c r="G1415" s="48">
        <f>SUBTOTAL(109,Program24[(G)
Current Period 
Other Adjustments])</f>
        <v>0</v>
      </c>
      <c r="H1415" s="48">
        <f>SUBTOTAL(109,Program24[(H)
Net Program Costs
Sum (C through G)])</f>
        <v>5573212</v>
      </c>
      <c r="I1415" s="48">
        <f>SUBTOTAL(109,Program24[(I)
Payments
 and Offsets])</f>
        <v>-5573212</v>
      </c>
      <c r="J1415" s="48">
        <f>SUBTOTAL(109,Program24[(J)
Accounts Payable Balance
(H + I)])</f>
        <v>0</v>
      </c>
      <c r="K1415" s="48">
        <f>SUBTOTAL(109,Program24[(K)
Established 
Accounts Receivable])</f>
        <v>163910</v>
      </c>
      <c r="L1415" s="48">
        <f>SUBTOTAL(109,Program24[(L)
Recovered
 Accounts Receivable])</f>
        <v>-161657</v>
      </c>
      <c r="M1415" s="48">
        <f>SUBTOTAL(109,Program24[(M)
Accounts Receivable Balance
(K + L)])</f>
        <v>2253</v>
      </c>
      <c r="N1415" s="48">
        <f>SUBTOTAL(109,Program24[(N)
Net Balance
(J minus M)])</f>
        <v>-2253</v>
      </c>
    </row>
    <row r="1416" spans="1:14" outlineLevel="2" x14ac:dyDescent="0.35">
      <c r="A1416" s="63" t="s">
        <v>33</v>
      </c>
      <c r="B1416" s="62"/>
      <c r="C1416" s="61"/>
      <c r="D1416" s="61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</row>
    <row r="1417" spans="1:14" ht="77.5" outlineLevel="2" x14ac:dyDescent="0.35">
      <c r="A1417" s="60" t="s">
        <v>185</v>
      </c>
      <c r="B1417" s="59" t="s">
        <v>184</v>
      </c>
      <c r="C1417" s="58" t="s">
        <v>183</v>
      </c>
      <c r="D1417" s="58" t="s">
        <v>182</v>
      </c>
      <c r="E1417" s="56" t="s">
        <v>181</v>
      </c>
      <c r="F1417" s="56" t="s">
        <v>180</v>
      </c>
      <c r="G1417" s="56" t="s">
        <v>179</v>
      </c>
      <c r="H1417" s="57" t="s">
        <v>674</v>
      </c>
      <c r="I1417" s="55" t="s">
        <v>178</v>
      </c>
      <c r="J1417" s="55" t="s">
        <v>177</v>
      </c>
      <c r="K1417" s="56" t="s">
        <v>176</v>
      </c>
      <c r="L1417" s="55" t="s">
        <v>175</v>
      </c>
      <c r="M1417" s="55" t="s">
        <v>174</v>
      </c>
      <c r="N1417" s="54" t="s">
        <v>173</v>
      </c>
    </row>
    <row r="1418" spans="1:14" outlineLevel="1" x14ac:dyDescent="0.35">
      <c r="A1418" s="53" t="s">
        <v>254</v>
      </c>
      <c r="B1418" s="66" t="s">
        <v>215</v>
      </c>
      <c r="C1418" s="51">
        <v>64723</v>
      </c>
      <c r="D1418" s="51">
        <v>0</v>
      </c>
      <c r="E1418" s="51">
        <v>0</v>
      </c>
      <c r="F1418" s="51">
        <v>0</v>
      </c>
      <c r="G1418" s="51">
        <v>0</v>
      </c>
      <c r="H1418" s="51">
        <v>64723</v>
      </c>
      <c r="I1418" s="51">
        <v>0</v>
      </c>
      <c r="J1418" s="51">
        <v>64723</v>
      </c>
      <c r="K1418" s="51">
        <v>0</v>
      </c>
      <c r="L1418" s="51">
        <v>0</v>
      </c>
      <c r="M1418" s="51">
        <v>0</v>
      </c>
      <c r="N1418" s="51">
        <v>64723</v>
      </c>
    </row>
    <row r="1419" spans="1:14" outlineLevel="2" x14ac:dyDescent="0.35">
      <c r="A1419" s="53" t="s">
        <v>254</v>
      </c>
      <c r="B1419" s="66" t="s">
        <v>214</v>
      </c>
      <c r="C1419" s="51">
        <v>43051</v>
      </c>
      <c r="D1419" s="51">
        <v>0</v>
      </c>
      <c r="E1419" s="51">
        <v>0</v>
      </c>
      <c r="F1419" s="51">
        <v>0</v>
      </c>
      <c r="G1419" s="51">
        <v>0</v>
      </c>
      <c r="H1419" s="51">
        <v>43051</v>
      </c>
      <c r="I1419" s="51">
        <v>-43051</v>
      </c>
      <c r="J1419" s="51">
        <v>0</v>
      </c>
      <c r="K1419" s="51">
        <v>0</v>
      </c>
      <c r="L1419" s="51">
        <v>0</v>
      </c>
      <c r="M1419" s="51">
        <v>0</v>
      </c>
      <c r="N1419" s="51">
        <v>0</v>
      </c>
    </row>
    <row r="1420" spans="1:14" outlineLevel="2" x14ac:dyDescent="0.35">
      <c r="A1420" s="53" t="s">
        <v>254</v>
      </c>
      <c r="B1420" s="66" t="s">
        <v>212</v>
      </c>
      <c r="C1420" s="51">
        <v>54992</v>
      </c>
      <c r="D1420" s="51">
        <v>0</v>
      </c>
      <c r="E1420" s="51">
        <v>0</v>
      </c>
      <c r="F1420" s="51">
        <v>0</v>
      </c>
      <c r="G1420" s="51">
        <v>0</v>
      </c>
      <c r="H1420" s="51">
        <v>54992</v>
      </c>
      <c r="I1420" s="51">
        <v>-54992</v>
      </c>
      <c r="J1420" s="51">
        <v>0</v>
      </c>
      <c r="K1420" s="51">
        <v>0</v>
      </c>
      <c r="L1420" s="51">
        <v>0</v>
      </c>
      <c r="M1420" s="51">
        <v>0</v>
      </c>
      <c r="N1420" s="51">
        <v>0</v>
      </c>
    </row>
    <row r="1421" spans="1:14" outlineLevel="1" x14ac:dyDescent="0.35">
      <c r="A1421" s="53" t="s">
        <v>254</v>
      </c>
      <c r="B1421" s="66" t="s">
        <v>220</v>
      </c>
      <c r="C1421" s="51">
        <v>55019</v>
      </c>
      <c r="D1421" s="51">
        <v>-6011</v>
      </c>
      <c r="E1421" s="51">
        <v>0</v>
      </c>
      <c r="F1421" s="51">
        <v>0</v>
      </c>
      <c r="G1421" s="51">
        <v>0</v>
      </c>
      <c r="H1421" s="51">
        <v>49008</v>
      </c>
      <c r="I1421" s="51">
        <v>-49008</v>
      </c>
      <c r="J1421" s="51">
        <v>0</v>
      </c>
      <c r="K1421" s="51">
        <v>0</v>
      </c>
      <c r="L1421" s="51">
        <v>0</v>
      </c>
      <c r="M1421" s="51">
        <v>0</v>
      </c>
      <c r="N1421" s="51">
        <v>0</v>
      </c>
    </row>
    <row r="1422" spans="1:14" outlineLevel="1" x14ac:dyDescent="0.35">
      <c r="A1422" s="53" t="s">
        <v>254</v>
      </c>
      <c r="B1422" s="66" t="s">
        <v>219</v>
      </c>
      <c r="C1422" s="51">
        <v>47316</v>
      </c>
      <c r="D1422" s="51">
        <v>-3609</v>
      </c>
      <c r="E1422" s="51">
        <v>0</v>
      </c>
      <c r="F1422" s="51">
        <v>0</v>
      </c>
      <c r="G1422" s="51">
        <v>0</v>
      </c>
      <c r="H1422" s="51">
        <v>43707</v>
      </c>
      <c r="I1422" s="51">
        <v>-43707</v>
      </c>
      <c r="J1422" s="51">
        <v>0</v>
      </c>
      <c r="K1422" s="51">
        <v>0</v>
      </c>
      <c r="L1422" s="51">
        <v>0</v>
      </c>
      <c r="M1422" s="51">
        <v>0</v>
      </c>
      <c r="N1422" s="51">
        <v>0</v>
      </c>
    </row>
    <row r="1423" spans="1:14" outlineLevel="2" x14ac:dyDescent="0.35">
      <c r="A1423" s="53" t="s">
        <v>254</v>
      </c>
      <c r="B1423" s="66" t="s">
        <v>218</v>
      </c>
      <c r="C1423" s="51">
        <v>34205</v>
      </c>
      <c r="D1423" s="51">
        <v>-8474</v>
      </c>
      <c r="E1423" s="51">
        <v>0</v>
      </c>
      <c r="F1423" s="51">
        <v>0</v>
      </c>
      <c r="G1423" s="51">
        <v>0</v>
      </c>
      <c r="H1423" s="51">
        <v>25731</v>
      </c>
      <c r="I1423" s="51">
        <v>-25731</v>
      </c>
      <c r="J1423" s="51">
        <v>0</v>
      </c>
      <c r="K1423" s="51">
        <v>0</v>
      </c>
      <c r="L1423" s="51">
        <v>0</v>
      </c>
      <c r="M1423" s="51">
        <v>0</v>
      </c>
      <c r="N1423" s="51">
        <v>0</v>
      </c>
    </row>
    <row r="1424" spans="1:14" outlineLevel="2" x14ac:dyDescent="0.35">
      <c r="A1424" s="53" t="s">
        <v>254</v>
      </c>
      <c r="B1424" s="66" t="s">
        <v>209</v>
      </c>
      <c r="C1424" s="51">
        <v>29777</v>
      </c>
      <c r="D1424" s="51">
        <v>-6867</v>
      </c>
      <c r="E1424" s="51">
        <v>0</v>
      </c>
      <c r="F1424" s="51">
        <v>0</v>
      </c>
      <c r="G1424" s="51">
        <v>0</v>
      </c>
      <c r="H1424" s="51">
        <v>22910</v>
      </c>
      <c r="I1424" s="51">
        <v>-22910</v>
      </c>
      <c r="J1424" s="51">
        <v>0</v>
      </c>
      <c r="K1424" s="51">
        <v>0</v>
      </c>
      <c r="L1424" s="51">
        <v>0</v>
      </c>
      <c r="M1424" s="51">
        <v>0</v>
      </c>
      <c r="N1424" s="51">
        <v>0</v>
      </c>
    </row>
    <row r="1425" spans="1:14" outlineLevel="2" x14ac:dyDescent="0.35">
      <c r="A1425" s="53" t="s">
        <v>254</v>
      </c>
      <c r="B1425" s="66" t="s">
        <v>208</v>
      </c>
      <c r="C1425" s="51">
        <v>38671</v>
      </c>
      <c r="D1425" s="51">
        <v>-4261</v>
      </c>
      <c r="E1425" s="51">
        <v>0</v>
      </c>
      <c r="F1425" s="51">
        <v>0</v>
      </c>
      <c r="G1425" s="51">
        <v>0</v>
      </c>
      <c r="H1425" s="51">
        <v>34410</v>
      </c>
      <c r="I1425" s="51">
        <v>-34410</v>
      </c>
      <c r="J1425" s="51">
        <v>0</v>
      </c>
      <c r="K1425" s="51">
        <v>0</v>
      </c>
      <c r="L1425" s="51">
        <v>0</v>
      </c>
      <c r="M1425" s="51">
        <v>0</v>
      </c>
      <c r="N1425" s="51">
        <v>0</v>
      </c>
    </row>
    <row r="1426" spans="1:14" outlineLevel="2" x14ac:dyDescent="0.35">
      <c r="A1426" s="53" t="s">
        <v>254</v>
      </c>
      <c r="B1426" s="66" t="s">
        <v>206</v>
      </c>
      <c r="C1426" s="51">
        <v>32229</v>
      </c>
      <c r="D1426" s="51">
        <v>-14153</v>
      </c>
      <c r="E1426" s="51">
        <v>0</v>
      </c>
      <c r="F1426" s="51">
        <v>0</v>
      </c>
      <c r="G1426" s="51">
        <v>0</v>
      </c>
      <c r="H1426" s="51">
        <v>18076</v>
      </c>
      <c r="I1426" s="51">
        <v>-18076</v>
      </c>
      <c r="J1426" s="51">
        <v>0</v>
      </c>
      <c r="K1426" s="51">
        <v>0</v>
      </c>
      <c r="L1426" s="51">
        <v>0</v>
      </c>
      <c r="M1426" s="51">
        <v>0</v>
      </c>
      <c r="N1426" s="51">
        <v>0</v>
      </c>
    </row>
    <row r="1427" spans="1:14" outlineLevel="2" x14ac:dyDescent="0.35">
      <c r="A1427" s="53" t="s">
        <v>254</v>
      </c>
      <c r="B1427" s="66" t="s">
        <v>205</v>
      </c>
      <c r="C1427" s="51">
        <v>48630</v>
      </c>
      <c r="D1427" s="51">
        <v>-1561</v>
      </c>
      <c r="E1427" s="51">
        <v>0</v>
      </c>
      <c r="F1427" s="51">
        <v>0</v>
      </c>
      <c r="G1427" s="51">
        <v>0</v>
      </c>
      <c r="H1427" s="51">
        <v>47069</v>
      </c>
      <c r="I1427" s="51">
        <v>-47069</v>
      </c>
      <c r="J1427" s="51">
        <v>0</v>
      </c>
      <c r="K1427" s="51">
        <v>0</v>
      </c>
      <c r="L1427" s="51">
        <v>0</v>
      </c>
      <c r="M1427" s="51">
        <v>0</v>
      </c>
      <c r="N1427" s="51">
        <v>0</v>
      </c>
    </row>
    <row r="1428" spans="1:14" outlineLevel="1" x14ac:dyDescent="0.35">
      <c r="A1428" s="53" t="s">
        <v>254</v>
      </c>
      <c r="B1428" s="66" t="s">
        <v>204</v>
      </c>
      <c r="C1428" s="51">
        <v>42925</v>
      </c>
      <c r="D1428" s="51">
        <v>-2328</v>
      </c>
      <c r="E1428" s="51">
        <v>0</v>
      </c>
      <c r="F1428" s="51">
        <v>0</v>
      </c>
      <c r="G1428" s="51">
        <v>0</v>
      </c>
      <c r="H1428" s="51">
        <v>40597</v>
      </c>
      <c r="I1428" s="51">
        <v>-40597</v>
      </c>
      <c r="J1428" s="51">
        <v>0</v>
      </c>
      <c r="K1428" s="51">
        <v>0</v>
      </c>
      <c r="L1428" s="51">
        <v>0</v>
      </c>
      <c r="M1428" s="51">
        <v>0</v>
      </c>
      <c r="N1428" s="51">
        <v>0</v>
      </c>
    </row>
    <row r="1429" spans="1:14" outlineLevel="1" x14ac:dyDescent="0.35">
      <c r="A1429" s="53" t="s">
        <v>254</v>
      </c>
      <c r="B1429" s="66" t="s">
        <v>203</v>
      </c>
      <c r="C1429" s="51">
        <v>117357</v>
      </c>
      <c r="D1429" s="51">
        <v>-73024</v>
      </c>
      <c r="E1429" s="51">
        <v>0</v>
      </c>
      <c r="F1429" s="51">
        <v>0</v>
      </c>
      <c r="G1429" s="51">
        <v>0</v>
      </c>
      <c r="H1429" s="51">
        <v>44333</v>
      </c>
      <c r="I1429" s="51">
        <v>-44333</v>
      </c>
      <c r="J1429" s="51">
        <v>0</v>
      </c>
      <c r="K1429" s="51">
        <v>1004</v>
      </c>
      <c r="L1429" s="51">
        <v>-1004</v>
      </c>
      <c r="M1429" s="51">
        <v>0</v>
      </c>
      <c r="N1429" s="51">
        <v>0</v>
      </c>
    </row>
    <row r="1430" spans="1:14" outlineLevel="2" x14ac:dyDescent="0.35">
      <c r="A1430" s="53" t="s">
        <v>254</v>
      </c>
      <c r="B1430" s="66" t="s">
        <v>202</v>
      </c>
      <c r="C1430" s="51">
        <v>81525</v>
      </c>
      <c r="D1430" s="51">
        <v>0</v>
      </c>
      <c r="E1430" s="51">
        <v>0</v>
      </c>
      <c r="F1430" s="51">
        <v>0</v>
      </c>
      <c r="G1430" s="51">
        <v>0</v>
      </c>
      <c r="H1430" s="51">
        <v>81525</v>
      </c>
      <c r="I1430" s="51">
        <v>-81525</v>
      </c>
      <c r="J1430" s="51">
        <v>0</v>
      </c>
      <c r="K1430" s="51">
        <v>10000</v>
      </c>
      <c r="L1430" s="51">
        <v>-10000</v>
      </c>
      <c r="M1430" s="51">
        <v>0</v>
      </c>
      <c r="N1430" s="51">
        <v>0</v>
      </c>
    </row>
    <row r="1431" spans="1:14" outlineLevel="2" x14ac:dyDescent="0.35">
      <c r="A1431" s="53" t="s">
        <v>254</v>
      </c>
      <c r="B1431" s="66" t="s">
        <v>201</v>
      </c>
      <c r="C1431" s="51">
        <v>89763</v>
      </c>
      <c r="D1431" s="51">
        <v>-26391</v>
      </c>
      <c r="E1431" s="51">
        <v>0</v>
      </c>
      <c r="F1431" s="51">
        <v>0</v>
      </c>
      <c r="G1431" s="51">
        <v>0</v>
      </c>
      <c r="H1431" s="51">
        <v>63372</v>
      </c>
      <c r="I1431" s="51">
        <v>-63372</v>
      </c>
      <c r="J1431" s="51">
        <v>0</v>
      </c>
      <c r="K1431" s="51">
        <v>26391</v>
      </c>
      <c r="L1431" s="51">
        <v>-26391</v>
      </c>
      <c r="M1431" s="51">
        <v>0</v>
      </c>
      <c r="N1431" s="51">
        <v>0</v>
      </c>
    </row>
    <row r="1432" spans="1:14" outlineLevel="1" x14ac:dyDescent="0.35">
      <c r="A1432" s="53" t="s">
        <v>254</v>
      </c>
      <c r="B1432" s="66" t="s">
        <v>200</v>
      </c>
      <c r="C1432" s="51">
        <v>219173</v>
      </c>
      <c r="D1432" s="51">
        <v>-60674</v>
      </c>
      <c r="E1432" s="51">
        <v>0</v>
      </c>
      <c r="F1432" s="51">
        <v>0</v>
      </c>
      <c r="G1432" s="51">
        <v>0</v>
      </c>
      <c r="H1432" s="51">
        <v>158499</v>
      </c>
      <c r="I1432" s="51">
        <v>-158499</v>
      </c>
      <c r="J1432" s="51">
        <v>0</v>
      </c>
      <c r="K1432" s="51">
        <v>85734</v>
      </c>
      <c r="L1432" s="51">
        <v>-85734</v>
      </c>
      <c r="M1432" s="51">
        <v>0</v>
      </c>
      <c r="N1432" s="51">
        <v>0</v>
      </c>
    </row>
    <row r="1433" spans="1:14" outlineLevel="2" x14ac:dyDescent="0.35">
      <c r="A1433" s="53" t="s">
        <v>254</v>
      </c>
      <c r="B1433" s="66" t="s">
        <v>199</v>
      </c>
      <c r="C1433" s="51">
        <v>165114</v>
      </c>
      <c r="D1433" s="51">
        <v>-87629</v>
      </c>
      <c r="E1433" s="51">
        <v>0</v>
      </c>
      <c r="F1433" s="51">
        <v>0</v>
      </c>
      <c r="G1433" s="51">
        <v>0</v>
      </c>
      <c r="H1433" s="51">
        <v>77485</v>
      </c>
      <c r="I1433" s="51">
        <v>-77485</v>
      </c>
      <c r="J1433" s="51">
        <v>0</v>
      </c>
      <c r="K1433" s="51">
        <v>87629</v>
      </c>
      <c r="L1433" s="51">
        <v>-87629</v>
      </c>
      <c r="M1433" s="51">
        <v>0</v>
      </c>
      <c r="N1433" s="51">
        <v>0</v>
      </c>
    </row>
    <row r="1434" spans="1:14" outlineLevel="2" x14ac:dyDescent="0.35">
      <c r="A1434" s="53" t="s">
        <v>254</v>
      </c>
      <c r="B1434" s="66" t="s">
        <v>198</v>
      </c>
      <c r="C1434" s="51">
        <v>158487</v>
      </c>
      <c r="D1434" s="51">
        <v>-70769</v>
      </c>
      <c r="E1434" s="51">
        <v>0</v>
      </c>
      <c r="F1434" s="51">
        <v>0</v>
      </c>
      <c r="G1434" s="51">
        <v>0</v>
      </c>
      <c r="H1434" s="51">
        <v>87718</v>
      </c>
      <c r="I1434" s="51">
        <v>-87718</v>
      </c>
      <c r="J1434" s="51">
        <v>0</v>
      </c>
      <c r="K1434" s="51">
        <v>70769</v>
      </c>
      <c r="L1434" s="51">
        <v>-70769</v>
      </c>
      <c r="M1434" s="51">
        <v>0</v>
      </c>
      <c r="N1434" s="51">
        <v>0</v>
      </c>
    </row>
    <row r="1435" spans="1:14" outlineLevel="2" x14ac:dyDescent="0.35">
      <c r="A1435" s="53" t="s">
        <v>254</v>
      </c>
      <c r="B1435" s="66" t="s">
        <v>197</v>
      </c>
      <c r="C1435" s="51">
        <v>178762</v>
      </c>
      <c r="D1435" s="51">
        <v>-66171</v>
      </c>
      <c r="E1435" s="51">
        <v>0</v>
      </c>
      <c r="F1435" s="51">
        <v>0</v>
      </c>
      <c r="G1435" s="51">
        <v>0</v>
      </c>
      <c r="H1435" s="51">
        <v>112591</v>
      </c>
      <c r="I1435" s="51">
        <v>-112591</v>
      </c>
      <c r="J1435" s="51">
        <v>0</v>
      </c>
      <c r="K1435" s="51">
        <v>72578</v>
      </c>
      <c r="L1435" s="51">
        <v>-72578</v>
      </c>
      <c r="M1435" s="51">
        <v>0</v>
      </c>
      <c r="N1435" s="51">
        <v>0</v>
      </c>
    </row>
    <row r="1436" spans="1:14" outlineLevel="1" x14ac:dyDescent="0.35">
      <c r="A1436" s="53" t="s">
        <v>254</v>
      </c>
      <c r="B1436" s="66" t="s">
        <v>196</v>
      </c>
      <c r="C1436" s="51">
        <v>187655</v>
      </c>
      <c r="D1436" s="51">
        <v>-107062</v>
      </c>
      <c r="E1436" s="51">
        <v>0</v>
      </c>
      <c r="F1436" s="51">
        <v>0</v>
      </c>
      <c r="G1436" s="51">
        <v>0</v>
      </c>
      <c r="H1436" s="51">
        <v>80593</v>
      </c>
      <c r="I1436" s="51">
        <v>-80593</v>
      </c>
      <c r="J1436" s="51">
        <v>0</v>
      </c>
      <c r="K1436" s="51">
        <v>138062</v>
      </c>
      <c r="L1436" s="51">
        <v>-138062</v>
      </c>
      <c r="M1436" s="51">
        <v>0</v>
      </c>
      <c r="N1436" s="51">
        <v>0</v>
      </c>
    </row>
    <row r="1437" spans="1:14" outlineLevel="1" x14ac:dyDescent="0.35">
      <c r="A1437" s="53" t="s">
        <v>254</v>
      </c>
      <c r="B1437" s="66" t="s">
        <v>195</v>
      </c>
      <c r="C1437" s="51">
        <v>207821</v>
      </c>
      <c r="D1437" s="51">
        <v>-130632</v>
      </c>
      <c r="E1437" s="51">
        <v>0</v>
      </c>
      <c r="F1437" s="51">
        <v>0</v>
      </c>
      <c r="G1437" s="51">
        <v>0</v>
      </c>
      <c r="H1437" s="51">
        <v>77189</v>
      </c>
      <c r="I1437" s="51">
        <v>-77189</v>
      </c>
      <c r="J1437" s="51">
        <v>0</v>
      </c>
      <c r="K1437" s="51">
        <v>130632</v>
      </c>
      <c r="L1437" s="51">
        <v>-130632</v>
      </c>
      <c r="M1437" s="51">
        <v>0</v>
      </c>
      <c r="N1437" s="51">
        <v>0</v>
      </c>
    </row>
    <row r="1438" spans="1:14" outlineLevel="2" x14ac:dyDescent="0.35">
      <c r="A1438" s="53" t="s">
        <v>254</v>
      </c>
      <c r="B1438" s="66" t="s">
        <v>194</v>
      </c>
      <c r="C1438" s="51">
        <v>327793</v>
      </c>
      <c r="D1438" s="51">
        <v>-322731</v>
      </c>
      <c r="E1438" s="51">
        <v>0</v>
      </c>
      <c r="F1438" s="51">
        <v>0</v>
      </c>
      <c r="G1438" s="51">
        <v>0</v>
      </c>
      <c r="H1438" s="51">
        <v>5062</v>
      </c>
      <c r="I1438" s="51">
        <v>-5062</v>
      </c>
      <c r="J1438" s="51">
        <v>0</v>
      </c>
      <c r="K1438" s="51">
        <v>395472</v>
      </c>
      <c r="L1438" s="51">
        <v>-395472</v>
      </c>
      <c r="M1438" s="51">
        <v>0</v>
      </c>
      <c r="N1438" s="51">
        <v>0</v>
      </c>
    </row>
    <row r="1439" spans="1:14" outlineLevel="2" x14ac:dyDescent="0.35">
      <c r="A1439" s="53" t="s">
        <v>254</v>
      </c>
      <c r="B1439" s="66" t="s">
        <v>193</v>
      </c>
      <c r="C1439" s="51">
        <v>431885</v>
      </c>
      <c r="D1439" s="51">
        <v>-402563</v>
      </c>
      <c r="E1439" s="51">
        <v>0</v>
      </c>
      <c r="F1439" s="51">
        <v>0</v>
      </c>
      <c r="G1439" s="51">
        <v>0</v>
      </c>
      <c r="H1439" s="51">
        <v>29322</v>
      </c>
      <c r="I1439" s="51">
        <v>-29322</v>
      </c>
      <c r="J1439" s="51">
        <v>0</v>
      </c>
      <c r="K1439" s="51">
        <v>402563</v>
      </c>
      <c r="L1439" s="51">
        <v>-402563</v>
      </c>
      <c r="M1439" s="51">
        <v>0</v>
      </c>
      <c r="N1439" s="51">
        <v>0</v>
      </c>
    </row>
    <row r="1440" spans="1:14" outlineLevel="2" x14ac:dyDescent="0.35">
      <c r="A1440" s="53" t="s">
        <v>254</v>
      </c>
      <c r="B1440" s="66" t="s">
        <v>192</v>
      </c>
      <c r="C1440" s="51">
        <v>463624</v>
      </c>
      <c r="D1440" s="51">
        <v>-461619</v>
      </c>
      <c r="E1440" s="51">
        <v>0</v>
      </c>
      <c r="F1440" s="51">
        <v>0</v>
      </c>
      <c r="G1440" s="51">
        <v>0</v>
      </c>
      <c r="H1440" s="51">
        <v>2005</v>
      </c>
      <c r="I1440" s="51">
        <v>-2005</v>
      </c>
      <c r="J1440" s="51">
        <v>0</v>
      </c>
      <c r="K1440" s="51">
        <v>468219</v>
      </c>
      <c r="L1440" s="51">
        <v>-468219</v>
      </c>
      <c r="M1440" s="51">
        <v>0</v>
      </c>
      <c r="N1440" s="51">
        <v>0</v>
      </c>
    </row>
    <row r="1441" spans="1:14" outlineLevel="2" x14ac:dyDescent="0.35">
      <c r="A1441" s="53" t="s">
        <v>254</v>
      </c>
      <c r="B1441" s="66" t="s">
        <v>191</v>
      </c>
      <c r="C1441" s="51">
        <v>193481</v>
      </c>
      <c r="D1441" s="51">
        <v>-191280</v>
      </c>
      <c r="E1441" s="51">
        <v>0</v>
      </c>
      <c r="F1441" s="51">
        <v>0</v>
      </c>
      <c r="G1441" s="51">
        <v>0</v>
      </c>
      <c r="H1441" s="51">
        <v>2201</v>
      </c>
      <c r="I1441" s="51">
        <v>-2201</v>
      </c>
      <c r="J1441" s="51">
        <v>0</v>
      </c>
      <c r="K1441" s="51">
        <v>191280</v>
      </c>
      <c r="L1441" s="51">
        <v>-191280</v>
      </c>
      <c r="M1441" s="51">
        <v>0</v>
      </c>
      <c r="N1441" s="51">
        <v>0</v>
      </c>
    </row>
    <row r="1442" spans="1:14" outlineLevel="2" x14ac:dyDescent="0.35">
      <c r="A1442" s="53" t="s">
        <v>254</v>
      </c>
      <c r="B1442" s="66" t="s">
        <v>190</v>
      </c>
      <c r="C1442" s="51">
        <v>233426</v>
      </c>
      <c r="D1442" s="51">
        <v>0</v>
      </c>
      <c r="E1442" s="51">
        <v>0</v>
      </c>
      <c r="F1442" s="51">
        <v>0</v>
      </c>
      <c r="G1442" s="51">
        <v>0</v>
      </c>
      <c r="H1442" s="51">
        <v>233426</v>
      </c>
      <c r="I1442" s="51">
        <v>-233426</v>
      </c>
      <c r="J1442" s="51">
        <v>0</v>
      </c>
      <c r="K1442" s="51">
        <v>0</v>
      </c>
      <c r="L1442" s="51">
        <v>0</v>
      </c>
      <c r="M1442" s="51">
        <v>0</v>
      </c>
      <c r="N1442" s="51">
        <v>0</v>
      </c>
    </row>
    <row r="1443" spans="1:14" outlineLevel="1" x14ac:dyDescent="0.35">
      <c r="A1443" s="53" t="s">
        <v>254</v>
      </c>
      <c r="B1443" s="66" t="s">
        <v>189</v>
      </c>
      <c r="C1443" s="51">
        <v>250506</v>
      </c>
      <c r="D1443" s="51">
        <v>0</v>
      </c>
      <c r="E1443" s="51">
        <v>0</v>
      </c>
      <c r="F1443" s="51">
        <v>0</v>
      </c>
      <c r="G1443" s="51">
        <v>0</v>
      </c>
      <c r="H1443" s="51">
        <v>250506</v>
      </c>
      <c r="I1443" s="51">
        <v>-250506</v>
      </c>
      <c r="J1443" s="51">
        <v>0</v>
      </c>
      <c r="K1443" s="51">
        <v>0</v>
      </c>
      <c r="L1443" s="51">
        <v>0</v>
      </c>
      <c r="M1443" s="51">
        <v>0</v>
      </c>
      <c r="N1443" s="51">
        <v>0</v>
      </c>
    </row>
    <row r="1444" spans="1:14" outlineLevel="2" x14ac:dyDescent="0.35">
      <c r="A1444" s="53" t="s">
        <v>254</v>
      </c>
      <c r="B1444" s="66" t="s">
        <v>188</v>
      </c>
      <c r="C1444" s="51">
        <v>275186</v>
      </c>
      <c r="D1444" s="51">
        <v>0</v>
      </c>
      <c r="E1444" s="51">
        <v>0</v>
      </c>
      <c r="F1444" s="51">
        <v>0</v>
      </c>
      <c r="G1444" s="51">
        <v>0</v>
      </c>
      <c r="H1444" s="51">
        <v>275186</v>
      </c>
      <c r="I1444" s="51">
        <v>-275186</v>
      </c>
      <c r="J1444" s="51">
        <v>0</v>
      </c>
      <c r="K1444" s="51">
        <v>0</v>
      </c>
      <c r="L1444" s="51">
        <v>0</v>
      </c>
      <c r="M1444" s="51">
        <v>0</v>
      </c>
      <c r="N1444" s="51">
        <v>0</v>
      </c>
    </row>
    <row r="1445" spans="1:14" outlineLevel="2" x14ac:dyDescent="0.35">
      <c r="A1445" s="53" t="s">
        <v>254</v>
      </c>
      <c r="B1445" s="66" t="s">
        <v>186</v>
      </c>
      <c r="C1445" s="51">
        <v>234265</v>
      </c>
      <c r="D1445" s="51">
        <v>0</v>
      </c>
      <c r="E1445" s="51">
        <v>0</v>
      </c>
      <c r="F1445" s="51">
        <v>0</v>
      </c>
      <c r="G1445" s="51">
        <v>0</v>
      </c>
      <c r="H1445" s="51">
        <v>234265</v>
      </c>
      <c r="I1445" s="51">
        <v>-234265</v>
      </c>
      <c r="J1445" s="51">
        <v>0</v>
      </c>
      <c r="K1445" s="51">
        <v>0</v>
      </c>
      <c r="L1445" s="51">
        <v>0</v>
      </c>
      <c r="M1445" s="51">
        <v>0</v>
      </c>
      <c r="N1445" s="51">
        <v>0</v>
      </c>
    </row>
    <row r="1446" spans="1:14" outlineLevel="2" x14ac:dyDescent="0.35">
      <c r="A1446" s="53" t="s">
        <v>254</v>
      </c>
      <c r="B1446" s="66" t="s">
        <v>227</v>
      </c>
      <c r="C1446" s="51">
        <v>203225</v>
      </c>
      <c r="D1446" s="51">
        <v>0</v>
      </c>
      <c r="E1446" s="51">
        <v>0</v>
      </c>
      <c r="F1446" s="51">
        <v>0</v>
      </c>
      <c r="G1446" s="51">
        <v>0</v>
      </c>
      <c r="H1446" s="51">
        <v>203225</v>
      </c>
      <c r="I1446" s="51">
        <v>-203225</v>
      </c>
      <c r="J1446" s="51">
        <v>0</v>
      </c>
      <c r="K1446" s="51">
        <v>0</v>
      </c>
      <c r="L1446" s="51">
        <v>0</v>
      </c>
      <c r="M1446" s="51">
        <v>0</v>
      </c>
      <c r="N1446" s="51">
        <v>0</v>
      </c>
    </row>
    <row r="1447" spans="1:14" ht="16" outlineLevel="2" thickBot="1" x14ac:dyDescent="0.4">
      <c r="A1447" s="50" t="s">
        <v>78</v>
      </c>
      <c r="B1447" s="67" t="s">
        <v>12</v>
      </c>
      <c r="C1447" s="48">
        <f>SUBTOTAL(109,Program121[(C)
Program
Costs])</f>
        <v>4510586</v>
      </c>
      <c r="D1447" s="48">
        <f>SUBTOTAL(109,Program121[(D)
Prior Period Adjustments])</f>
        <v>-2047809</v>
      </c>
      <c r="E1447" s="48">
        <f>SUBTOTAL(109,Program121[(E)
Current Period Desk 
Reviews])</f>
        <v>0</v>
      </c>
      <c r="F1447" s="48">
        <f>SUBTOTAL(109,Program121[(F)
Current Period 
Final 
Audits])</f>
        <v>0</v>
      </c>
      <c r="G1447" s="48">
        <f>SUBTOTAL(109,Program121[(G)
Current Period 
Other Adjustments])</f>
        <v>0</v>
      </c>
      <c r="H1447" s="48">
        <f>SUBTOTAL(109,Program121[(H)
Net Program Costs
Sum (C through G)])</f>
        <v>2462777</v>
      </c>
      <c r="I1447" s="48">
        <f>SUBTOTAL(109,Program121[(I)
Payments
 and Offsets])</f>
        <v>-2398054</v>
      </c>
      <c r="J1447" s="48">
        <f>SUBTOTAL(109,Program121[(J)
Accounts Payable Balance
(H + I)])</f>
        <v>64723</v>
      </c>
      <c r="K1447" s="48">
        <f>SUBTOTAL(109,Program121[(K)
Established 
Accounts Receivable])</f>
        <v>2080333</v>
      </c>
      <c r="L1447" s="48">
        <f>SUBTOTAL(109,Program121[(L)
Recovered
 Accounts Receivable])</f>
        <v>-2080333</v>
      </c>
      <c r="M1447" s="48">
        <f>SUBTOTAL(109,Program121[(M)
Accounts Receivable Balance
(K + L)])</f>
        <v>0</v>
      </c>
      <c r="N1447" s="48">
        <f>SUBTOTAL(109,Program121[(N)
Net Balance
(J minus M)])</f>
        <v>64723</v>
      </c>
    </row>
    <row r="1448" spans="1:14" outlineLevel="2" x14ac:dyDescent="0.35">
      <c r="A1448" s="63" t="s">
        <v>33</v>
      </c>
      <c r="B1448" s="62"/>
      <c r="C1448" s="61"/>
      <c r="D1448" s="61"/>
      <c r="E1448" s="61"/>
      <c r="F1448" s="61"/>
      <c r="G1448" s="61"/>
      <c r="H1448" s="61"/>
      <c r="I1448" s="61"/>
      <c r="J1448" s="61"/>
      <c r="K1448" s="61"/>
      <c r="L1448" s="61"/>
      <c r="M1448" s="61"/>
      <c r="N1448" s="61"/>
    </row>
    <row r="1449" spans="1:14" ht="77.5" outlineLevel="1" x14ac:dyDescent="0.35">
      <c r="A1449" s="60" t="s">
        <v>185</v>
      </c>
      <c r="B1449" s="59" t="s">
        <v>184</v>
      </c>
      <c r="C1449" s="58" t="s">
        <v>183</v>
      </c>
      <c r="D1449" s="58" t="s">
        <v>182</v>
      </c>
      <c r="E1449" s="56" t="s">
        <v>181</v>
      </c>
      <c r="F1449" s="56" t="s">
        <v>180</v>
      </c>
      <c r="G1449" s="56" t="s">
        <v>179</v>
      </c>
      <c r="H1449" s="57" t="s">
        <v>674</v>
      </c>
      <c r="I1449" s="55" t="s">
        <v>178</v>
      </c>
      <c r="J1449" s="55" t="s">
        <v>177</v>
      </c>
      <c r="K1449" s="56" t="s">
        <v>176</v>
      </c>
      <c r="L1449" s="55" t="s">
        <v>175</v>
      </c>
      <c r="M1449" s="55" t="s">
        <v>174</v>
      </c>
      <c r="N1449" s="54" t="s">
        <v>173</v>
      </c>
    </row>
    <row r="1450" spans="1:14" outlineLevel="2" x14ac:dyDescent="0.35">
      <c r="A1450" s="53" t="s">
        <v>253</v>
      </c>
      <c r="B1450" s="66" t="s">
        <v>205</v>
      </c>
      <c r="C1450" s="51">
        <v>2177</v>
      </c>
      <c r="D1450" s="51">
        <v>0</v>
      </c>
      <c r="E1450" s="51">
        <v>0</v>
      </c>
      <c r="F1450" s="51">
        <v>0</v>
      </c>
      <c r="G1450" s="51">
        <v>0</v>
      </c>
      <c r="H1450" s="51">
        <v>2177</v>
      </c>
      <c r="I1450" s="51">
        <v>0</v>
      </c>
      <c r="J1450" s="51">
        <v>2177</v>
      </c>
      <c r="K1450" s="51">
        <v>0</v>
      </c>
      <c r="L1450" s="51">
        <v>0</v>
      </c>
      <c r="M1450" s="51">
        <v>0</v>
      </c>
      <c r="N1450" s="51">
        <v>2177</v>
      </c>
    </row>
    <row r="1451" spans="1:14" outlineLevel="2" x14ac:dyDescent="0.35">
      <c r="A1451" s="53" t="s">
        <v>253</v>
      </c>
      <c r="B1451" s="66" t="s">
        <v>204</v>
      </c>
      <c r="C1451" s="51">
        <v>112982</v>
      </c>
      <c r="D1451" s="51">
        <v>0</v>
      </c>
      <c r="E1451" s="51">
        <v>0</v>
      </c>
      <c r="F1451" s="51">
        <v>0</v>
      </c>
      <c r="G1451" s="51">
        <v>0</v>
      </c>
      <c r="H1451" s="51">
        <v>112982</v>
      </c>
      <c r="I1451" s="51">
        <v>0</v>
      </c>
      <c r="J1451" s="51">
        <v>112982</v>
      </c>
      <c r="K1451" s="51">
        <v>0</v>
      </c>
      <c r="L1451" s="51">
        <v>0</v>
      </c>
      <c r="M1451" s="51">
        <v>0</v>
      </c>
      <c r="N1451" s="51">
        <v>112982</v>
      </c>
    </row>
    <row r="1452" spans="1:14" outlineLevel="2" x14ac:dyDescent="0.35">
      <c r="A1452" s="53" t="s">
        <v>253</v>
      </c>
      <c r="B1452" s="66" t="s">
        <v>203</v>
      </c>
      <c r="C1452" s="51">
        <v>163955</v>
      </c>
      <c r="D1452" s="51">
        <v>0</v>
      </c>
      <c r="E1452" s="51">
        <v>0</v>
      </c>
      <c r="F1452" s="51">
        <v>0</v>
      </c>
      <c r="G1452" s="51">
        <v>0</v>
      </c>
      <c r="H1452" s="51">
        <v>163955</v>
      </c>
      <c r="I1452" s="51">
        <v>0</v>
      </c>
      <c r="J1452" s="51">
        <v>163955</v>
      </c>
      <c r="K1452" s="51">
        <v>0</v>
      </c>
      <c r="L1452" s="51">
        <v>0</v>
      </c>
      <c r="M1452" s="51">
        <v>0</v>
      </c>
      <c r="N1452" s="51">
        <v>163955</v>
      </c>
    </row>
    <row r="1453" spans="1:14" outlineLevel="2" x14ac:dyDescent="0.35">
      <c r="A1453" s="53" t="s">
        <v>253</v>
      </c>
      <c r="B1453" s="66" t="s">
        <v>202</v>
      </c>
      <c r="C1453" s="51">
        <v>417669</v>
      </c>
      <c r="D1453" s="51">
        <v>-107861</v>
      </c>
      <c r="E1453" s="51">
        <v>0</v>
      </c>
      <c r="F1453" s="51">
        <v>0</v>
      </c>
      <c r="G1453" s="51">
        <v>0</v>
      </c>
      <c r="H1453" s="51">
        <v>309808</v>
      </c>
      <c r="I1453" s="51">
        <v>-298328</v>
      </c>
      <c r="J1453" s="51">
        <v>11480</v>
      </c>
      <c r="K1453" s="51">
        <v>224111</v>
      </c>
      <c r="L1453" s="51">
        <v>-224111</v>
      </c>
      <c r="M1453" s="51">
        <v>0</v>
      </c>
      <c r="N1453" s="51">
        <v>11480</v>
      </c>
    </row>
    <row r="1454" spans="1:14" outlineLevel="2" x14ac:dyDescent="0.35">
      <c r="A1454" s="53" t="s">
        <v>253</v>
      </c>
      <c r="B1454" s="66" t="s">
        <v>201</v>
      </c>
      <c r="C1454" s="51">
        <v>503030</v>
      </c>
      <c r="D1454" s="51">
        <v>-210473</v>
      </c>
      <c r="E1454" s="51">
        <v>0</v>
      </c>
      <c r="F1454" s="51">
        <v>0</v>
      </c>
      <c r="G1454" s="51">
        <v>0</v>
      </c>
      <c r="H1454" s="51">
        <v>292557</v>
      </c>
      <c r="I1454" s="51">
        <v>-292557</v>
      </c>
      <c r="J1454" s="51">
        <v>0</v>
      </c>
      <c r="K1454" s="51">
        <v>215089</v>
      </c>
      <c r="L1454" s="51">
        <v>-215089</v>
      </c>
      <c r="M1454" s="51">
        <v>0</v>
      </c>
      <c r="N1454" s="51">
        <v>0</v>
      </c>
    </row>
    <row r="1455" spans="1:14" outlineLevel="2" x14ac:dyDescent="0.35">
      <c r="A1455" s="53" t="s">
        <v>253</v>
      </c>
      <c r="B1455" s="66" t="s">
        <v>200</v>
      </c>
      <c r="C1455" s="51">
        <v>617362</v>
      </c>
      <c r="D1455" s="51">
        <v>-277211</v>
      </c>
      <c r="E1455" s="51">
        <v>0</v>
      </c>
      <c r="F1455" s="51">
        <v>0</v>
      </c>
      <c r="G1455" s="51">
        <v>0</v>
      </c>
      <c r="H1455" s="51">
        <v>340151</v>
      </c>
      <c r="I1455" s="51">
        <v>-340151</v>
      </c>
      <c r="J1455" s="51">
        <v>0</v>
      </c>
      <c r="K1455" s="51">
        <v>381207</v>
      </c>
      <c r="L1455" s="51">
        <v>-381207</v>
      </c>
      <c r="M1455" s="51">
        <v>0</v>
      </c>
      <c r="N1455" s="51">
        <v>0</v>
      </c>
    </row>
    <row r="1456" spans="1:14" outlineLevel="2" x14ac:dyDescent="0.35">
      <c r="A1456" s="53" t="s">
        <v>253</v>
      </c>
      <c r="B1456" s="66" t="s">
        <v>199</v>
      </c>
      <c r="C1456" s="51">
        <v>696985</v>
      </c>
      <c r="D1456" s="51">
        <v>-286983</v>
      </c>
      <c r="E1456" s="51">
        <v>0</v>
      </c>
      <c r="F1456" s="51">
        <v>0</v>
      </c>
      <c r="G1456" s="51">
        <v>0</v>
      </c>
      <c r="H1456" s="51">
        <v>410002</v>
      </c>
      <c r="I1456" s="51">
        <v>-410002</v>
      </c>
      <c r="J1456" s="51">
        <v>0</v>
      </c>
      <c r="K1456" s="51">
        <v>0</v>
      </c>
      <c r="L1456" s="51">
        <v>0</v>
      </c>
      <c r="M1456" s="51">
        <v>0</v>
      </c>
      <c r="N1456" s="51">
        <v>0</v>
      </c>
    </row>
    <row r="1457" spans="1:14" outlineLevel="2" x14ac:dyDescent="0.35">
      <c r="A1457" s="53" t="s">
        <v>253</v>
      </c>
      <c r="B1457" s="66" t="s">
        <v>198</v>
      </c>
      <c r="C1457" s="51">
        <v>362200</v>
      </c>
      <c r="D1457" s="51">
        <v>-121067</v>
      </c>
      <c r="E1457" s="51">
        <v>0</v>
      </c>
      <c r="F1457" s="51">
        <v>0</v>
      </c>
      <c r="G1457" s="51">
        <v>0</v>
      </c>
      <c r="H1457" s="51">
        <v>241133</v>
      </c>
      <c r="I1457" s="51">
        <v>-241133</v>
      </c>
      <c r="J1457" s="51">
        <v>0</v>
      </c>
      <c r="K1457" s="51">
        <v>0</v>
      </c>
      <c r="L1457" s="51">
        <v>0</v>
      </c>
      <c r="M1457" s="51">
        <v>0</v>
      </c>
      <c r="N1457" s="51">
        <v>0</v>
      </c>
    </row>
    <row r="1458" spans="1:14" outlineLevel="2" x14ac:dyDescent="0.35">
      <c r="A1458" s="53" t="s">
        <v>253</v>
      </c>
      <c r="B1458" s="66" t="s">
        <v>197</v>
      </c>
      <c r="C1458" s="51">
        <v>444384</v>
      </c>
      <c r="D1458" s="51">
        <v>-3760</v>
      </c>
      <c r="E1458" s="51">
        <v>0</v>
      </c>
      <c r="F1458" s="51">
        <v>0</v>
      </c>
      <c r="G1458" s="51">
        <v>0</v>
      </c>
      <c r="H1458" s="51">
        <v>440624</v>
      </c>
      <c r="I1458" s="51">
        <v>-440624</v>
      </c>
      <c r="J1458" s="51">
        <v>0</v>
      </c>
      <c r="K1458" s="51">
        <v>0</v>
      </c>
      <c r="L1458" s="51">
        <v>0</v>
      </c>
      <c r="M1458" s="51">
        <v>0</v>
      </c>
      <c r="N1458" s="51">
        <v>0</v>
      </c>
    </row>
    <row r="1459" spans="1:14" outlineLevel="2" x14ac:dyDescent="0.35">
      <c r="A1459" s="53" t="s">
        <v>253</v>
      </c>
      <c r="B1459" s="66" t="s">
        <v>196</v>
      </c>
      <c r="C1459" s="51">
        <v>342725</v>
      </c>
      <c r="D1459" s="51">
        <v>-701</v>
      </c>
      <c r="E1459" s="51">
        <v>0</v>
      </c>
      <c r="F1459" s="51">
        <v>0</v>
      </c>
      <c r="G1459" s="51">
        <v>0</v>
      </c>
      <c r="H1459" s="51">
        <v>342024</v>
      </c>
      <c r="I1459" s="51">
        <v>-342024</v>
      </c>
      <c r="J1459" s="51">
        <v>0</v>
      </c>
      <c r="K1459" s="51">
        <v>0</v>
      </c>
      <c r="L1459" s="51">
        <v>0</v>
      </c>
      <c r="M1459" s="51">
        <v>0</v>
      </c>
      <c r="N1459" s="51">
        <v>0</v>
      </c>
    </row>
    <row r="1460" spans="1:14" outlineLevel="2" x14ac:dyDescent="0.35">
      <c r="A1460" s="53" t="s">
        <v>253</v>
      </c>
      <c r="B1460" s="66" t="s">
        <v>195</v>
      </c>
      <c r="C1460" s="51">
        <v>282850</v>
      </c>
      <c r="D1460" s="51">
        <v>-206</v>
      </c>
      <c r="E1460" s="51">
        <v>0</v>
      </c>
      <c r="F1460" s="51">
        <v>0</v>
      </c>
      <c r="G1460" s="51">
        <v>0</v>
      </c>
      <c r="H1460" s="51">
        <v>282644</v>
      </c>
      <c r="I1460" s="51">
        <v>-282644</v>
      </c>
      <c r="J1460" s="51">
        <v>0</v>
      </c>
      <c r="K1460" s="51">
        <v>0</v>
      </c>
      <c r="L1460" s="51">
        <v>0</v>
      </c>
      <c r="M1460" s="51">
        <v>0</v>
      </c>
      <c r="N1460" s="51">
        <v>0</v>
      </c>
    </row>
    <row r="1461" spans="1:14" outlineLevel="2" x14ac:dyDescent="0.35">
      <c r="A1461" s="53" t="s">
        <v>253</v>
      </c>
      <c r="B1461" s="66" t="s">
        <v>194</v>
      </c>
      <c r="C1461" s="51">
        <v>263289</v>
      </c>
      <c r="D1461" s="51">
        <v>0</v>
      </c>
      <c r="E1461" s="51">
        <v>0</v>
      </c>
      <c r="F1461" s="51">
        <v>0</v>
      </c>
      <c r="G1461" s="51">
        <v>0</v>
      </c>
      <c r="H1461" s="51">
        <v>263289</v>
      </c>
      <c r="I1461" s="51">
        <v>-263289</v>
      </c>
      <c r="J1461" s="51">
        <v>0</v>
      </c>
      <c r="K1461" s="51">
        <v>0</v>
      </c>
      <c r="L1461" s="51">
        <v>0</v>
      </c>
      <c r="M1461" s="51">
        <v>0</v>
      </c>
      <c r="N1461" s="51">
        <v>0</v>
      </c>
    </row>
    <row r="1462" spans="1:14" outlineLevel="2" x14ac:dyDescent="0.35">
      <c r="A1462" s="53" t="s">
        <v>253</v>
      </c>
      <c r="B1462" s="66" t="s">
        <v>193</v>
      </c>
      <c r="C1462" s="51">
        <v>281025</v>
      </c>
      <c r="D1462" s="51">
        <v>0</v>
      </c>
      <c r="E1462" s="51">
        <v>0</v>
      </c>
      <c r="F1462" s="51">
        <v>0</v>
      </c>
      <c r="G1462" s="51">
        <v>0</v>
      </c>
      <c r="H1462" s="51">
        <v>281025</v>
      </c>
      <c r="I1462" s="51">
        <v>-281025</v>
      </c>
      <c r="J1462" s="51">
        <v>0</v>
      </c>
      <c r="K1462" s="51">
        <v>0</v>
      </c>
      <c r="L1462" s="51">
        <v>0</v>
      </c>
      <c r="M1462" s="51">
        <v>0</v>
      </c>
      <c r="N1462" s="51">
        <v>0</v>
      </c>
    </row>
    <row r="1463" spans="1:14" ht="16" outlineLevel="2" thickBot="1" x14ac:dyDescent="0.4">
      <c r="A1463" s="50" t="s">
        <v>77</v>
      </c>
      <c r="B1463" s="67" t="s">
        <v>12</v>
      </c>
      <c r="C1463" s="48">
        <f>SUBTOTAL(109,Program215[(C)
Program
Costs])</f>
        <v>4490633</v>
      </c>
      <c r="D1463" s="48">
        <f>SUBTOTAL(109,Program215[(D)
Prior Period Adjustments])</f>
        <v>-1008262</v>
      </c>
      <c r="E1463" s="48">
        <f>SUBTOTAL(109,Program215[(E)
Current Period Desk 
Reviews])</f>
        <v>0</v>
      </c>
      <c r="F1463" s="48">
        <f>SUBTOTAL(109,Program215[(F)
Current Period 
Final 
Audits])</f>
        <v>0</v>
      </c>
      <c r="G1463" s="48">
        <f>SUBTOTAL(109,Program215[(G)
Current Period 
Other Adjustments])</f>
        <v>0</v>
      </c>
      <c r="H1463" s="48">
        <f>SUBTOTAL(109,Program215[(H)
Net Program Costs
Sum (C through G)])</f>
        <v>3482371</v>
      </c>
      <c r="I1463" s="48">
        <f>SUBTOTAL(109,Program215[(I)
Payments
 and Offsets])</f>
        <v>-3191777</v>
      </c>
      <c r="J1463" s="48">
        <f>SUBTOTAL(109,Program215[(J)
Accounts Payable Balance
(H + I)])</f>
        <v>290594</v>
      </c>
      <c r="K1463" s="48">
        <f>SUBTOTAL(109,Program215[(K)
Established 
Accounts Receivable])</f>
        <v>820407</v>
      </c>
      <c r="L1463" s="48">
        <f>SUBTOTAL(109,Program215[(L)
Recovered
 Accounts Receivable])</f>
        <v>-820407</v>
      </c>
      <c r="M1463" s="48">
        <f>SUBTOTAL(109,Program215[(M)
Accounts Receivable Balance
(K + L)])</f>
        <v>0</v>
      </c>
      <c r="N1463" s="48">
        <f>SUBTOTAL(109,Program215[(N)
Net Balance
(J minus M)])</f>
        <v>290594</v>
      </c>
    </row>
    <row r="1464" spans="1:14" outlineLevel="2" x14ac:dyDescent="0.35">
      <c r="A1464" s="63" t="s">
        <v>33</v>
      </c>
      <c r="B1464" s="62"/>
      <c r="C1464" s="61"/>
      <c r="D1464" s="61"/>
      <c r="E1464" s="61"/>
      <c r="F1464" s="61"/>
      <c r="G1464" s="61"/>
      <c r="H1464" s="61"/>
      <c r="I1464" s="61"/>
      <c r="J1464" s="61"/>
      <c r="K1464" s="61"/>
      <c r="L1464" s="61"/>
      <c r="M1464" s="61"/>
      <c r="N1464" s="61"/>
    </row>
    <row r="1465" spans="1:14" ht="77.5" outlineLevel="1" x14ac:dyDescent="0.35">
      <c r="A1465" s="60" t="s">
        <v>185</v>
      </c>
      <c r="B1465" s="59" t="s">
        <v>184</v>
      </c>
      <c r="C1465" s="58" t="s">
        <v>183</v>
      </c>
      <c r="D1465" s="58" t="s">
        <v>182</v>
      </c>
      <c r="E1465" s="56" t="s">
        <v>181</v>
      </c>
      <c r="F1465" s="56" t="s">
        <v>180</v>
      </c>
      <c r="G1465" s="56" t="s">
        <v>179</v>
      </c>
      <c r="H1465" s="57" t="s">
        <v>674</v>
      </c>
      <c r="I1465" s="55" t="s">
        <v>178</v>
      </c>
      <c r="J1465" s="55" t="s">
        <v>177</v>
      </c>
      <c r="K1465" s="56" t="s">
        <v>176</v>
      </c>
      <c r="L1465" s="55" t="s">
        <v>175</v>
      </c>
      <c r="M1465" s="55" t="s">
        <v>174</v>
      </c>
      <c r="N1465" s="54" t="s">
        <v>173</v>
      </c>
    </row>
    <row r="1466" spans="1:14" outlineLevel="1" x14ac:dyDescent="0.35">
      <c r="A1466" s="53" t="s">
        <v>252</v>
      </c>
      <c r="B1466" s="66" t="s">
        <v>194</v>
      </c>
      <c r="C1466" s="51">
        <v>814</v>
      </c>
      <c r="D1466" s="51">
        <v>0</v>
      </c>
      <c r="E1466" s="51">
        <v>0</v>
      </c>
      <c r="F1466" s="51">
        <v>0</v>
      </c>
      <c r="G1466" s="51">
        <v>0</v>
      </c>
      <c r="H1466" s="51">
        <v>814</v>
      </c>
      <c r="I1466" s="51">
        <v>-814</v>
      </c>
      <c r="J1466" s="51">
        <v>0</v>
      </c>
      <c r="K1466" s="51">
        <v>0</v>
      </c>
      <c r="L1466" s="51">
        <v>0</v>
      </c>
      <c r="M1466" s="51">
        <v>0</v>
      </c>
      <c r="N1466" s="51">
        <v>0</v>
      </c>
    </row>
    <row r="1467" spans="1:14" outlineLevel="1" x14ac:dyDescent="0.35">
      <c r="A1467" s="53" t="s">
        <v>252</v>
      </c>
      <c r="B1467" s="66" t="s">
        <v>193</v>
      </c>
      <c r="C1467" s="51">
        <v>232</v>
      </c>
      <c r="D1467" s="51">
        <v>0</v>
      </c>
      <c r="E1467" s="51">
        <v>0</v>
      </c>
      <c r="F1467" s="51">
        <v>0</v>
      </c>
      <c r="G1467" s="51">
        <v>0</v>
      </c>
      <c r="H1467" s="51">
        <v>232</v>
      </c>
      <c r="I1467" s="51">
        <v>-232</v>
      </c>
      <c r="J1467" s="51">
        <v>0</v>
      </c>
      <c r="K1467" s="51">
        <v>0</v>
      </c>
      <c r="L1467" s="51">
        <v>0</v>
      </c>
      <c r="M1467" s="51">
        <v>0</v>
      </c>
      <c r="N1467" s="51">
        <v>0</v>
      </c>
    </row>
    <row r="1468" spans="1:14" outlineLevel="2" x14ac:dyDescent="0.35">
      <c r="A1468" s="53" t="s">
        <v>252</v>
      </c>
      <c r="B1468" s="66" t="s">
        <v>188</v>
      </c>
      <c r="C1468" s="51">
        <v>36851</v>
      </c>
      <c r="D1468" s="51">
        <v>0</v>
      </c>
      <c r="E1468" s="51">
        <v>0</v>
      </c>
      <c r="F1468" s="51">
        <v>0</v>
      </c>
      <c r="G1468" s="51">
        <v>0</v>
      </c>
      <c r="H1468" s="51">
        <v>36851</v>
      </c>
      <c r="I1468" s="51">
        <v>-36851</v>
      </c>
      <c r="J1468" s="51">
        <v>0</v>
      </c>
      <c r="K1468" s="51">
        <v>0</v>
      </c>
      <c r="L1468" s="51">
        <v>0</v>
      </c>
      <c r="M1468" s="51">
        <v>0</v>
      </c>
      <c r="N1468" s="51">
        <v>0</v>
      </c>
    </row>
    <row r="1469" spans="1:14" outlineLevel="2" x14ac:dyDescent="0.35">
      <c r="A1469" s="53" t="s">
        <v>252</v>
      </c>
      <c r="B1469" s="66" t="s">
        <v>186</v>
      </c>
      <c r="C1469" s="51">
        <v>343413</v>
      </c>
      <c r="D1469" s="51">
        <v>-7750</v>
      </c>
      <c r="E1469" s="51">
        <v>0</v>
      </c>
      <c r="F1469" s="51">
        <v>0</v>
      </c>
      <c r="G1469" s="51">
        <v>0</v>
      </c>
      <c r="H1469" s="51">
        <v>335663</v>
      </c>
      <c r="I1469" s="51">
        <v>-335663</v>
      </c>
      <c r="J1469" s="51">
        <v>0</v>
      </c>
      <c r="K1469" s="51">
        <v>104659</v>
      </c>
      <c r="L1469" s="51">
        <v>-104659</v>
      </c>
      <c r="M1469" s="51">
        <v>0</v>
      </c>
      <c r="N1469" s="51">
        <v>0</v>
      </c>
    </row>
    <row r="1470" spans="1:14" ht="16" outlineLevel="2" thickBot="1" x14ac:dyDescent="0.4">
      <c r="A1470" s="50" t="s">
        <v>76</v>
      </c>
      <c r="B1470" s="67" t="s">
        <v>12</v>
      </c>
      <c r="C1470" s="48">
        <f>SUBTOTAL(109,Program28[(C)
Program
Costs])</f>
        <v>381310</v>
      </c>
      <c r="D1470" s="48">
        <f>SUBTOTAL(109,Program28[(D)
Prior Period Adjustments])</f>
        <v>-7750</v>
      </c>
      <c r="E1470" s="48">
        <f>SUBTOTAL(109,Program28[(E)
Current Period Desk 
Reviews])</f>
        <v>0</v>
      </c>
      <c r="F1470" s="48">
        <f>SUBTOTAL(109,Program28[(F)
Current Period 
Final 
Audits])</f>
        <v>0</v>
      </c>
      <c r="G1470" s="48">
        <f>SUBTOTAL(109,Program28[(G)
Current Period 
Other Adjustments])</f>
        <v>0</v>
      </c>
      <c r="H1470" s="48">
        <f>SUBTOTAL(109,Program28[(H)
Net Program Costs
Sum (C through G)])</f>
        <v>373560</v>
      </c>
      <c r="I1470" s="48">
        <f>SUBTOTAL(109,Program28[(I)
Payments
 and Offsets])</f>
        <v>-373560</v>
      </c>
      <c r="J1470" s="48">
        <f>SUBTOTAL(109,Program28[(J)
Accounts Payable Balance
(H + I)])</f>
        <v>0</v>
      </c>
      <c r="K1470" s="48">
        <f>SUBTOTAL(109,Program28[(K)
Established 
Accounts Receivable])</f>
        <v>104659</v>
      </c>
      <c r="L1470" s="48">
        <f>SUBTOTAL(109,Program28[(L)
Recovered
 Accounts Receivable])</f>
        <v>-104659</v>
      </c>
      <c r="M1470" s="48">
        <f>SUBTOTAL(109,Program28[(M)
Accounts Receivable Balance
(K + L)])</f>
        <v>0</v>
      </c>
      <c r="N1470" s="48">
        <f>SUBTOTAL(109,Program28[(N)
Net Balance
(J minus M)])</f>
        <v>0</v>
      </c>
    </row>
    <row r="1471" spans="1:14" outlineLevel="2" x14ac:dyDescent="0.35">
      <c r="A1471" s="63" t="s">
        <v>33</v>
      </c>
      <c r="B1471" s="62"/>
      <c r="C1471" s="61"/>
      <c r="D1471" s="61"/>
      <c r="E1471" s="61"/>
      <c r="F1471" s="61"/>
      <c r="G1471" s="61"/>
      <c r="H1471" s="61"/>
      <c r="I1471" s="61"/>
      <c r="J1471" s="61"/>
      <c r="K1471" s="61"/>
      <c r="L1471" s="61"/>
      <c r="M1471" s="61"/>
      <c r="N1471" s="61"/>
    </row>
    <row r="1472" spans="1:14" ht="77.5" outlineLevel="1" x14ac:dyDescent="0.35">
      <c r="A1472" s="60" t="s">
        <v>185</v>
      </c>
      <c r="B1472" s="59" t="s">
        <v>184</v>
      </c>
      <c r="C1472" s="58" t="s">
        <v>183</v>
      </c>
      <c r="D1472" s="58" t="s">
        <v>182</v>
      </c>
      <c r="E1472" s="56" t="s">
        <v>181</v>
      </c>
      <c r="F1472" s="56" t="s">
        <v>180</v>
      </c>
      <c r="G1472" s="56" t="s">
        <v>179</v>
      </c>
      <c r="H1472" s="57" t="s">
        <v>674</v>
      </c>
      <c r="I1472" s="55" t="s">
        <v>178</v>
      </c>
      <c r="J1472" s="55" t="s">
        <v>177</v>
      </c>
      <c r="K1472" s="56" t="s">
        <v>176</v>
      </c>
      <c r="L1472" s="55" t="s">
        <v>175</v>
      </c>
      <c r="M1472" s="55" t="s">
        <v>174</v>
      </c>
      <c r="N1472" s="54" t="s">
        <v>173</v>
      </c>
    </row>
    <row r="1473" spans="1:14" outlineLevel="2" x14ac:dyDescent="0.35">
      <c r="A1473" s="53" t="s">
        <v>251</v>
      </c>
      <c r="B1473" s="66" t="s">
        <v>205</v>
      </c>
      <c r="C1473" s="51">
        <v>14883</v>
      </c>
      <c r="D1473" s="51">
        <v>-7079</v>
      </c>
      <c r="E1473" s="51">
        <v>0</v>
      </c>
      <c r="F1473" s="51">
        <v>0</v>
      </c>
      <c r="G1473" s="51">
        <v>0</v>
      </c>
      <c r="H1473" s="51">
        <v>7804</v>
      </c>
      <c r="I1473" s="51">
        <v>0</v>
      </c>
      <c r="J1473" s="51">
        <v>7804</v>
      </c>
      <c r="K1473" s="51">
        <v>0</v>
      </c>
      <c r="L1473" s="51">
        <v>0</v>
      </c>
      <c r="M1473" s="51">
        <v>0</v>
      </c>
      <c r="N1473" s="51">
        <v>7804</v>
      </c>
    </row>
    <row r="1474" spans="1:14" outlineLevel="2" x14ac:dyDescent="0.35">
      <c r="A1474" s="53" t="s">
        <v>251</v>
      </c>
      <c r="B1474" s="66" t="s">
        <v>204</v>
      </c>
      <c r="C1474" s="51">
        <v>142938</v>
      </c>
      <c r="D1474" s="51">
        <v>-480</v>
      </c>
      <c r="E1474" s="51">
        <v>0</v>
      </c>
      <c r="F1474" s="51">
        <v>0</v>
      </c>
      <c r="G1474" s="51">
        <v>0</v>
      </c>
      <c r="H1474" s="51">
        <v>142458</v>
      </c>
      <c r="I1474" s="51">
        <v>0</v>
      </c>
      <c r="J1474" s="51">
        <v>142458</v>
      </c>
      <c r="K1474" s="51">
        <v>0</v>
      </c>
      <c r="L1474" s="51">
        <v>0</v>
      </c>
      <c r="M1474" s="51">
        <v>0</v>
      </c>
      <c r="N1474" s="51">
        <v>142458</v>
      </c>
    </row>
    <row r="1475" spans="1:14" outlineLevel="1" x14ac:dyDescent="0.35">
      <c r="A1475" s="53" t="s">
        <v>251</v>
      </c>
      <c r="B1475" s="66" t="s">
        <v>203</v>
      </c>
      <c r="C1475" s="51">
        <v>130667</v>
      </c>
      <c r="D1475" s="51">
        <v>-6990</v>
      </c>
      <c r="E1475" s="51">
        <v>0</v>
      </c>
      <c r="F1475" s="51">
        <v>0</v>
      </c>
      <c r="G1475" s="51">
        <v>0</v>
      </c>
      <c r="H1475" s="51">
        <v>123677</v>
      </c>
      <c r="I1475" s="51">
        <v>0</v>
      </c>
      <c r="J1475" s="51">
        <v>123677</v>
      </c>
      <c r="K1475" s="51">
        <v>0</v>
      </c>
      <c r="L1475" s="51">
        <v>0</v>
      </c>
      <c r="M1475" s="51">
        <v>0</v>
      </c>
      <c r="N1475" s="51">
        <v>123677</v>
      </c>
    </row>
    <row r="1476" spans="1:14" outlineLevel="1" x14ac:dyDescent="0.35">
      <c r="A1476" s="53" t="s">
        <v>251</v>
      </c>
      <c r="B1476" s="66" t="s">
        <v>202</v>
      </c>
      <c r="C1476" s="51">
        <v>362028</v>
      </c>
      <c r="D1476" s="51">
        <v>-2723</v>
      </c>
      <c r="E1476" s="51">
        <v>0</v>
      </c>
      <c r="F1476" s="51">
        <v>0</v>
      </c>
      <c r="G1476" s="51">
        <v>0</v>
      </c>
      <c r="H1476" s="51">
        <v>359305</v>
      </c>
      <c r="I1476" s="51">
        <v>-334797</v>
      </c>
      <c r="J1476" s="51">
        <v>24508</v>
      </c>
      <c r="K1476" s="51">
        <v>0</v>
      </c>
      <c r="L1476" s="51">
        <v>0</v>
      </c>
      <c r="M1476" s="51">
        <v>0</v>
      </c>
      <c r="N1476" s="51">
        <v>24508</v>
      </c>
    </row>
    <row r="1477" spans="1:14" outlineLevel="2" x14ac:dyDescent="0.35">
      <c r="A1477" s="53" t="s">
        <v>251</v>
      </c>
      <c r="B1477" s="66" t="s">
        <v>201</v>
      </c>
      <c r="C1477" s="51">
        <v>177684</v>
      </c>
      <c r="D1477" s="51">
        <v>-4312</v>
      </c>
      <c r="E1477" s="51">
        <v>0</v>
      </c>
      <c r="F1477" s="51">
        <v>0</v>
      </c>
      <c r="G1477" s="51">
        <v>0</v>
      </c>
      <c r="H1477" s="51">
        <v>173372</v>
      </c>
      <c r="I1477" s="51">
        <v>-134566</v>
      </c>
      <c r="J1477" s="51">
        <v>38806</v>
      </c>
      <c r="K1477" s="51">
        <v>0</v>
      </c>
      <c r="L1477" s="51">
        <v>0</v>
      </c>
      <c r="M1477" s="51">
        <v>0</v>
      </c>
      <c r="N1477" s="51">
        <v>38806</v>
      </c>
    </row>
    <row r="1478" spans="1:14" outlineLevel="2" x14ac:dyDescent="0.35">
      <c r="A1478" s="53" t="s">
        <v>251</v>
      </c>
      <c r="B1478" s="66" t="s">
        <v>200</v>
      </c>
      <c r="C1478" s="51">
        <v>32753</v>
      </c>
      <c r="D1478" s="51">
        <v>-1570</v>
      </c>
      <c r="E1478" s="51">
        <v>0</v>
      </c>
      <c r="F1478" s="51">
        <v>0</v>
      </c>
      <c r="G1478" s="51">
        <v>0</v>
      </c>
      <c r="H1478" s="51">
        <v>31183</v>
      </c>
      <c r="I1478" s="51">
        <v>-17053</v>
      </c>
      <c r="J1478" s="51">
        <v>14130</v>
      </c>
      <c r="K1478" s="51">
        <v>0</v>
      </c>
      <c r="L1478" s="51">
        <v>0</v>
      </c>
      <c r="M1478" s="51">
        <v>0</v>
      </c>
      <c r="N1478" s="51">
        <v>14130</v>
      </c>
    </row>
    <row r="1479" spans="1:14" outlineLevel="2" x14ac:dyDescent="0.35">
      <c r="A1479" s="53" t="s">
        <v>251</v>
      </c>
      <c r="B1479" s="66" t="s">
        <v>199</v>
      </c>
      <c r="C1479" s="51">
        <v>151451</v>
      </c>
      <c r="D1479" s="51">
        <v>-2740</v>
      </c>
      <c r="E1479" s="51">
        <v>0</v>
      </c>
      <c r="F1479" s="51">
        <v>0</v>
      </c>
      <c r="G1479" s="51">
        <v>0</v>
      </c>
      <c r="H1479" s="51">
        <v>148711</v>
      </c>
      <c r="I1479" s="51">
        <v>-124059</v>
      </c>
      <c r="J1479" s="51">
        <v>24652</v>
      </c>
      <c r="K1479" s="51">
        <v>0</v>
      </c>
      <c r="L1479" s="51">
        <v>0</v>
      </c>
      <c r="M1479" s="51">
        <v>0</v>
      </c>
      <c r="N1479" s="51">
        <v>24652</v>
      </c>
    </row>
    <row r="1480" spans="1:14" outlineLevel="1" x14ac:dyDescent="0.35">
      <c r="A1480" s="53" t="s">
        <v>251</v>
      </c>
      <c r="B1480" s="66" t="s">
        <v>198</v>
      </c>
      <c r="C1480" s="51">
        <v>138015</v>
      </c>
      <c r="D1480" s="51">
        <v>-2533</v>
      </c>
      <c r="E1480" s="51">
        <v>0</v>
      </c>
      <c r="F1480" s="51">
        <v>0</v>
      </c>
      <c r="G1480" s="51">
        <v>0</v>
      </c>
      <c r="H1480" s="51">
        <v>135482</v>
      </c>
      <c r="I1480" s="51">
        <v>-112687</v>
      </c>
      <c r="J1480" s="51">
        <v>22795</v>
      </c>
      <c r="K1480" s="51">
        <v>0</v>
      </c>
      <c r="L1480" s="51">
        <v>0</v>
      </c>
      <c r="M1480" s="51">
        <v>0</v>
      </c>
      <c r="N1480" s="51">
        <v>22795</v>
      </c>
    </row>
    <row r="1481" spans="1:14" outlineLevel="2" x14ac:dyDescent="0.35">
      <c r="A1481" s="53" t="s">
        <v>251</v>
      </c>
      <c r="B1481" s="66" t="s">
        <v>197</v>
      </c>
      <c r="C1481" s="51">
        <v>75025</v>
      </c>
      <c r="D1481" s="51">
        <v>-1250</v>
      </c>
      <c r="E1481" s="51">
        <v>0</v>
      </c>
      <c r="F1481" s="51">
        <v>0</v>
      </c>
      <c r="G1481" s="51">
        <v>0</v>
      </c>
      <c r="H1481" s="51">
        <v>73775</v>
      </c>
      <c r="I1481" s="51">
        <v>-62375</v>
      </c>
      <c r="J1481" s="51">
        <v>11400</v>
      </c>
      <c r="K1481" s="51">
        <v>0</v>
      </c>
      <c r="L1481" s="51">
        <v>0</v>
      </c>
      <c r="M1481" s="51">
        <v>0</v>
      </c>
      <c r="N1481" s="51">
        <v>11400</v>
      </c>
    </row>
    <row r="1482" spans="1:14" ht="16" outlineLevel="2" thickBot="1" x14ac:dyDescent="0.4">
      <c r="A1482" s="73" t="s">
        <v>75</v>
      </c>
      <c r="B1482" s="67" t="s">
        <v>12</v>
      </c>
      <c r="C1482" s="48">
        <f>SUBTOTAL(109,Program279[(C)
Program
Costs])</f>
        <v>1225444</v>
      </c>
      <c r="D1482" s="48">
        <f>SUBTOTAL(109,Program279[(D)
Prior Period Adjustments])</f>
        <v>-29677</v>
      </c>
      <c r="E1482" s="48">
        <f>SUBTOTAL(109,Program279[(E)
Current Period Desk 
Reviews])</f>
        <v>0</v>
      </c>
      <c r="F1482" s="48">
        <f>SUBTOTAL(109,Program279[(F)
Current Period 
Final 
Audits])</f>
        <v>0</v>
      </c>
      <c r="G1482" s="48">
        <f>SUBTOTAL(109,Program279[(G)
Current Period 
Other Adjustments])</f>
        <v>0</v>
      </c>
      <c r="H1482" s="48">
        <f>SUBTOTAL(109,Program279[(H)
Net Program Costs
Sum (C through G)])</f>
        <v>1195767</v>
      </c>
      <c r="I1482" s="48">
        <f>SUBTOTAL(109,Program279[(I)
Payments
 and Offsets])</f>
        <v>-785537</v>
      </c>
      <c r="J1482" s="48">
        <f>SUBTOTAL(109,Program279[(J)
Accounts Payable Balance
(H + I)])</f>
        <v>410230</v>
      </c>
      <c r="K1482" s="48">
        <f>SUBTOTAL(109,Program279[(K)
Established 
Accounts Receivable])</f>
        <v>0</v>
      </c>
      <c r="L1482" s="48">
        <f>SUBTOTAL(109,Program279[(L)
Recovered
 Accounts Receivable])</f>
        <v>0</v>
      </c>
      <c r="M1482" s="48">
        <f>SUBTOTAL(109,Program279[(M)
Accounts Receivable Balance
(K + L)])</f>
        <v>0</v>
      </c>
      <c r="N1482" s="72">
        <f>SUBTOTAL(109,Program279[(N)
Net Balance
(J minus M)])</f>
        <v>410230</v>
      </c>
    </row>
    <row r="1483" spans="1:14" outlineLevel="2" x14ac:dyDescent="0.35">
      <c r="A1483" s="63" t="s">
        <v>33</v>
      </c>
      <c r="B1483" s="62"/>
      <c r="C1483" s="61"/>
      <c r="D1483" s="61"/>
      <c r="E1483" s="61"/>
      <c r="F1483" s="61"/>
      <c r="G1483" s="61"/>
      <c r="H1483" s="61"/>
      <c r="I1483" s="61"/>
      <c r="J1483" s="61"/>
      <c r="K1483" s="61"/>
      <c r="L1483" s="61"/>
      <c r="M1483" s="61"/>
      <c r="N1483" s="61"/>
    </row>
    <row r="1484" spans="1:14" ht="77.5" outlineLevel="2" x14ac:dyDescent="0.35">
      <c r="A1484" s="60" t="s">
        <v>185</v>
      </c>
      <c r="B1484" s="59" t="s">
        <v>184</v>
      </c>
      <c r="C1484" s="58" t="s">
        <v>183</v>
      </c>
      <c r="D1484" s="58" t="s">
        <v>182</v>
      </c>
      <c r="E1484" s="56" t="s">
        <v>181</v>
      </c>
      <c r="F1484" s="56" t="s">
        <v>180</v>
      </c>
      <c r="G1484" s="56" t="s">
        <v>179</v>
      </c>
      <c r="H1484" s="57" t="s">
        <v>674</v>
      </c>
      <c r="I1484" s="55" t="s">
        <v>178</v>
      </c>
      <c r="J1484" s="55" t="s">
        <v>177</v>
      </c>
      <c r="K1484" s="56" t="s">
        <v>176</v>
      </c>
      <c r="L1484" s="55" t="s">
        <v>175</v>
      </c>
      <c r="M1484" s="55" t="s">
        <v>174</v>
      </c>
      <c r="N1484" s="54" t="s">
        <v>173</v>
      </c>
    </row>
    <row r="1485" spans="1:14" outlineLevel="2" x14ac:dyDescent="0.35">
      <c r="A1485" s="53" t="s">
        <v>250</v>
      </c>
      <c r="B1485" s="66" t="s">
        <v>204</v>
      </c>
      <c r="C1485" s="51">
        <v>625288</v>
      </c>
      <c r="D1485" s="51">
        <v>0</v>
      </c>
      <c r="E1485" s="51">
        <v>0</v>
      </c>
      <c r="F1485" s="51">
        <v>0</v>
      </c>
      <c r="G1485" s="51">
        <v>0</v>
      </c>
      <c r="H1485" s="51">
        <v>625288</v>
      </c>
      <c r="I1485" s="51">
        <v>-625288</v>
      </c>
      <c r="J1485" s="51">
        <v>0</v>
      </c>
      <c r="K1485" s="51">
        <v>0</v>
      </c>
      <c r="L1485" s="51">
        <v>0</v>
      </c>
      <c r="M1485" s="51">
        <v>0</v>
      </c>
      <c r="N1485" s="51">
        <v>0</v>
      </c>
    </row>
    <row r="1486" spans="1:14" ht="16" outlineLevel="2" thickBot="1" x14ac:dyDescent="0.4">
      <c r="A1486" s="50" t="s">
        <v>74</v>
      </c>
      <c r="B1486" s="67" t="s">
        <v>12</v>
      </c>
      <c r="C1486" s="48">
        <f>SUBTOTAL(109,Program363[(C)
Program
Costs])</f>
        <v>625288</v>
      </c>
      <c r="D1486" s="48">
        <f>SUBTOTAL(109,Program363[(D)
Prior Period Adjustments])</f>
        <v>0</v>
      </c>
      <c r="E1486" s="48">
        <f>SUBTOTAL(109,Program363[(E)
Current Period Desk 
Reviews])</f>
        <v>0</v>
      </c>
      <c r="F1486" s="48">
        <f>SUBTOTAL(109,Program363[(F)
Current Period 
Final 
Audits])</f>
        <v>0</v>
      </c>
      <c r="G1486" s="48">
        <f>SUBTOTAL(109,Program363[(G)
Current Period 
Other Adjustments])</f>
        <v>0</v>
      </c>
      <c r="H1486" s="48">
        <f>SUBTOTAL(109,Program363[(H)
Net Program Costs
Sum (C through G)])</f>
        <v>625288</v>
      </c>
      <c r="I1486" s="48">
        <f>SUBTOTAL(109,Program363[(I)
Payments
 and Offsets])</f>
        <v>-625288</v>
      </c>
      <c r="J1486" s="48">
        <f>SUBTOTAL(109,Program363[(J)
Accounts Payable Balance
(H + I)])</f>
        <v>0</v>
      </c>
      <c r="K1486" s="48">
        <f>SUBTOTAL(109,Program363[(K)
Established 
Accounts Receivable])</f>
        <v>0</v>
      </c>
      <c r="L1486" s="48">
        <f>SUBTOTAL(109,Program363[(L)
Recovered
 Accounts Receivable])</f>
        <v>0</v>
      </c>
      <c r="M1486" s="48">
        <f>SUBTOTAL(109,Program363[(M)
Accounts Receivable Balance
(K + L)])</f>
        <v>0</v>
      </c>
      <c r="N1486" s="48">
        <f>SUBTOTAL(109,Program363[(N)
Net Balance
(J minus M)])</f>
        <v>0</v>
      </c>
    </row>
    <row r="1487" spans="1:14" outlineLevel="2" x14ac:dyDescent="0.35">
      <c r="A1487" s="63" t="s">
        <v>33</v>
      </c>
      <c r="B1487" s="62"/>
      <c r="C1487" s="61"/>
      <c r="D1487" s="61"/>
      <c r="E1487" s="61"/>
      <c r="F1487" s="61"/>
      <c r="G1487" s="61"/>
      <c r="H1487" s="61"/>
      <c r="I1487" s="61"/>
      <c r="J1487" s="61"/>
      <c r="K1487" s="61"/>
      <c r="L1487" s="61"/>
      <c r="M1487" s="61"/>
      <c r="N1487" s="61"/>
    </row>
    <row r="1488" spans="1:14" ht="77.5" outlineLevel="2" x14ac:dyDescent="0.35">
      <c r="A1488" s="60" t="s">
        <v>185</v>
      </c>
      <c r="B1488" s="59" t="s">
        <v>184</v>
      </c>
      <c r="C1488" s="58" t="s">
        <v>183</v>
      </c>
      <c r="D1488" s="58" t="s">
        <v>182</v>
      </c>
      <c r="E1488" s="56" t="s">
        <v>181</v>
      </c>
      <c r="F1488" s="56" t="s">
        <v>180</v>
      </c>
      <c r="G1488" s="56" t="s">
        <v>179</v>
      </c>
      <c r="H1488" s="57" t="s">
        <v>674</v>
      </c>
      <c r="I1488" s="55" t="s">
        <v>178</v>
      </c>
      <c r="J1488" s="55" t="s">
        <v>177</v>
      </c>
      <c r="K1488" s="56" t="s">
        <v>176</v>
      </c>
      <c r="L1488" s="55" t="s">
        <v>175</v>
      </c>
      <c r="M1488" s="55" t="s">
        <v>174</v>
      </c>
      <c r="N1488" s="54" t="s">
        <v>173</v>
      </c>
    </row>
    <row r="1489" spans="1:14" ht="31" outlineLevel="2" x14ac:dyDescent="0.35">
      <c r="A1489" s="70" t="s">
        <v>249</v>
      </c>
      <c r="B1489" s="69" t="s">
        <v>204</v>
      </c>
      <c r="C1489" s="68">
        <v>641608</v>
      </c>
      <c r="D1489" s="68">
        <v>-640486</v>
      </c>
      <c r="E1489" s="68">
        <v>0</v>
      </c>
      <c r="F1489" s="68">
        <v>0</v>
      </c>
      <c r="G1489" s="68">
        <v>0</v>
      </c>
      <c r="H1489" s="68">
        <v>1122</v>
      </c>
      <c r="I1489" s="68">
        <v>0</v>
      </c>
      <c r="J1489" s="68">
        <v>1122</v>
      </c>
      <c r="K1489" s="68">
        <v>0</v>
      </c>
      <c r="L1489" s="68">
        <v>0</v>
      </c>
      <c r="M1489" s="68">
        <v>0</v>
      </c>
      <c r="N1489" s="68">
        <v>1122</v>
      </c>
    </row>
    <row r="1490" spans="1:14" ht="31" outlineLevel="2" x14ac:dyDescent="0.35">
      <c r="A1490" s="70" t="s">
        <v>249</v>
      </c>
      <c r="B1490" s="69" t="s">
        <v>203</v>
      </c>
      <c r="C1490" s="68">
        <v>538415</v>
      </c>
      <c r="D1490" s="68">
        <v>-534077</v>
      </c>
      <c r="E1490" s="68">
        <v>0</v>
      </c>
      <c r="F1490" s="68">
        <v>0</v>
      </c>
      <c r="G1490" s="68">
        <v>0</v>
      </c>
      <c r="H1490" s="68">
        <v>4338</v>
      </c>
      <c r="I1490" s="68">
        <v>0</v>
      </c>
      <c r="J1490" s="68">
        <v>4338</v>
      </c>
      <c r="K1490" s="68">
        <v>0</v>
      </c>
      <c r="L1490" s="68">
        <v>0</v>
      </c>
      <c r="M1490" s="68">
        <v>0</v>
      </c>
      <c r="N1490" s="68">
        <v>4338</v>
      </c>
    </row>
    <row r="1491" spans="1:14" ht="31" outlineLevel="1" x14ac:dyDescent="0.35">
      <c r="A1491" s="70" t="s">
        <v>249</v>
      </c>
      <c r="B1491" s="69" t="s">
        <v>202</v>
      </c>
      <c r="C1491" s="68">
        <v>472590</v>
      </c>
      <c r="D1491" s="68">
        <v>-471136</v>
      </c>
      <c r="E1491" s="68">
        <v>0</v>
      </c>
      <c r="F1491" s="68">
        <v>0</v>
      </c>
      <c r="G1491" s="68">
        <v>0</v>
      </c>
      <c r="H1491" s="68">
        <v>1454</v>
      </c>
      <c r="I1491" s="68">
        <v>-1454</v>
      </c>
      <c r="J1491" s="68">
        <v>0</v>
      </c>
      <c r="K1491" s="68">
        <v>569162</v>
      </c>
      <c r="L1491" s="68">
        <v>-569162</v>
      </c>
      <c r="M1491" s="68">
        <v>0</v>
      </c>
      <c r="N1491" s="68">
        <v>0</v>
      </c>
    </row>
    <row r="1492" spans="1:14" ht="31" outlineLevel="1" x14ac:dyDescent="0.35">
      <c r="A1492" s="70" t="s">
        <v>249</v>
      </c>
      <c r="B1492" s="69" t="s">
        <v>201</v>
      </c>
      <c r="C1492" s="68">
        <v>518742</v>
      </c>
      <c r="D1492" s="68">
        <v>-515314</v>
      </c>
      <c r="E1492" s="68">
        <v>0</v>
      </c>
      <c r="F1492" s="68">
        <v>0</v>
      </c>
      <c r="G1492" s="68">
        <v>0</v>
      </c>
      <c r="H1492" s="68">
        <v>3428</v>
      </c>
      <c r="I1492" s="68">
        <v>-3428</v>
      </c>
      <c r="J1492" s="68">
        <v>0</v>
      </c>
      <c r="K1492" s="68">
        <v>515314</v>
      </c>
      <c r="L1492" s="68">
        <v>-515314</v>
      </c>
      <c r="M1492" s="68">
        <v>0</v>
      </c>
      <c r="N1492" s="68">
        <v>0</v>
      </c>
    </row>
    <row r="1493" spans="1:14" ht="31" outlineLevel="2" x14ac:dyDescent="0.35">
      <c r="A1493" s="70" t="s">
        <v>249</v>
      </c>
      <c r="B1493" s="69" t="s">
        <v>200</v>
      </c>
      <c r="C1493" s="68">
        <v>465399</v>
      </c>
      <c r="D1493" s="68">
        <v>-456868</v>
      </c>
      <c r="E1493" s="68">
        <v>0</v>
      </c>
      <c r="F1493" s="68">
        <v>0</v>
      </c>
      <c r="G1493" s="68">
        <v>0</v>
      </c>
      <c r="H1493" s="68">
        <v>8531</v>
      </c>
      <c r="I1493" s="68">
        <v>-8531</v>
      </c>
      <c r="J1493" s="68">
        <v>0</v>
      </c>
      <c r="K1493" s="68">
        <v>456868</v>
      </c>
      <c r="L1493" s="68">
        <v>-456868</v>
      </c>
      <c r="M1493" s="68">
        <v>0</v>
      </c>
      <c r="N1493" s="68">
        <v>0</v>
      </c>
    </row>
    <row r="1494" spans="1:14" ht="31" outlineLevel="2" x14ac:dyDescent="0.35">
      <c r="A1494" s="70" t="s">
        <v>249</v>
      </c>
      <c r="B1494" s="69" t="s">
        <v>199</v>
      </c>
      <c r="C1494" s="68">
        <v>522420</v>
      </c>
      <c r="D1494" s="68">
        <v>-519092</v>
      </c>
      <c r="E1494" s="68">
        <v>0</v>
      </c>
      <c r="F1494" s="68">
        <v>0</v>
      </c>
      <c r="G1494" s="68">
        <v>0</v>
      </c>
      <c r="H1494" s="68">
        <v>3328</v>
      </c>
      <c r="I1494" s="68">
        <v>-3328</v>
      </c>
      <c r="J1494" s="68">
        <v>0</v>
      </c>
      <c r="K1494" s="68">
        <v>519092</v>
      </c>
      <c r="L1494" s="68">
        <v>-519092</v>
      </c>
      <c r="M1494" s="68">
        <v>0</v>
      </c>
      <c r="N1494" s="68">
        <v>0</v>
      </c>
    </row>
    <row r="1495" spans="1:14" ht="31" outlineLevel="2" x14ac:dyDescent="0.35">
      <c r="A1495" s="70" t="s">
        <v>249</v>
      </c>
      <c r="B1495" s="69" t="s">
        <v>198</v>
      </c>
      <c r="C1495" s="68">
        <v>526592</v>
      </c>
      <c r="D1495" s="68">
        <v>-522802</v>
      </c>
      <c r="E1495" s="68">
        <v>0</v>
      </c>
      <c r="F1495" s="68">
        <v>0</v>
      </c>
      <c r="G1495" s="68">
        <v>0</v>
      </c>
      <c r="H1495" s="68">
        <v>3790</v>
      </c>
      <c r="I1495" s="68">
        <v>-3790</v>
      </c>
      <c r="J1495" s="68">
        <v>0</v>
      </c>
      <c r="K1495" s="68">
        <v>522802</v>
      </c>
      <c r="L1495" s="68">
        <v>-522802</v>
      </c>
      <c r="M1495" s="68">
        <v>0</v>
      </c>
      <c r="N1495" s="68">
        <v>0</v>
      </c>
    </row>
    <row r="1496" spans="1:14" ht="31" outlineLevel="2" x14ac:dyDescent="0.35">
      <c r="A1496" s="70" t="s">
        <v>249</v>
      </c>
      <c r="B1496" s="69" t="s">
        <v>197</v>
      </c>
      <c r="C1496" s="68">
        <v>506833</v>
      </c>
      <c r="D1496" s="68">
        <v>-504671</v>
      </c>
      <c r="E1496" s="68">
        <v>0</v>
      </c>
      <c r="F1496" s="68">
        <v>0</v>
      </c>
      <c r="G1496" s="68">
        <v>0</v>
      </c>
      <c r="H1496" s="68">
        <v>2162</v>
      </c>
      <c r="I1496" s="68">
        <v>-2162</v>
      </c>
      <c r="J1496" s="68">
        <v>0</v>
      </c>
      <c r="K1496" s="68">
        <v>504671</v>
      </c>
      <c r="L1496" s="68">
        <v>-504671</v>
      </c>
      <c r="M1496" s="68">
        <v>0</v>
      </c>
      <c r="N1496" s="68">
        <v>0</v>
      </c>
    </row>
    <row r="1497" spans="1:14" ht="31" outlineLevel="2" x14ac:dyDescent="0.35">
      <c r="A1497" s="70" t="s">
        <v>249</v>
      </c>
      <c r="B1497" s="69" t="s">
        <v>196</v>
      </c>
      <c r="C1497" s="68">
        <v>243898</v>
      </c>
      <c r="D1497" s="68">
        <v>0</v>
      </c>
      <c r="E1497" s="68">
        <v>0</v>
      </c>
      <c r="F1497" s="68">
        <v>0</v>
      </c>
      <c r="G1497" s="68">
        <v>0</v>
      </c>
      <c r="H1497" s="68">
        <v>243898</v>
      </c>
      <c r="I1497" s="68">
        <v>-243898</v>
      </c>
      <c r="J1497" s="68">
        <v>0</v>
      </c>
      <c r="K1497" s="68">
        <v>0</v>
      </c>
      <c r="L1497" s="68">
        <v>0</v>
      </c>
      <c r="M1497" s="68">
        <v>0</v>
      </c>
      <c r="N1497" s="68">
        <v>0</v>
      </c>
    </row>
    <row r="1498" spans="1:14" ht="16" outlineLevel="2" thickBot="1" x14ac:dyDescent="0.4">
      <c r="A1498" s="50" t="s">
        <v>73</v>
      </c>
      <c r="B1498" s="67" t="s">
        <v>12</v>
      </c>
      <c r="C1498" s="48">
        <f>SUBTOTAL(109,Program255[(C)
Program
Costs])</f>
        <v>4436497</v>
      </c>
      <c r="D1498" s="48">
        <f>SUBTOTAL(109,Program255[(D)
Prior Period Adjustments])</f>
        <v>-4164446</v>
      </c>
      <c r="E1498" s="48">
        <f>SUBTOTAL(109,Program255[(E)
Current Period Desk 
Reviews])</f>
        <v>0</v>
      </c>
      <c r="F1498" s="48">
        <f>SUBTOTAL(109,Program255[(F)
Current Period 
Final 
Audits])</f>
        <v>0</v>
      </c>
      <c r="G1498" s="48">
        <f>SUBTOTAL(109,Program255[(G)
Current Period 
Other Adjustments])</f>
        <v>0</v>
      </c>
      <c r="H1498" s="48">
        <f>SUBTOTAL(109,Program255[(H)
Net Program Costs
Sum (C through G)])</f>
        <v>272051</v>
      </c>
      <c r="I1498" s="48">
        <f>SUBTOTAL(109,Program255[(I)
Payments
 and Offsets])</f>
        <v>-266591</v>
      </c>
      <c r="J1498" s="48">
        <f>SUBTOTAL(109,Program255[(J)
Accounts Payable Balance
(H + I)])</f>
        <v>5460</v>
      </c>
      <c r="K1498" s="48">
        <f>SUBTOTAL(109,Program255[(K)
Established 
Accounts Receivable])</f>
        <v>3087909</v>
      </c>
      <c r="L1498" s="48">
        <f>SUBTOTAL(109,Program255[(L)
Recovered
 Accounts Receivable])</f>
        <v>-3087909</v>
      </c>
      <c r="M1498" s="48">
        <f>SUBTOTAL(109,Program255[(M)
Accounts Receivable Balance
(K + L)])</f>
        <v>0</v>
      </c>
      <c r="N1498" s="48">
        <f>SUBTOTAL(109,Program255[(N)
Net Balance
(J minus M)])</f>
        <v>5460</v>
      </c>
    </row>
    <row r="1499" spans="1:14" outlineLevel="2" x14ac:dyDescent="0.35">
      <c r="A1499" s="63" t="s">
        <v>33</v>
      </c>
      <c r="B1499" s="62"/>
      <c r="C1499" s="61"/>
      <c r="D1499" s="61"/>
      <c r="E1499" s="61"/>
      <c r="F1499" s="61"/>
      <c r="G1499" s="61"/>
      <c r="H1499" s="61"/>
      <c r="I1499" s="61"/>
      <c r="J1499" s="61"/>
      <c r="K1499" s="61"/>
      <c r="L1499" s="61"/>
      <c r="M1499" s="61"/>
      <c r="N1499" s="61"/>
    </row>
    <row r="1500" spans="1:14" ht="77.5" outlineLevel="2" x14ac:dyDescent="0.35">
      <c r="A1500" s="60" t="s">
        <v>185</v>
      </c>
      <c r="B1500" s="59" t="s">
        <v>184</v>
      </c>
      <c r="C1500" s="58" t="s">
        <v>183</v>
      </c>
      <c r="D1500" s="58" t="s">
        <v>182</v>
      </c>
      <c r="E1500" s="56" t="s">
        <v>181</v>
      </c>
      <c r="F1500" s="56" t="s">
        <v>180</v>
      </c>
      <c r="G1500" s="56" t="s">
        <v>179</v>
      </c>
      <c r="H1500" s="57" t="s">
        <v>674</v>
      </c>
      <c r="I1500" s="55" t="s">
        <v>178</v>
      </c>
      <c r="J1500" s="55" t="s">
        <v>177</v>
      </c>
      <c r="K1500" s="56" t="s">
        <v>176</v>
      </c>
      <c r="L1500" s="55" t="s">
        <v>175</v>
      </c>
      <c r="M1500" s="55" t="s">
        <v>174</v>
      </c>
      <c r="N1500" s="54" t="s">
        <v>173</v>
      </c>
    </row>
    <row r="1501" spans="1:14" outlineLevel="2" x14ac:dyDescent="0.35">
      <c r="A1501" s="53" t="s">
        <v>248</v>
      </c>
      <c r="B1501" s="66" t="s">
        <v>199</v>
      </c>
      <c r="C1501" s="51">
        <v>170703</v>
      </c>
      <c r="D1501" s="51">
        <v>0</v>
      </c>
      <c r="E1501" s="51">
        <v>0</v>
      </c>
      <c r="F1501" s="51">
        <v>0</v>
      </c>
      <c r="G1501" s="51">
        <v>0</v>
      </c>
      <c r="H1501" s="51">
        <v>170703</v>
      </c>
      <c r="I1501" s="51">
        <v>-170703</v>
      </c>
      <c r="J1501" s="51">
        <v>0</v>
      </c>
      <c r="K1501" s="51">
        <v>0</v>
      </c>
      <c r="L1501" s="51">
        <v>0</v>
      </c>
      <c r="M1501" s="51">
        <v>0</v>
      </c>
      <c r="N1501" s="51">
        <v>0</v>
      </c>
    </row>
    <row r="1502" spans="1:14" outlineLevel="2" x14ac:dyDescent="0.35">
      <c r="A1502" s="53" t="s">
        <v>248</v>
      </c>
      <c r="B1502" s="66" t="s">
        <v>197</v>
      </c>
      <c r="C1502" s="51">
        <v>163639</v>
      </c>
      <c r="D1502" s="51">
        <v>-163639</v>
      </c>
      <c r="E1502" s="51">
        <v>0</v>
      </c>
      <c r="F1502" s="51">
        <v>0</v>
      </c>
      <c r="G1502" s="51">
        <v>0</v>
      </c>
      <c r="H1502" s="51">
        <v>0</v>
      </c>
      <c r="I1502" s="51">
        <v>0</v>
      </c>
      <c r="J1502" s="51">
        <v>0</v>
      </c>
      <c r="K1502" s="51">
        <v>0</v>
      </c>
      <c r="L1502" s="51">
        <v>0</v>
      </c>
      <c r="M1502" s="51">
        <v>0</v>
      </c>
      <c r="N1502" s="51">
        <v>0</v>
      </c>
    </row>
    <row r="1503" spans="1:14" outlineLevel="2" x14ac:dyDescent="0.35">
      <c r="A1503" s="53" t="s">
        <v>248</v>
      </c>
      <c r="B1503" s="66" t="s">
        <v>196</v>
      </c>
      <c r="C1503" s="51">
        <v>7168</v>
      </c>
      <c r="D1503" s="51">
        <v>0</v>
      </c>
      <c r="E1503" s="51">
        <v>0</v>
      </c>
      <c r="F1503" s="51">
        <v>0</v>
      </c>
      <c r="G1503" s="51">
        <v>0</v>
      </c>
      <c r="H1503" s="51">
        <v>7168</v>
      </c>
      <c r="I1503" s="51">
        <v>-7168</v>
      </c>
      <c r="J1503" s="51">
        <v>0</v>
      </c>
      <c r="K1503" s="51">
        <v>0</v>
      </c>
      <c r="L1503" s="51">
        <v>0</v>
      </c>
      <c r="M1503" s="51">
        <v>0</v>
      </c>
      <c r="N1503" s="51">
        <v>0</v>
      </c>
    </row>
    <row r="1504" spans="1:14" outlineLevel="2" x14ac:dyDescent="0.35">
      <c r="A1504" s="53" t="s">
        <v>248</v>
      </c>
      <c r="B1504" s="66" t="s">
        <v>195</v>
      </c>
      <c r="C1504" s="51">
        <v>1360934</v>
      </c>
      <c r="D1504" s="51">
        <v>-44306</v>
      </c>
      <c r="E1504" s="51">
        <v>0</v>
      </c>
      <c r="F1504" s="51">
        <v>0</v>
      </c>
      <c r="G1504" s="51">
        <v>0</v>
      </c>
      <c r="H1504" s="51">
        <v>1316628</v>
      </c>
      <c r="I1504" s="51">
        <v>-1316628</v>
      </c>
      <c r="J1504" s="51">
        <v>0</v>
      </c>
      <c r="K1504" s="51">
        <v>0</v>
      </c>
      <c r="L1504" s="51">
        <v>0</v>
      </c>
      <c r="M1504" s="51">
        <v>0</v>
      </c>
      <c r="N1504" s="51">
        <v>0</v>
      </c>
    </row>
    <row r="1505" spans="1:14" ht="16" outlineLevel="2" thickBot="1" x14ac:dyDescent="0.4">
      <c r="A1505" s="50" t="s">
        <v>72</v>
      </c>
      <c r="B1505" s="67" t="s">
        <v>12</v>
      </c>
      <c r="C1505" s="48">
        <f>SUBTOTAL(109,Program222[(C)
Program
Costs])</f>
        <v>1702444</v>
      </c>
      <c r="D1505" s="48">
        <f>SUBTOTAL(109,Program222[(D)
Prior Period Adjustments])</f>
        <v>-207945</v>
      </c>
      <c r="E1505" s="48">
        <f>SUBTOTAL(109,Program222[(E)
Current Period Desk 
Reviews])</f>
        <v>0</v>
      </c>
      <c r="F1505" s="48">
        <f>SUBTOTAL(109,Program222[(F)
Current Period 
Final 
Audits])</f>
        <v>0</v>
      </c>
      <c r="G1505" s="48">
        <f>SUBTOTAL(109,Program222[(G)
Current Period 
Other Adjustments])</f>
        <v>0</v>
      </c>
      <c r="H1505" s="48">
        <f>SUBTOTAL(109,Program222[(H)
Net Program Costs
Sum (C through G)])</f>
        <v>1494499</v>
      </c>
      <c r="I1505" s="48">
        <f>SUBTOTAL(109,Program222[(I)
Payments
 and Offsets])</f>
        <v>-1494499</v>
      </c>
      <c r="J1505" s="48">
        <f>SUBTOTAL(109,Program222[(J)
Accounts Payable Balance
(H + I)])</f>
        <v>0</v>
      </c>
      <c r="K1505" s="48">
        <f>SUBTOTAL(109,Program222[(K)
Established 
Accounts Receivable])</f>
        <v>0</v>
      </c>
      <c r="L1505" s="48">
        <f>SUBTOTAL(109,Program222[(L)
Recovered
 Accounts Receivable])</f>
        <v>0</v>
      </c>
      <c r="M1505" s="48">
        <f>SUBTOTAL(109,Program222[(M)
Accounts Receivable Balance
(K + L)])</f>
        <v>0</v>
      </c>
      <c r="N1505" s="48">
        <f>SUBTOTAL(109,Program222[(N)
Net Balance
(J minus M)])</f>
        <v>0</v>
      </c>
    </row>
    <row r="1506" spans="1:14" outlineLevel="2" x14ac:dyDescent="0.35">
      <c r="A1506" s="63" t="s">
        <v>33</v>
      </c>
      <c r="B1506" s="62"/>
      <c r="C1506" s="61"/>
      <c r="D1506" s="61"/>
      <c r="E1506" s="61"/>
      <c r="F1506" s="61"/>
      <c r="G1506" s="61"/>
      <c r="H1506" s="61"/>
      <c r="I1506" s="61"/>
      <c r="J1506" s="61"/>
      <c r="K1506" s="61"/>
      <c r="L1506" s="61"/>
      <c r="M1506" s="61"/>
      <c r="N1506" s="61"/>
    </row>
    <row r="1507" spans="1:14" ht="77.5" outlineLevel="2" x14ac:dyDescent="0.35">
      <c r="A1507" s="60" t="s">
        <v>185</v>
      </c>
      <c r="B1507" s="59" t="s">
        <v>184</v>
      </c>
      <c r="C1507" s="58" t="s">
        <v>183</v>
      </c>
      <c r="D1507" s="58" t="s">
        <v>182</v>
      </c>
      <c r="E1507" s="56" t="s">
        <v>181</v>
      </c>
      <c r="F1507" s="56" t="s">
        <v>180</v>
      </c>
      <c r="G1507" s="56" t="s">
        <v>179</v>
      </c>
      <c r="H1507" s="57" t="s">
        <v>674</v>
      </c>
      <c r="I1507" s="55" t="s">
        <v>178</v>
      </c>
      <c r="J1507" s="55" t="s">
        <v>177</v>
      </c>
      <c r="K1507" s="56" t="s">
        <v>176</v>
      </c>
      <c r="L1507" s="55" t="s">
        <v>175</v>
      </c>
      <c r="M1507" s="55" t="s">
        <v>174</v>
      </c>
      <c r="N1507" s="54" t="s">
        <v>173</v>
      </c>
    </row>
    <row r="1508" spans="1:14" outlineLevel="2" x14ac:dyDescent="0.35">
      <c r="A1508" s="53" t="s">
        <v>247</v>
      </c>
      <c r="B1508" s="66" t="s">
        <v>200</v>
      </c>
      <c r="C1508" s="51">
        <v>3680040</v>
      </c>
      <c r="D1508" s="51">
        <v>-6501</v>
      </c>
      <c r="E1508" s="51">
        <v>0</v>
      </c>
      <c r="F1508" s="51">
        <v>0</v>
      </c>
      <c r="G1508" s="51">
        <v>0</v>
      </c>
      <c r="H1508" s="51">
        <v>3673539</v>
      </c>
      <c r="I1508" s="51">
        <v>-3673539</v>
      </c>
      <c r="J1508" s="51">
        <v>0</v>
      </c>
      <c r="K1508" s="51">
        <v>5501</v>
      </c>
      <c r="L1508" s="51">
        <v>-5501</v>
      </c>
      <c r="M1508" s="51">
        <v>0</v>
      </c>
      <c r="N1508" s="51">
        <v>0</v>
      </c>
    </row>
    <row r="1509" spans="1:14" outlineLevel="2" x14ac:dyDescent="0.35">
      <c r="A1509" s="53" t="s">
        <v>247</v>
      </c>
      <c r="B1509" s="66" t="s">
        <v>199</v>
      </c>
      <c r="C1509" s="51">
        <v>2914936</v>
      </c>
      <c r="D1509" s="51">
        <v>-9061</v>
      </c>
      <c r="E1509" s="51">
        <v>0</v>
      </c>
      <c r="F1509" s="51">
        <v>0</v>
      </c>
      <c r="G1509" s="51">
        <v>0</v>
      </c>
      <c r="H1509" s="51">
        <v>2905875</v>
      </c>
      <c r="I1509" s="51">
        <v>-2905875</v>
      </c>
      <c r="J1509" s="51">
        <v>0</v>
      </c>
      <c r="K1509" s="51">
        <v>0</v>
      </c>
      <c r="L1509" s="51">
        <v>0</v>
      </c>
      <c r="M1509" s="51">
        <v>0</v>
      </c>
      <c r="N1509" s="51">
        <v>0</v>
      </c>
    </row>
    <row r="1510" spans="1:14" outlineLevel="1" x14ac:dyDescent="0.35">
      <c r="A1510" s="53" t="s">
        <v>247</v>
      </c>
      <c r="B1510" s="66" t="s">
        <v>198</v>
      </c>
      <c r="C1510" s="51">
        <v>2792636</v>
      </c>
      <c r="D1510" s="51">
        <v>-2036</v>
      </c>
      <c r="E1510" s="51">
        <v>0</v>
      </c>
      <c r="F1510" s="51">
        <v>0</v>
      </c>
      <c r="G1510" s="51">
        <v>0</v>
      </c>
      <c r="H1510" s="51">
        <v>2790600</v>
      </c>
      <c r="I1510" s="51">
        <v>-2790600</v>
      </c>
      <c r="J1510" s="51">
        <v>0</v>
      </c>
      <c r="K1510" s="51">
        <v>1</v>
      </c>
      <c r="L1510" s="51">
        <v>-1</v>
      </c>
      <c r="M1510" s="51">
        <v>0</v>
      </c>
      <c r="N1510" s="51">
        <v>0</v>
      </c>
    </row>
    <row r="1511" spans="1:14" outlineLevel="2" x14ac:dyDescent="0.35">
      <c r="A1511" s="53" t="s">
        <v>247</v>
      </c>
      <c r="B1511" s="66" t="s">
        <v>197</v>
      </c>
      <c r="C1511" s="51">
        <v>2272112</v>
      </c>
      <c r="D1511" s="51">
        <v>-17116</v>
      </c>
      <c r="E1511" s="51">
        <v>0</v>
      </c>
      <c r="F1511" s="51">
        <v>0</v>
      </c>
      <c r="G1511" s="51">
        <v>0</v>
      </c>
      <c r="H1511" s="51">
        <v>2254996</v>
      </c>
      <c r="I1511" s="51">
        <v>-2254996</v>
      </c>
      <c r="J1511" s="51">
        <v>0</v>
      </c>
      <c r="K1511" s="51">
        <v>186548</v>
      </c>
      <c r="L1511" s="51">
        <v>-186548</v>
      </c>
      <c r="M1511" s="51">
        <v>0</v>
      </c>
      <c r="N1511" s="51">
        <v>0</v>
      </c>
    </row>
    <row r="1512" spans="1:14" outlineLevel="2" x14ac:dyDescent="0.35">
      <c r="A1512" s="53" t="s">
        <v>247</v>
      </c>
      <c r="B1512" s="66" t="s">
        <v>196</v>
      </c>
      <c r="C1512" s="51">
        <v>2357820</v>
      </c>
      <c r="D1512" s="51">
        <v>-61255</v>
      </c>
      <c r="E1512" s="51">
        <v>0</v>
      </c>
      <c r="F1512" s="51">
        <v>0</v>
      </c>
      <c r="G1512" s="51">
        <v>0</v>
      </c>
      <c r="H1512" s="51">
        <v>2296565</v>
      </c>
      <c r="I1512" s="51">
        <v>-2296565</v>
      </c>
      <c r="J1512" s="51">
        <v>0</v>
      </c>
      <c r="K1512" s="51">
        <v>476975</v>
      </c>
      <c r="L1512" s="51">
        <v>-476975</v>
      </c>
      <c r="M1512" s="51">
        <v>0</v>
      </c>
      <c r="N1512" s="51">
        <v>0</v>
      </c>
    </row>
    <row r="1513" spans="1:14" outlineLevel="2" x14ac:dyDescent="0.35">
      <c r="A1513" s="53" t="s">
        <v>247</v>
      </c>
      <c r="B1513" s="66" t="s">
        <v>195</v>
      </c>
      <c r="C1513" s="51">
        <v>2182090</v>
      </c>
      <c r="D1513" s="51">
        <v>-54263</v>
      </c>
      <c r="E1513" s="51">
        <v>0</v>
      </c>
      <c r="F1513" s="51">
        <v>0</v>
      </c>
      <c r="G1513" s="51">
        <v>0</v>
      </c>
      <c r="H1513" s="51">
        <v>2127827</v>
      </c>
      <c r="I1513" s="51">
        <v>-2127827</v>
      </c>
      <c r="J1513" s="51">
        <v>0</v>
      </c>
      <c r="K1513" s="51">
        <v>320053</v>
      </c>
      <c r="L1513" s="51">
        <v>-320053</v>
      </c>
      <c r="M1513" s="51">
        <v>0</v>
      </c>
      <c r="N1513" s="51">
        <v>0</v>
      </c>
    </row>
    <row r="1514" spans="1:14" outlineLevel="1" x14ac:dyDescent="0.35">
      <c r="A1514" s="53" t="s">
        <v>247</v>
      </c>
      <c r="B1514" s="66" t="s">
        <v>194</v>
      </c>
      <c r="C1514" s="51">
        <v>2253749</v>
      </c>
      <c r="D1514" s="51">
        <v>-79079</v>
      </c>
      <c r="E1514" s="51">
        <v>0</v>
      </c>
      <c r="F1514" s="51">
        <v>0</v>
      </c>
      <c r="G1514" s="51">
        <v>0</v>
      </c>
      <c r="H1514" s="51">
        <v>2174670</v>
      </c>
      <c r="I1514" s="51">
        <v>-2174670</v>
      </c>
      <c r="J1514" s="51">
        <v>0</v>
      </c>
      <c r="K1514" s="51">
        <v>102219</v>
      </c>
      <c r="L1514" s="51">
        <v>-102219</v>
      </c>
      <c r="M1514" s="51">
        <v>0</v>
      </c>
      <c r="N1514" s="51">
        <v>0</v>
      </c>
    </row>
    <row r="1515" spans="1:14" outlineLevel="1" x14ac:dyDescent="0.35">
      <c r="A1515" s="53" t="s">
        <v>247</v>
      </c>
      <c r="B1515" s="66" t="s">
        <v>193</v>
      </c>
      <c r="C1515" s="51">
        <v>1620431</v>
      </c>
      <c r="D1515" s="51">
        <v>-3697</v>
      </c>
      <c r="E1515" s="51">
        <v>0</v>
      </c>
      <c r="F1515" s="51">
        <v>0</v>
      </c>
      <c r="G1515" s="51">
        <v>0</v>
      </c>
      <c r="H1515" s="51">
        <v>1616734</v>
      </c>
      <c r="I1515" s="51">
        <v>-1616734</v>
      </c>
      <c r="J1515" s="51">
        <v>0</v>
      </c>
      <c r="K1515" s="51">
        <v>98438</v>
      </c>
      <c r="L1515" s="51">
        <v>-98438</v>
      </c>
      <c r="M1515" s="51">
        <v>0</v>
      </c>
      <c r="N1515" s="51">
        <v>0</v>
      </c>
    </row>
    <row r="1516" spans="1:14" outlineLevel="2" x14ac:dyDescent="0.35">
      <c r="A1516" s="53" t="s">
        <v>247</v>
      </c>
      <c r="B1516" s="66" t="s">
        <v>192</v>
      </c>
      <c r="C1516" s="51">
        <v>1129898</v>
      </c>
      <c r="D1516" s="51">
        <v>-4076</v>
      </c>
      <c r="E1516" s="51">
        <v>0</v>
      </c>
      <c r="F1516" s="51">
        <v>0</v>
      </c>
      <c r="G1516" s="51">
        <v>0</v>
      </c>
      <c r="H1516" s="51">
        <v>1125822</v>
      </c>
      <c r="I1516" s="51">
        <v>-1125822</v>
      </c>
      <c r="J1516" s="51">
        <v>0</v>
      </c>
      <c r="K1516" s="51">
        <v>0</v>
      </c>
      <c r="L1516" s="51">
        <v>0</v>
      </c>
      <c r="M1516" s="51">
        <v>0</v>
      </c>
      <c r="N1516" s="51">
        <v>0</v>
      </c>
    </row>
    <row r="1517" spans="1:14" outlineLevel="2" x14ac:dyDescent="0.35">
      <c r="A1517" s="53" t="s">
        <v>247</v>
      </c>
      <c r="B1517" s="66" t="s">
        <v>191</v>
      </c>
      <c r="C1517" s="51">
        <v>999325</v>
      </c>
      <c r="D1517" s="51">
        <v>-5027</v>
      </c>
      <c r="E1517" s="51">
        <v>0</v>
      </c>
      <c r="F1517" s="51">
        <v>0</v>
      </c>
      <c r="G1517" s="51">
        <v>0</v>
      </c>
      <c r="H1517" s="51">
        <v>994298</v>
      </c>
      <c r="I1517" s="51">
        <v>-994298</v>
      </c>
      <c r="J1517" s="51">
        <v>0</v>
      </c>
      <c r="K1517" s="51">
        <v>0</v>
      </c>
      <c r="L1517" s="51">
        <v>0</v>
      </c>
      <c r="M1517" s="51">
        <v>0</v>
      </c>
      <c r="N1517" s="51">
        <v>0</v>
      </c>
    </row>
    <row r="1518" spans="1:14" outlineLevel="2" x14ac:dyDescent="0.35">
      <c r="A1518" s="53" t="s">
        <v>247</v>
      </c>
      <c r="B1518" s="66" t="s">
        <v>190</v>
      </c>
      <c r="C1518" s="51">
        <v>604614</v>
      </c>
      <c r="D1518" s="51">
        <v>-3999</v>
      </c>
      <c r="E1518" s="51">
        <v>0</v>
      </c>
      <c r="F1518" s="51">
        <v>0</v>
      </c>
      <c r="G1518" s="51">
        <v>0</v>
      </c>
      <c r="H1518" s="51">
        <v>600615</v>
      </c>
      <c r="I1518" s="51">
        <v>-600615</v>
      </c>
      <c r="J1518" s="51">
        <v>0</v>
      </c>
      <c r="K1518" s="51">
        <v>0</v>
      </c>
      <c r="L1518" s="51">
        <v>0</v>
      </c>
      <c r="M1518" s="51">
        <v>0</v>
      </c>
      <c r="N1518" s="51">
        <v>0</v>
      </c>
    </row>
    <row r="1519" spans="1:14" outlineLevel="1" x14ac:dyDescent="0.35">
      <c r="A1519" s="53" t="s">
        <v>247</v>
      </c>
      <c r="B1519" s="66" t="s">
        <v>189</v>
      </c>
      <c r="C1519" s="51">
        <v>599855</v>
      </c>
      <c r="D1519" s="51">
        <v>-3745</v>
      </c>
      <c r="E1519" s="51">
        <v>0</v>
      </c>
      <c r="F1519" s="51">
        <v>0</v>
      </c>
      <c r="G1519" s="51">
        <v>0</v>
      </c>
      <c r="H1519" s="51">
        <v>596110</v>
      </c>
      <c r="I1519" s="51">
        <v>-596110</v>
      </c>
      <c r="J1519" s="51">
        <v>0</v>
      </c>
      <c r="K1519" s="51">
        <v>0</v>
      </c>
      <c r="L1519" s="51">
        <v>0</v>
      </c>
      <c r="M1519" s="51">
        <v>0</v>
      </c>
      <c r="N1519" s="51">
        <v>0</v>
      </c>
    </row>
    <row r="1520" spans="1:14" outlineLevel="2" x14ac:dyDescent="0.35">
      <c r="A1520" s="53" t="s">
        <v>247</v>
      </c>
      <c r="B1520" s="66" t="s">
        <v>188</v>
      </c>
      <c r="C1520" s="51">
        <v>484808</v>
      </c>
      <c r="D1520" s="51">
        <v>-4204</v>
      </c>
      <c r="E1520" s="51">
        <v>0</v>
      </c>
      <c r="F1520" s="51">
        <v>0</v>
      </c>
      <c r="G1520" s="51">
        <v>0</v>
      </c>
      <c r="H1520" s="51">
        <v>480604</v>
      </c>
      <c r="I1520" s="51">
        <v>-480604</v>
      </c>
      <c r="J1520" s="51">
        <v>0</v>
      </c>
      <c r="K1520" s="51">
        <v>0</v>
      </c>
      <c r="L1520" s="51">
        <v>0</v>
      </c>
      <c r="M1520" s="51">
        <v>0</v>
      </c>
      <c r="N1520" s="51">
        <v>0</v>
      </c>
    </row>
    <row r="1521" spans="1:14" outlineLevel="2" x14ac:dyDescent="0.35">
      <c r="A1521" s="53" t="s">
        <v>247</v>
      </c>
      <c r="B1521" s="66" t="s">
        <v>186</v>
      </c>
      <c r="C1521" s="51">
        <v>93444</v>
      </c>
      <c r="D1521" s="51">
        <v>-243</v>
      </c>
      <c r="E1521" s="51">
        <v>0</v>
      </c>
      <c r="F1521" s="51">
        <v>0</v>
      </c>
      <c r="G1521" s="51">
        <v>0</v>
      </c>
      <c r="H1521" s="51">
        <v>93201</v>
      </c>
      <c r="I1521" s="51">
        <v>-93201</v>
      </c>
      <c r="J1521" s="51">
        <v>0</v>
      </c>
      <c r="K1521" s="51">
        <v>0</v>
      </c>
      <c r="L1521" s="51">
        <v>0</v>
      </c>
      <c r="M1521" s="51">
        <v>0</v>
      </c>
      <c r="N1521" s="51">
        <v>0</v>
      </c>
    </row>
    <row r="1522" spans="1:14" ht="16" outlineLevel="2" thickBot="1" x14ac:dyDescent="0.4">
      <c r="A1522" s="50" t="s">
        <v>71</v>
      </c>
      <c r="B1522" s="67" t="s">
        <v>12</v>
      </c>
      <c r="C1522" s="48">
        <f>SUBTOTAL(109,Program128[(C)
Program
Costs])</f>
        <v>23985758</v>
      </c>
      <c r="D1522" s="48">
        <f>SUBTOTAL(109,Program128[(D)
Prior Period Adjustments])</f>
        <v>-254302</v>
      </c>
      <c r="E1522" s="48">
        <f>SUBTOTAL(109,Program128[(E)
Current Period Desk 
Reviews])</f>
        <v>0</v>
      </c>
      <c r="F1522" s="48">
        <f>SUBTOTAL(109,Program128[(F)
Current Period 
Final 
Audits])</f>
        <v>0</v>
      </c>
      <c r="G1522" s="48">
        <f>SUBTOTAL(109,Program128[(G)
Current Period 
Other Adjustments])</f>
        <v>0</v>
      </c>
      <c r="H1522" s="48">
        <f>SUBTOTAL(109,Program128[(H)
Net Program Costs
Sum (C through G)])</f>
        <v>23731456</v>
      </c>
      <c r="I1522" s="48">
        <f>SUBTOTAL(109,Program128[(I)
Payments
 and Offsets])</f>
        <v>-23731456</v>
      </c>
      <c r="J1522" s="48">
        <f>SUBTOTAL(109,Program128[(J)
Accounts Payable Balance
(H + I)])</f>
        <v>0</v>
      </c>
      <c r="K1522" s="48">
        <f>SUBTOTAL(109,Program128[(K)
Established 
Accounts Receivable])</f>
        <v>1189735</v>
      </c>
      <c r="L1522" s="48">
        <f>SUBTOTAL(109,Program128[(L)
Recovered
 Accounts Receivable])</f>
        <v>-1189735</v>
      </c>
      <c r="M1522" s="48">
        <f>SUBTOTAL(109,Program128[(M)
Accounts Receivable Balance
(K + L)])</f>
        <v>0</v>
      </c>
      <c r="N1522" s="48">
        <f>SUBTOTAL(109,Program128[(N)
Net Balance
(J minus M)])</f>
        <v>0</v>
      </c>
    </row>
    <row r="1523" spans="1:14" outlineLevel="2" x14ac:dyDescent="0.35">
      <c r="A1523" s="63" t="s">
        <v>33</v>
      </c>
      <c r="B1523" s="62"/>
      <c r="C1523" s="61"/>
      <c r="D1523" s="61"/>
      <c r="E1523" s="61"/>
      <c r="F1523" s="61"/>
      <c r="G1523" s="61"/>
      <c r="H1523" s="61"/>
      <c r="I1523" s="61"/>
      <c r="J1523" s="61"/>
      <c r="K1523" s="61"/>
      <c r="L1523" s="61"/>
      <c r="M1523" s="61"/>
      <c r="N1523" s="61"/>
    </row>
    <row r="1524" spans="1:14" ht="77.5" outlineLevel="2" x14ac:dyDescent="0.35">
      <c r="A1524" s="60" t="s">
        <v>185</v>
      </c>
      <c r="B1524" s="59" t="s">
        <v>184</v>
      </c>
      <c r="C1524" s="58" t="s">
        <v>183</v>
      </c>
      <c r="D1524" s="58" t="s">
        <v>182</v>
      </c>
      <c r="E1524" s="56" t="s">
        <v>181</v>
      </c>
      <c r="F1524" s="56" t="s">
        <v>180</v>
      </c>
      <c r="G1524" s="56" t="s">
        <v>179</v>
      </c>
      <c r="H1524" s="57" t="s">
        <v>674</v>
      </c>
      <c r="I1524" s="55" t="s">
        <v>178</v>
      </c>
      <c r="J1524" s="55" t="s">
        <v>177</v>
      </c>
      <c r="K1524" s="56" t="s">
        <v>176</v>
      </c>
      <c r="L1524" s="55" t="s">
        <v>175</v>
      </c>
      <c r="M1524" s="55" t="s">
        <v>174</v>
      </c>
      <c r="N1524" s="54" t="s">
        <v>173</v>
      </c>
    </row>
    <row r="1525" spans="1:14" outlineLevel="2" x14ac:dyDescent="0.35">
      <c r="A1525" s="53" t="s">
        <v>246</v>
      </c>
      <c r="B1525" s="66" t="s">
        <v>194</v>
      </c>
      <c r="C1525" s="51">
        <v>8856</v>
      </c>
      <c r="D1525" s="51">
        <v>0</v>
      </c>
      <c r="E1525" s="51">
        <v>0</v>
      </c>
      <c r="F1525" s="51">
        <v>0</v>
      </c>
      <c r="G1525" s="51">
        <v>0</v>
      </c>
      <c r="H1525" s="51">
        <v>8856</v>
      </c>
      <c r="I1525" s="51">
        <v>-8856</v>
      </c>
      <c r="J1525" s="51">
        <v>0</v>
      </c>
      <c r="K1525" s="51">
        <v>0</v>
      </c>
      <c r="L1525" s="51">
        <v>0</v>
      </c>
      <c r="M1525" s="51">
        <v>0</v>
      </c>
      <c r="N1525" s="51">
        <v>0</v>
      </c>
    </row>
    <row r="1526" spans="1:14" outlineLevel="2" x14ac:dyDescent="0.35">
      <c r="A1526" s="53" t="s">
        <v>246</v>
      </c>
      <c r="B1526" s="66" t="s">
        <v>193</v>
      </c>
      <c r="C1526" s="51">
        <v>15506</v>
      </c>
      <c r="D1526" s="51">
        <v>-699</v>
      </c>
      <c r="E1526" s="51">
        <v>0</v>
      </c>
      <c r="F1526" s="51">
        <v>0</v>
      </c>
      <c r="G1526" s="51">
        <v>0</v>
      </c>
      <c r="H1526" s="51">
        <v>14807</v>
      </c>
      <c r="I1526" s="51">
        <v>-14807</v>
      </c>
      <c r="J1526" s="51">
        <v>0</v>
      </c>
      <c r="K1526" s="51">
        <v>0</v>
      </c>
      <c r="L1526" s="51">
        <v>0</v>
      </c>
      <c r="M1526" s="51">
        <v>0</v>
      </c>
      <c r="N1526" s="51">
        <v>0</v>
      </c>
    </row>
    <row r="1527" spans="1:14" outlineLevel="2" x14ac:dyDescent="0.35">
      <c r="A1527" s="53" t="s">
        <v>246</v>
      </c>
      <c r="B1527" s="66" t="s">
        <v>188</v>
      </c>
      <c r="C1527" s="51">
        <v>40223</v>
      </c>
      <c r="D1527" s="51">
        <v>-22</v>
      </c>
      <c r="E1527" s="51">
        <v>0</v>
      </c>
      <c r="F1527" s="51">
        <v>0</v>
      </c>
      <c r="G1527" s="51">
        <v>0</v>
      </c>
      <c r="H1527" s="51">
        <v>40201</v>
      </c>
      <c r="I1527" s="51">
        <v>-40201</v>
      </c>
      <c r="J1527" s="51">
        <v>0</v>
      </c>
      <c r="K1527" s="51">
        <v>0</v>
      </c>
      <c r="L1527" s="51">
        <v>0</v>
      </c>
      <c r="M1527" s="51">
        <v>0</v>
      </c>
      <c r="N1527" s="51">
        <v>0</v>
      </c>
    </row>
    <row r="1528" spans="1:14" outlineLevel="2" x14ac:dyDescent="0.35">
      <c r="A1528" s="53" t="s">
        <v>246</v>
      </c>
      <c r="B1528" s="66" t="s">
        <v>186</v>
      </c>
      <c r="C1528" s="51">
        <v>258945</v>
      </c>
      <c r="D1528" s="51">
        <v>-62395</v>
      </c>
      <c r="E1528" s="51">
        <v>0</v>
      </c>
      <c r="F1528" s="51">
        <v>0</v>
      </c>
      <c r="G1528" s="51">
        <v>0</v>
      </c>
      <c r="H1528" s="51">
        <v>196550</v>
      </c>
      <c r="I1528" s="51">
        <v>-196550</v>
      </c>
      <c r="J1528" s="51">
        <v>0</v>
      </c>
      <c r="K1528" s="51">
        <v>58331</v>
      </c>
      <c r="L1528" s="51">
        <v>-58331</v>
      </c>
      <c r="M1528" s="51">
        <v>0</v>
      </c>
      <c r="N1528" s="51">
        <v>0</v>
      </c>
    </row>
    <row r="1529" spans="1:14" outlineLevel="2" x14ac:dyDescent="0.35">
      <c r="A1529" s="53" t="s">
        <v>246</v>
      </c>
      <c r="B1529" s="66" t="s">
        <v>227</v>
      </c>
      <c r="C1529" s="51">
        <v>4307</v>
      </c>
      <c r="D1529" s="51">
        <v>-431</v>
      </c>
      <c r="E1529" s="51">
        <v>0</v>
      </c>
      <c r="F1529" s="51">
        <v>0</v>
      </c>
      <c r="G1529" s="51">
        <v>0</v>
      </c>
      <c r="H1529" s="51">
        <v>3876</v>
      </c>
      <c r="I1529" s="51">
        <v>-3876</v>
      </c>
      <c r="J1529" s="51">
        <v>0</v>
      </c>
      <c r="K1529" s="51">
        <v>713</v>
      </c>
      <c r="L1529" s="51">
        <v>-713</v>
      </c>
      <c r="M1529" s="51">
        <v>0</v>
      </c>
      <c r="N1529" s="51">
        <v>0</v>
      </c>
    </row>
    <row r="1530" spans="1:14" ht="16" outlineLevel="2" thickBot="1" x14ac:dyDescent="0.4">
      <c r="A1530" s="50" t="s">
        <v>70</v>
      </c>
      <c r="B1530" s="67" t="s">
        <v>12</v>
      </c>
      <c r="C1530" s="48">
        <f>SUBTOTAL(109,Program52[(C)
Program
Costs])</f>
        <v>327837</v>
      </c>
      <c r="D1530" s="48">
        <f>SUBTOTAL(109,Program52[(D)
Prior Period Adjustments])</f>
        <v>-63547</v>
      </c>
      <c r="E1530" s="48">
        <f>SUBTOTAL(109,Program52[(E)
Current Period Desk 
Reviews])</f>
        <v>0</v>
      </c>
      <c r="F1530" s="48">
        <f>SUBTOTAL(109,Program52[(F)
Current Period 
Final 
Audits])</f>
        <v>0</v>
      </c>
      <c r="G1530" s="48">
        <f>SUBTOTAL(109,Program52[(G)
Current Period 
Other Adjustments])</f>
        <v>0</v>
      </c>
      <c r="H1530" s="48">
        <f>SUBTOTAL(109,Program52[(H)
Net Program Costs
Sum (C through G)])</f>
        <v>264290</v>
      </c>
      <c r="I1530" s="48">
        <f>SUBTOTAL(109,Program52[(I)
Payments
 and Offsets])</f>
        <v>-264290</v>
      </c>
      <c r="J1530" s="48">
        <f>SUBTOTAL(109,Program52[(J)
Accounts Payable Balance
(H + I)])</f>
        <v>0</v>
      </c>
      <c r="K1530" s="48">
        <f>SUBTOTAL(109,Program52[(K)
Established 
Accounts Receivable])</f>
        <v>59044</v>
      </c>
      <c r="L1530" s="48">
        <f>SUBTOTAL(109,Program52[(L)
Recovered
 Accounts Receivable])</f>
        <v>-59044</v>
      </c>
      <c r="M1530" s="48">
        <f>SUBTOTAL(109,Program52[(M)
Accounts Receivable Balance
(K + L)])</f>
        <v>0</v>
      </c>
      <c r="N1530" s="48">
        <f>SUBTOTAL(109,Program52[(N)
Net Balance
(J minus M)])</f>
        <v>0</v>
      </c>
    </row>
    <row r="1531" spans="1:14" outlineLevel="2" x14ac:dyDescent="0.35">
      <c r="A1531" s="63" t="s">
        <v>33</v>
      </c>
      <c r="B1531" s="62"/>
      <c r="C1531" s="61"/>
      <c r="D1531" s="61"/>
      <c r="E1531" s="61"/>
      <c r="F1531" s="61"/>
      <c r="G1531" s="61"/>
      <c r="H1531" s="61"/>
      <c r="I1531" s="61"/>
      <c r="J1531" s="61"/>
      <c r="K1531" s="61"/>
      <c r="L1531" s="61"/>
      <c r="M1531" s="61"/>
      <c r="N1531" s="61"/>
    </row>
    <row r="1532" spans="1:14" ht="77.5" outlineLevel="2" x14ac:dyDescent="0.35">
      <c r="A1532" s="60" t="s">
        <v>185</v>
      </c>
      <c r="B1532" s="59" t="s">
        <v>184</v>
      </c>
      <c r="C1532" s="58" t="s">
        <v>183</v>
      </c>
      <c r="D1532" s="58" t="s">
        <v>182</v>
      </c>
      <c r="E1532" s="56" t="s">
        <v>181</v>
      </c>
      <c r="F1532" s="56" t="s">
        <v>180</v>
      </c>
      <c r="G1532" s="56" t="s">
        <v>179</v>
      </c>
      <c r="H1532" s="57" t="s">
        <v>674</v>
      </c>
      <c r="I1532" s="55" t="s">
        <v>178</v>
      </c>
      <c r="J1532" s="55" t="s">
        <v>177</v>
      </c>
      <c r="K1532" s="56" t="s">
        <v>176</v>
      </c>
      <c r="L1532" s="55" t="s">
        <v>175</v>
      </c>
      <c r="M1532" s="55" t="s">
        <v>174</v>
      </c>
      <c r="N1532" s="54" t="s">
        <v>173</v>
      </c>
    </row>
    <row r="1533" spans="1:14" ht="31" outlineLevel="1" x14ac:dyDescent="0.35">
      <c r="A1533" s="70" t="s">
        <v>245</v>
      </c>
      <c r="B1533" s="69" t="s">
        <v>203</v>
      </c>
      <c r="C1533" s="68">
        <v>3399</v>
      </c>
      <c r="D1533" s="68">
        <v>-3399</v>
      </c>
      <c r="E1533" s="68">
        <v>0</v>
      </c>
      <c r="F1533" s="68">
        <v>0</v>
      </c>
      <c r="G1533" s="68">
        <v>0</v>
      </c>
      <c r="H1533" s="68">
        <v>0</v>
      </c>
      <c r="I1533" s="68">
        <v>0</v>
      </c>
      <c r="J1533" s="68">
        <v>0</v>
      </c>
      <c r="K1533" s="68">
        <v>0</v>
      </c>
      <c r="L1533" s="68">
        <v>0</v>
      </c>
      <c r="M1533" s="68">
        <v>0</v>
      </c>
      <c r="N1533" s="68">
        <v>0</v>
      </c>
    </row>
    <row r="1534" spans="1:14" ht="31" outlineLevel="1" x14ac:dyDescent="0.35">
      <c r="A1534" s="70" t="s">
        <v>245</v>
      </c>
      <c r="B1534" s="69" t="s">
        <v>200</v>
      </c>
      <c r="C1534" s="68">
        <v>126355</v>
      </c>
      <c r="D1534" s="68">
        <v>0</v>
      </c>
      <c r="E1534" s="68">
        <v>0</v>
      </c>
      <c r="F1534" s="68">
        <v>0</v>
      </c>
      <c r="G1534" s="68">
        <v>0</v>
      </c>
      <c r="H1534" s="68">
        <v>126355</v>
      </c>
      <c r="I1534" s="68">
        <v>-126355</v>
      </c>
      <c r="J1534" s="68">
        <v>0</v>
      </c>
      <c r="K1534" s="68">
        <v>0</v>
      </c>
      <c r="L1534" s="68">
        <v>0</v>
      </c>
      <c r="M1534" s="68">
        <v>0</v>
      </c>
      <c r="N1534" s="68">
        <v>0</v>
      </c>
    </row>
    <row r="1535" spans="1:14" ht="31" outlineLevel="1" x14ac:dyDescent="0.35">
      <c r="A1535" s="70" t="s">
        <v>245</v>
      </c>
      <c r="B1535" s="69" t="s">
        <v>199</v>
      </c>
      <c r="C1535" s="68">
        <v>6716316</v>
      </c>
      <c r="D1535" s="68">
        <v>-65795</v>
      </c>
      <c r="E1535" s="68">
        <v>0</v>
      </c>
      <c r="F1535" s="68">
        <v>0</v>
      </c>
      <c r="G1535" s="68">
        <v>0</v>
      </c>
      <c r="H1535" s="68">
        <v>6650521</v>
      </c>
      <c r="I1535" s="68">
        <v>-6650521</v>
      </c>
      <c r="J1535" s="68">
        <v>0</v>
      </c>
      <c r="K1535" s="68">
        <v>0</v>
      </c>
      <c r="L1535" s="68">
        <v>0</v>
      </c>
      <c r="M1535" s="68">
        <v>0</v>
      </c>
      <c r="N1535" s="68">
        <v>0</v>
      </c>
    </row>
    <row r="1536" spans="1:14" ht="31" outlineLevel="2" x14ac:dyDescent="0.35">
      <c r="A1536" s="70" t="s">
        <v>245</v>
      </c>
      <c r="B1536" s="69" t="s">
        <v>198</v>
      </c>
      <c r="C1536" s="68">
        <v>3038640</v>
      </c>
      <c r="D1536" s="68">
        <v>-30022</v>
      </c>
      <c r="E1536" s="68">
        <v>0</v>
      </c>
      <c r="F1536" s="68">
        <v>0</v>
      </c>
      <c r="G1536" s="68">
        <v>0</v>
      </c>
      <c r="H1536" s="68">
        <v>3008618</v>
      </c>
      <c r="I1536" s="68">
        <v>-3008618</v>
      </c>
      <c r="J1536" s="68">
        <v>0</v>
      </c>
      <c r="K1536" s="68">
        <v>0</v>
      </c>
      <c r="L1536" s="68">
        <v>0</v>
      </c>
      <c r="M1536" s="68">
        <v>0</v>
      </c>
      <c r="N1536" s="68">
        <v>0</v>
      </c>
    </row>
    <row r="1537" spans="1:14" ht="31" outlineLevel="2" x14ac:dyDescent="0.35">
      <c r="A1537" s="70" t="s">
        <v>245</v>
      </c>
      <c r="B1537" s="69" t="s">
        <v>197</v>
      </c>
      <c r="C1537" s="68">
        <v>70053</v>
      </c>
      <c r="D1537" s="68">
        <v>0</v>
      </c>
      <c r="E1537" s="68">
        <v>0</v>
      </c>
      <c r="F1537" s="68">
        <v>0</v>
      </c>
      <c r="G1537" s="68">
        <v>0</v>
      </c>
      <c r="H1537" s="68">
        <v>70053</v>
      </c>
      <c r="I1537" s="68">
        <v>-70053</v>
      </c>
      <c r="J1537" s="68">
        <v>0</v>
      </c>
      <c r="K1537" s="68">
        <v>0</v>
      </c>
      <c r="L1537" s="68">
        <v>0</v>
      </c>
      <c r="M1537" s="68">
        <v>0</v>
      </c>
      <c r="N1537" s="68">
        <v>0</v>
      </c>
    </row>
    <row r="1538" spans="1:14" ht="31" outlineLevel="2" x14ac:dyDescent="0.35">
      <c r="A1538" s="70" t="s">
        <v>245</v>
      </c>
      <c r="B1538" s="69" t="s">
        <v>196</v>
      </c>
      <c r="C1538" s="68">
        <v>4292</v>
      </c>
      <c r="D1538" s="68">
        <v>0</v>
      </c>
      <c r="E1538" s="68">
        <v>0</v>
      </c>
      <c r="F1538" s="68">
        <v>0</v>
      </c>
      <c r="G1538" s="68">
        <v>0</v>
      </c>
      <c r="H1538" s="68">
        <v>4292</v>
      </c>
      <c r="I1538" s="68">
        <v>-4292</v>
      </c>
      <c r="J1538" s="68">
        <v>0</v>
      </c>
      <c r="K1538" s="68">
        <v>0</v>
      </c>
      <c r="L1538" s="68">
        <v>0</v>
      </c>
      <c r="M1538" s="68">
        <v>0</v>
      </c>
      <c r="N1538" s="68">
        <v>0</v>
      </c>
    </row>
    <row r="1539" spans="1:14" ht="16" outlineLevel="2" thickBot="1" x14ac:dyDescent="0.4">
      <c r="A1539" s="50" t="s">
        <v>69</v>
      </c>
      <c r="B1539" s="67" t="s">
        <v>12</v>
      </c>
      <c r="C1539" s="48">
        <f>SUBTOTAL(109,Program282[(C)
Program
Costs])</f>
        <v>9959055</v>
      </c>
      <c r="D1539" s="48">
        <f>SUBTOTAL(109,Program282[(D)
Prior Period Adjustments])</f>
        <v>-99216</v>
      </c>
      <c r="E1539" s="48">
        <f>SUBTOTAL(109,Program282[(E)
Current Period Desk 
Reviews])</f>
        <v>0</v>
      </c>
      <c r="F1539" s="48">
        <f>SUBTOTAL(109,Program282[(F)
Current Period 
Final 
Audits])</f>
        <v>0</v>
      </c>
      <c r="G1539" s="48">
        <f>SUBTOTAL(109,Program282[(G)
Current Period 
Other Adjustments])</f>
        <v>0</v>
      </c>
      <c r="H1539" s="48">
        <f>SUBTOTAL(109,Program282[(H)
Net Program Costs
Sum (C through G)])</f>
        <v>9859839</v>
      </c>
      <c r="I1539" s="48">
        <f>SUBTOTAL(109,Program282[(I)
Payments
 and Offsets])</f>
        <v>-9859839</v>
      </c>
      <c r="J1539" s="48">
        <f>SUBTOTAL(109,Program282[(J)
Accounts Payable Balance
(H + I)])</f>
        <v>0</v>
      </c>
      <c r="K1539" s="48">
        <f>SUBTOTAL(109,Program282[(K)
Established 
Accounts Receivable])</f>
        <v>0</v>
      </c>
      <c r="L1539" s="48">
        <f>SUBTOTAL(109,Program282[(L)
Recovered
 Accounts Receivable])</f>
        <v>0</v>
      </c>
      <c r="M1539" s="48">
        <f>SUBTOTAL(109,Program282[(M)
Accounts Receivable Balance
(K + L)])</f>
        <v>0</v>
      </c>
      <c r="N1539" s="48">
        <f>SUBTOTAL(109,Program282[(N)
Net Balance
(J minus M)])</f>
        <v>0</v>
      </c>
    </row>
    <row r="1540" spans="1:14" outlineLevel="2" x14ac:dyDescent="0.35">
      <c r="A1540" s="63" t="s">
        <v>33</v>
      </c>
      <c r="B1540" s="62"/>
      <c r="C1540" s="61"/>
      <c r="D1540" s="61"/>
      <c r="E1540" s="61"/>
      <c r="F1540" s="61"/>
      <c r="G1540" s="61"/>
      <c r="H1540" s="61"/>
      <c r="I1540" s="61"/>
      <c r="J1540" s="61"/>
      <c r="K1540" s="61"/>
      <c r="L1540" s="61"/>
      <c r="M1540" s="61"/>
      <c r="N1540" s="61"/>
    </row>
    <row r="1541" spans="1:14" ht="77.5" outlineLevel="2" x14ac:dyDescent="0.35">
      <c r="A1541" s="60" t="s">
        <v>185</v>
      </c>
      <c r="B1541" s="59" t="s">
        <v>184</v>
      </c>
      <c r="C1541" s="58" t="s">
        <v>183</v>
      </c>
      <c r="D1541" s="58" t="s">
        <v>182</v>
      </c>
      <c r="E1541" s="56" t="s">
        <v>181</v>
      </c>
      <c r="F1541" s="56" t="s">
        <v>180</v>
      </c>
      <c r="G1541" s="56" t="s">
        <v>179</v>
      </c>
      <c r="H1541" s="57" t="s">
        <v>674</v>
      </c>
      <c r="I1541" s="55" t="s">
        <v>178</v>
      </c>
      <c r="J1541" s="55" t="s">
        <v>177</v>
      </c>
      <c r="K1541" s="56" t="s">
        <v>176</v>
      </c>
      <c r="L1541" s="55" t="s">
        <v>175</v>
      </c>
      <c r="M1541" s="55" t="s">
        <v>174</v>
      </c>
      <c r="N1541" s="54" t="s">
        <v>173</v>
      </c>
    </row>
    <row r="1542" spans="1:14" outlineLevel="2" x14ac:dyDescent="0.35">
      <c r="A1542" s="53" t="s">
        <v>244</v>
      </c>
      <c r="B1542" s="66" t="s">
        <v>215</v>
      </c>
      <c r="C1542" s="51">
        <v>583727</v>
      </c>
      <c r="D1542" s="51">
        <v>0</v>
      </c>
      <c r="E1542" s="51">
        <v>0</v>
      </c>
      <c r="F1542" s="51">
        <v>0</v>
      </c>
      <c r="G1542" s="51">
        <v>0</v>
      </c>
      <c r="H1542" s="51">
        <v>583727</v>
      </c>
      <c r="I1542" s="51">
        <v>0</v>
      </c>
      <c r="J1542" s="51">
        <v>583727</v>
      </c>
      <c r="K1542" s="51">
        <v>0</v>
      </c>
      <c r="L1542" s="51">
        <v>0</v>
      </c>
      <c r="M1542" s="51">
        <v>0</v>
      </c>
      <c r="N1542" s="51">
        <v>583727</v>
      </c>
    </row>
    <row r="1543" spans="1:14" outlineLevel="2" x14ac:dyDescent="0.35">
      <c r="A1543" s="53" t="s">
        <v>244</v>
      </c>
      <c r="B1543" s="66" t="s">
        <v>214</v>
      </c>
      <c r="C1543" s="51">
        <v>604972</v>
      </c>
      <c r="D1543" s="51">
        <v>0</v>
      </c>
      <c r="E1543" s="51">
        <v>0</v>
      </c>
      <c r="F1543" s="51">
        <v>0</v>
      </c>
      <c r="G1543" s="51">
        <v>-1678</v>
      </c>
      <c r="H1543" s="51">
        <v>603294</v>
      </c>
      <c r="I1543" s="51">
        <v>-588192</v>
      </c>
      <c r="J1543" s="51">
        <v>15102</v>
      </c>
      <c r="K1543" s="51">
        <v>0</v>
      </c>
      <c r="L1543" s="51">
        <v>0</v>
      </c>
      <c r="M1543" s="51">
        <v>0</v>
      </c>
      <c r="N1543" s="51">
        <v>15102</v>
      </c>
    </row>
    <row r="1544" spans="1:14" outlineLevel="2" x14ac:dyDescent="0.35">
      <c r="A1544" s="53" t="s">
        <v>244</v>
      </c>
      <c r="B1544" s="66" t="s">
        <v>212</v>
      </c>
      <c r="C1544" s="51">
        <v>518312</v>
      </c>
      <c r="D1544" s="51">
        <v>-9007</v>
      </c>
      <c r="E1544" s="51">
        <v>0</v>
      </c>
      <c r="F1544" s="51">
        <v>0</v>
      </c>
      <c r="G1544" s="51">
        <v>0</v>
      </c>
      <c r="H1544" s="51">
        <v>509305</v>
      </c>
      <c r="I1544" s="51">
        <v>-509305</v>
      </c>
      <c r="J1544" s="51">
        <v>0</v>
      </c>
      <c r="K1544" s="51">
        <v>8247</v>
      </c>
      <c r="L1544" s="51">
        <v>-8247</v>
      </c>
      <c r="M1544" s="51">
        <v>0</v>
      </c>
      <c r="N1544" s="51">
        <v>0</v>
      </c>
    </row>
    <row r="1545" spans="1:14" outlineLevel="2" x14ac:dyDescent="0.35">
      <c r="A1545" s="53" t="s">
        <v>244</v>
      </c>
      <c r="B1545" s="66" t="s">
        <v>220</v>
      </c>
      <c r="C1545" s="51">
        <v>488062</v>
      </c>
      <c r="D1545" s="51">
        <v>-354</v>
      </c>
      <c r="E1545" s="51">
        <v>0</v>
      </c>
      <c r="F1545" s="51">
        <v>0</v>
      </c>
      <c r="G1545" s="51">
        <v>0</v>
      </c>
      <c r="H1545" s="51">
        <v>487708</v>
      </c>
      <c r="I1545" s="51">
        <v>-487708</v>
      </c>
      <c r="J1545" s="51">
        <v>0</v>
      </c>
      <c r="K1545" s="51">
        <v>0</v>
      </c>
      <c r="L1545" s="51">
        <v>0</v>
      </c>
      <c r="M1545" s="51">
        <v>0</v>
      </c>
      <c r="N1545" s="51">
        <v>0</v>
      </c>
    </row>
    <row r="1546" spans="1:14" outlineLevel="1" x14ac:dyDescent="0.35">
      <c r="A1546" s="53" t="s">
        <v>244</v>
      </c>
      <c r="B1546" s="66" t="s">
        <v>219</v>
      </c>
      <c r="C1546" s="51">
        <v>438526</v>
      </c>
      <c r="D1546" s="51">
        <v>2290</v>
      </c>
      <c r="E1546" s="51">
        <v>0</v>
      </c>
      <c r="F1546" s="51">
        <v>0</v>
      </c>
      <c r="G1546" s="51">
        <v>0</v>
      </c>
      <c r="H1546" s="51">
        <v>440816</v>
      </c>
      <c r="I1546" s="51">
        <v>-440816</v>
      </c>
      <c r="J1546" s="51">
        <v>0</v>
      </c>
      <c r="K1546" s="51">
        <v>0</v>
      </c>
      <c r="L1546" s="51">
        <v>0</v>
      </c>
      <c r="M1546" s="51">
        <v>0</v>
      </c>
      <c r="N1546" s="51">
        <v>0</v>
      </c>
    </row>
    <row r="1547" spans="1:14" outlineLevel="1" x14ac:dyDescent="0.35">
      <c r="A1547" s="53" t="s">
        <v>244</v>
      </c>
      <c r="B1547" s="66" t="s">
        <v>218</v>
      </c>
      <c r="C1547" s="51">
        <v>399463</v>
      </c>
      <c r="D1547" s="51">
        <v>-5731</v>
      </c>
      <c r="E1547" s="51">
        <v>0</v>
      </c>
      <c r="F1547" s="51">
        <v>0</v>
      </c>
      <c r="G1547" s="51">
        <v>0</v>
      </c>
      <c r="H1547" s="51">
        <v>393732</v>
      </c>
      <c r="I1547" s="51">
        <v>-393732</v>
      </c>
      <c r="J1547" s="51">
        <v>0</v>
      </c>
      <c r="K1547" s="51">
        <v>0</v>
      </c>
      <c r="L1547" s="51">
        <v>0</v>
      </c>
      <c r="M1547" s="51">
        <v>0</v>
      </c>
      <c r="N1547" s="51">
        <v>0</v>
      </c>
    </row>
    <row r="1548" spans="1:14" outlineLevel="2" x14ac:dyDescent="0.35">
      <c r="A1548" s="53" t="s">
        <v>244</v>
      </c>
      <c r="B1548" s="66" t="s">
        <v>209</v>
      </c>
      <c r="C1548" s="51">
        <v>331735</v>
      </c>
      <c r="D1548" s="51">
        <v>-249</v>
      </c>
      <c r="E1548" s="51">
        <v>0</v>
      </c>
      <c r="F1548" s="51">
        <v>0</v>
      </c>
      <c r="G1548" s="51">
        <v>0</v>
      </c>
      <c r="H1548" s="51">
        <v>331486</v>
      </c>
      <c r="I1548" s="51">
        <v>-331486</v>
      </c>
      <c r="J1548" s="51">
        <v>0</v>
      </c>
      <c r="K1548" s="51">
        <v>0</v>
      </c>
      <c r="L1548" s="51">
        <v>0</v>
      </c>
      <c r="M1548" s="51">
        <v>0</v>
      </c>
      <c r="N1548" s="51">
        <v>0</v>
      </c>
    </row>
    <row r="1549" spans="1:14" outlineLevel="2" x14ac:dyDescent="0.35">
      <c r="A1549" s="53" t="s">
        <v>244</v>
      </c>
      <c r="B1549" s="66" t="s">
        <v>208</v>
      </c>
      <c r="C1549" s="51">
        <v>335968</v>
      </c>
      <c r="D1549" s="51">
        <v>-1619</v>
      </c>
      <c r="E1549" s="51">
        <v>0</v>
      </c>
      <c r="F1549" s="51">
        <v>0</v>
      </c>
      <c r="G1549" s="51">
        <v>0</v>
      </c>
      <c r="H1549" s="51">
        <v>334349</v>
      </c>
      <c r="I1549" s="51">
        <v>-334349</v>
      </c>
      <c r="J1549" s="51">
        <v>0</v>
      </c>
      <c r="K1549" s="51">
        <v>0</v>
      </c>
      <c r="L1549" s="51">
        <v>0</v>
      </c>
      <c r="M1549" s="51">
        <v>0</v>
      </c>
      <c r="N1549" s="51">
        <v>0</v>
      </c>
    </row>
    <row r="1550" spans="1:14" outlineLevel="2" x14ac:dyDescent="0.35">
      <c r="A1550" s="53" t="s">
        <v>244</v>
      </c>
      <c r="B1550" s="66" t="s">
        <v>206</v>
      </c>
      <c r="C1550" s="51">
        <v>328736</v>
      </c>
      <c r="D1550" s="51">
        <v>-1405</v>
      </c>
      <c r="E1550" s="51">
        <v>0</v>
      </c>
      <c r="F1550" s="51">
        <v>0</v>
      </c>
      <c r="G1550" s="51">
        <v>0</v>
      </c>
      <c r="H1550" s="51">
        <v>327331</v>
      </c>
      <c r="I1550" s="51">
        <v>-327331</v>
      </c>
      <c r="J1550" s="51">
        <v>0</v>
      </c>
      <c r="K1550" s="51">
        <v>1264</v>
      </c>
      <c r="L1550" s="51">
        <v>-1264</v>
      </c>
      <c r="M1550" s="51">
        <v>0</v>
      </c>
      <c r="N1550" s="51">
        <v>0</v>
      </c>
    </row>
    <row r="1551" spans="1:14" outlineLevel="2" x14ac:dyDescent="0.35">
      <c r="A1551" s="53" t="s">
        <v>244</v>
      </c>
      <c r="B1551" s="66" t="s">
        <v>205</v>
      </c>
      <c r="C1551" s="51">
        <v>346269</v>
      </c>
      <c r="D1551" s="51">
        <v>-1438</v>
      </c>
      <c r="E1551" s="51">
        <v>0</v>
      </c>
      <c r="F1551" s="51">
        <v>0</v>
      </c>
      <c r="G1551" s="51">
        <v>0</v>
      </c>
      <c r="H1551" s="51">
        <v>344831</v>
      </c>
      <c r="I1551" s="51">
        <v>-344831</v>
      </c>
      <c r="J1551" s="51">
        <v>0</v>
      </c>
      <c r="K1551" s="51">
        <v>0</v>
      </c>
      <c r="L1551" s="51">
        <v>0</v>
      </c>
      <c r="M1551" s="51">
        <v>0</v>
      </c>
      <c r="N1551" s="51">
        <v>0</v>
      </c>
    </row>
    <row r="1552" spans="1:14" outlineLevel="2" x14ac:dyDescent="0.35">
      <c r="A1552" s="53" t="s">
        <v>244</v>
      </c>
      <c r="B1552" s="66" t="s">
        <v>204</v>
      </c>
      <c r="C1552" s="51">
        <v>361215</v>
      </c>
      <c r="D1552" s="51">
        <v>-636</v>
      </c>
      <c r="E1552" s="51">
        <v>0</v>
      </c>
      <c r="F1552" s="51">
        <v>0</v>
      </c>
      <c r="G1552" s="51">
        <v>0</v>
      </c>
      <c r="H1552" s="51">
        <v>360579</v>
      </c>
      <c r="I1552" s="51">
        <v>-360579</v>
      </c>
      <c r="J1552" s="51">
        <v>0</v>
      </c>
      <c r="K1552" s="51">
        <v>0</v>
      </c>
      <c r="L1552" s="51">
        <v>0</v>
      </c>
      <c r="M1552" s="51">
        <v>0</v>
      </c>
      <c r="N1552" s="51">
        <v>0</v>
      </c>
    </row>
    <row r="1553" spans="1:14" outlineLevel="2" x14ac:dyDescent="0.35">
      <c r="A1553" s="53" t="s">
        <v>244</v>
      </c>
      <c r="B1553" s="66" t="s">
        <v>203</v>
      </c>
      <c r="C1553" s="51">
        <v>366031</v>
      </c>
      <c r="D1553" s="51">
        <v>-4301</v>
      </c>
      <c r="E1553" s="51">
        <v>0</v>
      </c>
      <c r="F1553" s="51">
        <v>0</v>
      </c>
      <c r="G1553" s="51">
        <v>0</v>
      </c>
      <c r="H1553" s="51">
        <v>361730</v>
      </c>
      <c r="I1553" s="51">
        <v>-361730</v>
      </c>
      <c r="J1553" s="51">
        <v>0</v>
      </c>
      <c r="K1553" s="51">
        <v>12360</v>
      </c>
      <c r="L1553" s="51">
        <v>-12360</v>
      </c>
      <c r="M1553" s="51">
        <v>0</v>
      </c>
      <c r="N1553" s="51">
        <v>0</v>
      </c>
    </row>
    <row r="1554" spans="1:14" outlineLevel="2" x14ac:dyDescent="0.35">
      <c r="A1554" s="53" t="s">
        <v>244</v>
      </c>
      <c r="B1554" s="66" t="s">
        <v>202</v>
      </c>
      <c r="C1554" s="51">
        <v>416373</v>
      </c>
      <c r="D1554" s="51">
        <v>-5367</v>
      </c>
      <c r="E1554" s="51">
        <v>0</v>
      </c>
      <c r="F1554" s="51">
        <v>0</v>
      </c>
      <c r="G1554" s="51">
        <v>0</v>
      </c>
      <c r="H1554" s="51">
        <v>411006</v>
      </c>
      <c r="I1554" s="51">
        <v>-411006</v>
      </c>
      <c r="J1554" s="51">
        <v>0</v>
      </c>
      <c r="K1554" s="51">
        <v>32764</v>
      </c>
      <c r="L1554" s="51">
        <v>-32764</v>
      </c>
      <c r="M1554" s="51">
        <v>0</v>
      </c>
      <c r="N1554" s="51">
        <v>0</v>
      </c>
    </row>
    <row r="1555" spans="1:14" outlineLevel="1" x14ac:dyDescent="0.35">
      <c r="A1555" s="53" t="s">
        <v>244</v>
      </c>
      <c r="B1555" s="66" t="s">
        <v>201</v>
      </c>
      <c r="C1555" s="51">
        <v>322955</v>
      </c>
      <c r="D1555" s="51">
        <v>-255</v>
      </c>
      <c r="E1555" s="51">
        <v>0</v>
      </c>
      <c r="F1555" s="51">
        <v>0</v>
      </c>
      <c r="G1555" s="51">
        <v>0</v>
      </c>
      <c r="H1555" s="51">
        <v>322700</v>
      </c>
      <c r="I1555" s="51">
        <v>-322700</v>
      </c>
      <c r="J1555" s="51">
        <v>0</v>
      </c>
      <c r="K1555" s="51">
        <v>4145</v>
      </c>
      <c r="L1555" s="51">
        <v>-4145</v>
      </c>
      <c r="M1555" s="51">
        <v>0</v>
      </c>
      <c r="N1555" s="51">
        <v>0</v>
      </c>
    </row>
    <row r="1556" spans="1:14" outlineLevel="1" x14ac:dyDescent="0.35">
      <c r="A1556" s="53" t="s">
        <v>244</v>
      </c>
      <c r="B1556" s="66" t="s">
        <v>200</v>
      </c>
      <c r="C1556" s="51">
        <v>267087</v>
      </c>
      <c r="D1556" s="51">
        <v>-851</v>
      </c>
      <c r="E1556" s="51">
        <v>0</v>
      </c>
      <c r="F1556" s="51">
        <v>0</v>
      </c>
      <c r="G1556" s="51">
        <v>0</v>
      </c>
      <c r="H1556" s="51">
        <v>266236</v>
      </c>
      <c r="I1556" s="51">
        <v>-266236</v>
      </c>
      <c r="J1556" s="51">
        <v>0</v>
      </c>
      <c r="K1556" s="51">
        <v>44454</v>
      </c>
      <c r="L1556" s="51">
        <v>-44454</v>
      </c>
      <c r="M1556" s="51">
        <v>0</v>
      </c>
      <c r="N1556" s="51">
        <v>0</v>
      </c>
    </row>
    <row r="1557" spans="1:14" outlineLevel="2" x14ac:dyDescent="0.35">
      <c r="A1557" s="53" t="s">
        <v>244</v>
      </c>
      <c r="B1557" s="66" t="s">
        <v>199</v>
      </c>
      <c r="C1557" s="51">
        <v>279011</v>
      </c>
      <c r="D1557" s="51">
        <v>-1384</v>
      </c>
      <c r="E1557" s="51">
        <v>0</v>
      </c>
      <c r="F1557" s="51">
        <v>0</v>
      </c>
      <c r="G1557" s="51">
        <v>0</v>
      </c>
      <c r="H1557" s="51">
        <v>277627</v>
      </c>
      <c r="I1557" s="51">
        <v>-277627</v>
      </c>
      <c r="J1557" s="51">
        <v>0</v>
      </c>
      <c r="K1557" s="51">
        <v>0</v>
      </c>
      <c r="L1557" s="51">
        <v>0</v>
      </c>
      <c r="M1557" s="51">
        <v>0</v>
      </c>
      <c r="N1557" s="51">
        <v>0</v>
      </c>
    </row>
    <row r="1558" spans="1:14" outlineLevel="1" x14ac:dyDescent="0.35">
      <c r="A1558" s="53" t="s">
        <v>244</v>
      </c>
      <c r="B1558" s="66" t="s">
        <v>198</v>
      </c>
      <c r="C1558" s="51">
        <v>255323</v>
      </c>
      <c r="D1558" s="51">
        <v>-982</v>
      </c>
      <c r="E1558" s="51">
        <v>0</v>
      </c>
      <c r="F1558" s="51">
        <v>0</v>
      </c>
      <c r="G1558" s="51">
        <v>0</v>
      </c>
      <c r="H1558" s="51">
        <v>254341</v>
      </c>
      <c r="I1558" s="51">
        <v>-254341</v>
      </c>
      <c r="J1558" s="51">
        <v>0</v>
      </c>
      <c r="K1558" s="51">
        <v>0</v>
      </c>
      <c r="L1558" s="51">
        <v>0</v>
      </c>
      <c r="M1558" s="51">
        <v>0</v>
      </c>
      <c r="N1558" s="51">
        <v>0</v>
      </c>
    </row>
    <row r="1559" spans="1:14" outlineLevel="2" x14ac:dyDescent="0.35">
      <c r="A1559" s="53" t="s">
        <v>244</v>
      </c>
      <c r="B1559" s="66" t="s">
        <v>197</v>
      </c>
      <c r="C1559" s="51">
        <v>344147</v>
      </c>
      <c r="D1559" s="51">
        <v>-55298</v>
      </c>
      <c r="E1559" s="51">
        <v>0</v>
      </c>
      <c r="F1559" s="51">
        <v>0</v>
      </c>
      <c r="G1559" s="51">
        <v>0</v>
      </c>
      <c r="H1559" s="51">
        <v>288849</v>
      </c>
      <c r="I1559" s="51">
        <v>-288849</v>
      </c>
      <c r="J1559" s="51">
        <v>0</v>
      </c>
      <c r="K1559" s="51">
        <v>30632</v>
      </c>
      <c r="L1559" s="51">
        <v>-30632</v>
      </c>
      <c r="M1559" s="51">
        <v>0</v>
      </c>
      <c r="N1559" s="51">
        <v>0</v>
      </c>
    </row>
    <row r="1560" spans="1:14" outlineLevel="2" x14ac:dyDescent="0.35">
      <c r="A1560" s="53" t="s">
        <v>244</v>
      </c>
      <c r="B1560" s="66" t="s">
        <v>196</v>
      </c>
      <c r="C1560" s="51">
        <v>323013</v>
      </c>
      <c r="D1560" s="51">
        <v>-2449</v>
      </c>
      <c r="E1560" s="51">
        <v>0</v>
      </c>
      <c r="F1560" s="51">
        <v>0</v>
      </c>
      <c r="G1560" s="51">
        <v>0</v>
      </c>
      <c r="H1560" s="51">
        <v>320564</v>
      </c>
      <c r="I1560" s="51">
        <v>-320564</v>
      </c>
      <c r="J1560" s="51">
        <v>0</v>
      </c>
      <c r="K1560" s="51">
        <v>9997</v>
      </c>
      <c r="L1560" s="51">
        <v>-9997</v>
      </c>
      <c r="M1560" s="51">
        <v>0</v>
      </c>
      <c r="N1560" s="51">
        <v>0</v>
      </c>
    </row>
    <row r="1561" spans="1:14" outlineLevel="2" x14ac:dyDescent="0.35">
      <c r="A1561" s="53" t="s">
        <v>244</v>
      </c>
      <c r="B1561" s="66" t="s">
        <v>195</v>
      </c>
      <c r="C1561" s="51">
        <v>262348</v>
      </c>
      <c r="D1561" s="51">
        <v>-1625</v>
      </c>
      <c r="E1561" s="51">
        <v>0</v>
      </c>
      <c r="F1561" s="51">
        <v>0</v>
      </c>
      <c r="G1561" s="51">
        <v>0</v>
      </c>
      <c r="H1561" s="51">
        <v>260723</v>
      </c>
      <c r="I1561" s="51">
        <v>-260723</v>
      </c>
      <c r="J1561" s="51">
        <v>0</v>
      </c>
      <c r="K1561" s="51">
        <v>15897</v>
      </c>
      <c r="L1561" s="51">
        <v>-15897</v>
      </c>
      <c r="M1561" s="51">
        <v>0</v>
      </c>
      <c r="N1561" s="51">
        <v>0</v>
      </c>
    </row>
    <row r="1562" spans="1:14" outlineLevel="2" x14ac:dyDescent="0.35">
      <c r="A1562" s="53" t="s">
        <v>244</v>
      </c>
      <c r="B1562" s="66" t="s">
        <v>194</v>
      </c>
      <c r="C1562" s="51">
        <v>241993</v>
      </c>
      <c r="D1562" s="51">
        <v>-482</v>
      </c>
      <c r="E1562" s="51">
        <v>0</v>
      </c>
      <c r="F1562" s="51">
        <v>0</v>
      </c>
      <c r="G1562" s="51">
        <v>0</v>
      </c>
      <c r="H1562" s="51">
        <v>241511</v>
      </c>
      <c r="I1562" s="51">
        <v>-241511</v>
      </c>
      <c r="J1562" s="51">
        <v>0</v>
      </c>
      <c r="K1562" s="51">
        <v>36767</v>
      </c>
      <c r="L1562" s="51">
        <v>-36767</v>
      </c>
      <c r="M1562" s="51">
        <v>0</v>
      </c>
      <c r="N1562" s="51">
        <v>0</v>
      </c>
    </row>
    <row r="1563" spans="1:14" outlineLevel="2" x14ac:dyDescent="0.35">
      <c r="A1563" s="53" t="s">
        <v>244</v>
      </c>
      <c r="B1563" s="66" t="s">
        <v>193</v>
      </c>
      <c r="C1563" s="51">
        <v>235246</v>
      </c>
      <c r="D1563" s="51">
        <v>-2559</v>
      </c>
      <c r="E1563" s="51">
        <v>0</v>
      </c>
      <c r="F1563" s="51">
        <v>0</v>
      </c>
      <c r="G1563" s="51">
        <v>0</v>
      </c>
      <c r="H1563" s="51">
        <v>232687</v>
      </c>
      <c r="I1563" s="51">
        <v>-232687</v>
      </c>
      <c r="J1563" s="51">
        <v>0</v>
      </c>
      <c r="K1563" s="51">
        <v>8651</v>
      </c>
      <c r="L1563" s="51">
        <v>-8651</v>
      </c>
      <c r="M1563" s="51">
        <v>0</v>
      </c>
      <c r="N1563" s="51">
        <v>0</v>
      </c>
    </row>
    <row r="1564" spans="1:14" outlineLevel="1" x14ac:dyDescent="0.35">
      <c r="A1564" s="53" t="s">
        <v>244</v>
      </c>
      <c r="B1564" s="66" t="s">
        <v>192</v>
      </c>
      <c r="C1564" s="51">
        <v>207606</v>
      </c>
      <c r="D1564" s="51">
        <v>-4026</v>
      </c>
      <c r="E1564" s="51">
        <v>0</v>
      </c>
      <c r="F1564" s="51">
        <v>0</v>
      </c>
      <c r="G1564" s="51">
        <v>0</v>
      </c>
      <c r="H1564" s="51">
        <v>203580</v>
      </c>
      <c r="I1564" s="51">
        <v>-203580</v>
      </c>
      <c r="J1564" s="51">
        <v>0</v>
      </c>
      <c r="K1564" s="51">
        <v>41288</v>
      </c>
      <c r="L1564" s="51">
        <v>-41288</v>
      </c>
      <c r="M1564" s="51">
        <v>0</v>
      </c>
      <c r="N1564" s="51">
        <v>0</v>
      </c>
    </row>
    <row r="1565" spans="1:14" outlineLevel="1" x14ac:dyDescent="0.35">
      <c r="A1565" s="53" t="s">
        <v>244</v>
      </c>
      <c r="B1565" s="66" t="s">
        <v>191</v>
      </c>
      <c r="C1565" s="51">
        <v>252659</v>
      </c>
      <c r="D1565" s="51">
        <v>-74109</v>
      </c>
      <c r="E1565" s="51">
        <v>0</v>
      </c>
      <c r="F1565" s="51">
        <v>0</v>
      </c>
      <c r="G1565" s="51">
        <v>0</v>
      </c>
      <c r="H1565" s="51">
        <v>178550</v>
      </c>
      <c r="I1565" s="51">
        <v>-178550</v>
      </c>
      <c r="J1565" s="51">
        <v>0</v>
      </c>
      <c r="K1565" s="51">
        <v>60264</v>
      </c>
      <c r="L1565" s="51">
        <v>-60264</v>
      </c>
      <c r="M1565" s="51">
        <v>0</v>
      </c>
      <c r="N1565" s="51">
        <v>0</v>
      </c>
    </row>
    <row r="1566" spans="1:14" outlineLevel="2" x14ac:dyDescent="0.35">
      <c r="A1566" s="53" t="s">
        <v>244</v>
      </c>
      <c r="B1566" s="66" t="s">
        <v>190</v>
      </c>
      <c r="C1566" s="51">
        <v>176616</v>
      </c>
      <c r="D1566" s="51">
        <v>-3521</v>
      </c>
      <c r="E1566" s="51">
        <v>0</v>
      </c>
      <c r="F1566" s="51">
        <v>0</v>
      </c>
      <c r="G1566" s="51">
        <v>0</v>
      </c>
      <c r="H1566" s="51">
        <v>173095</v>
      </c>
      <c r="I1566" s="51">
        <v>-173095</v>
      </c>
      <c r="J1566" s="51">
        <v>0</v>
      </c>
      <c r="K1566" s="51">
        <v>2621</v>
      </c>
      <c r="L1566" s="51">
        <v>-2621</v>
      </c>
      <c r="M1566" s="51">
        <v>0</v>
      </c>
      <c r="N1566" s="51">
        <v>0</v>
      </c>
    </row>
    <row r="1567" spans="1:14" outlineLevel="2" x14ac:dyDescent="0.35">
      <c r="A1567" s="53" t="s">
        <v>244</v>
      </c>
      <c r="B1567" s="66" t="s">
        <v>189</v>
      </c>
      <c r="C1567" s="51">
        <v>143444</v>
      </c>
      <c r="D1567" s="51">
        <v>-3121</v>
      </c>
      <c r="E1567" s="51">
        <v>0</v>
      </c>
      <c r="F1567" s="51">
        <v>0</v>
      </c>
      <c r="G1567" s="51">
        <v>0</v>
      </c>
      <c r="H1567" s="51">
        <v>140323</v>
      </c>
      <c r="I1567" s="51">
        <v>-140323</v>
      </c>
      <c r="J1567" s="51">
        <v>0</v>
      </c>
      <c r="K1567" s="51">
        <v>3746</v>
      </c>
      <c r="L1567" s="51">
        <v>-3746</v>
      </c>
      <c r="M1567" s="51">
        <v>0</v>
      </c>
      <c r="N1567" s="51">
        <v>0</v>
      </c>
    </row>
    <row r="1568" spans="1:14" outlineLevel="2" x14ac:dyDescent="0.35">
      <c r="A1568" s="53" t="s">
        <v>244</v>
      </c>
      <c r="B1568" s="66" t="s">
        <v>188</v>
      </c>
      <c r="C1568" s="51">
        <v>154805</v>
      </c>
      <c r="D1568" s="51">
        <v>-3386</v>
      </c>
      <c r="E1568" s="51">
        <v>0</v>
      </c>
      <c r="F1568" s="51">
        <v>0</v>
      </c>
      <c r="G1568" s="51">
        <v>0</v>
      </c>
      <c r="H1568" s="51">
        <v>151419</v>
      </c>
      <c r="I1568" s="51">
        <v>-151419</v>
      </c>
      <c r="J1568" s="51">
        <v>0</v>
      </c>
      <c r="K1568" s="51">
        <v>2478</v>
      </c>
      <c r="L1568" s="51">
        <v>-2478</v>
      </c>
      <c r="M1568" s="51">
        <v>0</v>
      </c>
      <c r="N1568" s="51">
        <v>0</v>
      </c>
    </row>
    <row r="1569" spans="1:14" outlineLevel="2" x14ac:dyDescent="0.35">
      <c r="A1569" s="53" t="s">
        <v>244</v>
      </c>
      <c r="B1569" s="66" t="s">
        <v>186</v>
      </c>
      <c r="C1569" s="51">
        <v>77461</v>
      </c>
      <c r="D1569" s="51">
        <v>-554</v>
      </c>
      <c r="E1569" s="51">
        <v>0</v>
      </c>
      <c r="F1569" s="51">
        <v>0</v>
      </c>
      <c r="G1569" s="51">
        <v>0</v>
      </c>
      <c r="H1569" s="51">
        <v>76907</v>
      </c>
      <c r="I1569" s="51">
        <v>-76907</v>
      </c>
      <c r="J1569" s="51">
        <v>0</v>
      </c>
      <c r="K1569" s="51">
        <v>880</v>
      </c>
      <c r="L1569" s="51">
        <v>-880</v>
      </c>
      <c r="M1569" s="51">
        <v>0</v>
      </c>
      <c r="N1569" s="51">
        <v>0</v>
      </c>
    </row>
    <row r="1570" spans="1:14" ht="16" outlineLevel="2" thickBot="1" x14ac:dyDescent="0.4">
      <c r="A1570" s="50" t="s">
        <v>68</v>
      </c>
      <c r="B1570" s="67" t="s">
        <v>12</v>
      </c>
      <c r="C1570" s="48">
        <f>SUBTOTAL(109,Program127[(C)
Program
Costs])</f>
        <v>9063103</v>
      </c>
      <c r="D1570" s="48">
        <f>SUBTOTAL(109,Program127[(D)
Prior Period Adjustments])</f>
        <v>-182419</v>
      </c>
      <c r="E1570" s="48">
        <f>SUBTOTAL(109,Program127[(E)
Current Period Desk 
Reviews])</f>
        <v>0</v>
      </c>
      <c r="F1570" s="48">
        <f>SUBTOTAL(109,Program127[(F)
Current Period 
Final 
Audits])</f>
        <v>0</v>
      </c>
      <c r="G1570" s="48">
        <f>SUBTOTAL(109,Program127[(G)
Current Period 
Other Adjustments])</f>
        <v>-1678</v>
      </c>
      <c r="H1570" s="48">
        <f>SUBTOTAL(109,Program127[(H)
Net Program Costs
Sum (C through G)])</f>
        <v>8879006</v>
      </c>
      <c r="I1570" s="48">
        <f>SUBTOTAL(109,Program127[(I)
Payments
 and Offsets])</f>
        <v>-8280177</v>
      </c>
      <c r="J1570" s="48">
        <f>SUBTOTAL(109,Program127[(J)
Accounts Payable Balance
(H + I)])</f>
        <v>598829</v>
      </c>
      <c r="K1570" s="48">
        <f>SUBTOTAL(109,Program127[(K)
Established 
Accounts Receivable])</f>
        <v>316455</v>
      </c>
      <c r="L1570" s="48">
        <f>SUBTOTAL(109,Program127[(L)
Recovered
 Accounts Receivable])</f>
        <v>-316455</v>
      </c>
      <c r="M1570" s="48">
        <f>SUBTOTAL(109,Program127[(M)
Accounts Receivable Balance
(K + L)])</f>
        <v>0</v>
      </c>
      <c r="N1570" s="48">
        <f>SUBTOTAL(109,Program127[(N)
Net Balance
(J minus M)])</f>
        <v>598829</v>
      </c>
    </row>
    <row r="1571" spans="1:14" outlineLevel="2" x14ac:dyDescent="0.35">
      <c r="A1571" s="63" t="s">
        <v>33</v>
      </c>
      <c r="B1571" s="62"/>
      <c r="C1571" s="61"/>
      <c r="D1571" s="61"/>
      <c r="E1571" s="61"/>
      <c r="F1571" s="61"/>
      <c r="G1571" s="61"/>
      <c r="H1571" s="61"/>
      <c r="I1571" s="61"/>
      <c r="J1571" s="61"/>
      <c r="K1571" s="61"/>
      <c r="L1571" s="61"/>
      <c r="M1571" s="61"/>
      <c r="N1571" s="61"/>
    </row>
    <row r="1572" spans="1:14" ht="77.5" outlineLevel="2" x14ac:dyDescent="0.35">
      <c r="A1572" s="60" t="s">
        <v>185</v>
      </c>
      <c r="B1572" s="59" t="s">
        <v>184</v>
      </c>
      <c r="C1572" s="58" t="s">
        <v>183</v>
      </c>
      <c r="D1572" s="58" t="s">
        <v>182</v>
      </c>
      <c r="E1572" s="56" t="s">
        <v>181</v>
      </c>
      <c r="F1572" s="56" t="s">
        <v>180</v>
      </c>
      <c r="G1572" s="56" t="s">
        <v>179</v>
      </c>
      <c r="H1572" s="57" t="s">
        <v>674</v>
      </c>
      <c r="I1572" s="55" t="s">
        <v>178</v>
      </c>
      <c r="J1572" s="55" t="s">
        <v>177</v>
      </c>
      <c r="K1572" s="56" t="s">
        <v>176</v>
      </c>
      <c r="L1572" s="55" t="s">
        <v>175</v>
      </c>
      <c r="M1572" s="55" t="s">
        <v>174</v>
      </c>
      <c r="N1572" s="54" t="s">
        <v>173</v>
      </c>
    </row>
    <row r="1573" spans="1:14" ht="31" outlineLevel="2" x14ac:dyDescent="0.35">
      <c r="A1573" s="70" t="s">
        <v>243</v>
      </c>
      <c r="B1573" s="69" t="s">
        <v>200</v>
      </c>
      <c r="C1573" s="68">
        <v>15266</v>
      </c>
      <c r="D1573" s="68">
        <v>0</v>
      </c>
      <c r="E1573" s="68">
        <v>0</v>
      </c>
      <c r="F1573" s="68">
        <v>0</v>
      </c>
      <c r="G1573" s="68">
        <v>0</v>
      </c>
      <c r="H1573" s="68">
        <v>15266</v>
      </c>
      <c r="I1573" s="68">
        <v>-15266</v>
      </c>
      <c r="J1573" s="68">
        <v>0</v>
      </c>
      <c r="K1573" s="68">
        <v>0</v>
      </c>
      <c r="L1573" s="68">
        <v>0</v>
      </c>
      <c r="M1573" s="68">
        <v>0</v>
      </c>
      <c r="N1573" s="68">
        <v>0</v>
      </c>
    </row>
    <row r="1574" spans="1:14" ht="31" outlineLevel="2" x14ac:dyDescent="0.35">
      <c r="A1574" s="70" t="s">
        <v>243</v>
      </c>
      <c r="B1574" s="69" t="s">
        <v>199</v>
      </c>
      <c r="C1574" s="68">
        <v>15382</v>
      </c>
      <c r="D1574" s="68">
        <v>-2307</v>
      </c>
      <c r="E1574" s="68">
        <v>0</v>
      </c>
      <c r="F1574" s="68">
        <v>0</v>
      </c>
      <c r="G1574" s="68">
        <v>0</v>
      </c>
      <c r="H1574" s="68">
        <v>13075</v>
      </c>
      <c r="I1574" s="68">
        <v>-13075</v>
      </c>
      <c r="J1574" s="68">
        <v>0</v>
      </c>
      <c r="K1574" s="68">
        <v>0</v>
      </c>
      <c r="L1574" s="68">
        <v>0</v>
      </c>
      <c r="M1574" s="68">
        <v>0</v>
      </c>
      <c r="N1574" s="68">
        <v>0</v>
      </c>
    </row>
    <row r="1575" spans="1:14" ht="31" outlineLevel="2" x14ac:dyDescent="0.35">
      <c r="A1575" s="70" t="s">
        <v>243</v>
      </c>
      <c r="B1575" s="69" t="s">
        <v>198</v>
      </c>
      <c r="C1575" s="68">
        <v>14005</v>
      </c>
      <c r="D1575" s="68">
        <v>-5611</v>
      </c>
      <c r="E1575" s="68">
        <v>0</v>
      </c>
      <c r="F1575" s="68">
        <v>0</v>
      </c>
      <c r="G1575" s="68">
        <v>0</v>
      </c>
      <c r="H1575" s="68">
        <v>8394</v>
      </c>
      <c r="I1575" s="68">
        <v>-8394</v>
      </c>
      <c r="J1575" s="68">
        <v>0</v>
      </c>
      <c r="K1575" s="68">
        <v>0</v>
      </c>
      <c r="L1575" s="68">
        <v>0</v>
      </c>
      <c r="M1575" s="68">
        <v>0</v>
      </c>
      <c r="N1575" s="68">
        <v>0</v>
      </c>
    </row>
    <row r="1576" spans="1:14" ht="31" outlineLevel="2" x14ac:dyDescent="0.35">
      <c r="A1576" s="70" t="s">
        <v>243</v>
      </c>
      <c r="B1576" s="69" t="s">
        <v>197</v>
      </c>
      <c r="C1576" s="68">
        <v>13654</v>
      </c>
      <c r="D1576" s="68">
        <v>-5442</v>
      </c>
      <c r="E1576" s="68">
        <v>0</v>
      </c>
      <c r="F1576" s="68">
        <v>0</v>
      </c>
      <c r="G1576" s="68">
        <v>0</v>
      </c>
      <c r="H1576" s="68">
        <v>8212</v>
      </c>
      <c r="I1576" s="68">
        <v>-8212</v>
      </c>
      <c r="J1576" s="68">
        <v>0</v>
      </c>
      <c r="K1576" s="68">
        <v>0</v>
      </c>
      <c r="L1576" s="68">
        <v>0</v>
      </c>
      <c r="M1576" s="68">
        <v>0</v>
      </c>
      <c r="N1576" s="68">
        <v>0</v>
      </c>
    </row>
    <row r="1577" spans="1:14" ht="31" outlineLevel="1" x14ac:dyDescent="0.35">
      <c r="A1577" s="70" t="s">
        <v>243</v>
      </c>
      <c r="B1577" s="69" t="s">
        <v>196</v>
      </c>
      <c r="C1577" s="68">
        <v>12843</v>
      </c>
      <c r="D1577" s="68">
        <v>-4911</v>
      </c>
      <c r="E1577" s="68">
        <v>0</v>
      </c>
      <c r="F1577" s="68">
        <v>0</v>
      </c>
      <c r="G1577" s="68">
        <v>0</v>
      </c>
      <c r="H1577" s="68">
        <v>7932</v>
      </c>
      <c r="I1577" s="68">
        <v>-7932</v>
      </c>
      <c r="J1577" s="68">
        <v>0</v>
      </c>
      <c r="K1577" s="68">
        <v>0</v>
      </c>
      <c r="L1577" s="68">
        <v>0</v>
      </c>
      <c r="M1577" s="68">
        <v>0</v>
      </c>
      <c r="N1577" s="68">
        <v>0</v>
      </c>
    </row>
    <row r="1578" spans="1:14" ht="31" outlineLevel="2" x14ac:dyDescent="0.35">
      <c r="A1578" s="70" t="s">
        <v>243</v>
      </c>
      <c r="B1578" s="69" t="s">
        <v>195</v>
      </c>
      <c r="C1578" s="68">
        <v>12586</v>
      </c>
      <c r="D1578" s="68">
        <v>0</v>
      </c>
      <c r="E1578" s="68">
        <v>0</v>
      </c>
      <c r="F1578" s="68">
        <v>0</v>
      </c>
      <c r="G1578" s="68">
        <v>0</v>
      </c>
      <c r="H1578" s="68">
        <v>12586</v>
      </c>
      <c r="I1578" s="68">
        <v>-12586</v>
      </c>
      <c r="J1578" s="68">
        <v>0</v>
      </c>
      <c r="K1578" s="68">
        <v>0</v>
      </c>
      <c r="L1578" s="68">
        <v>0</v>
      </c>
      <c r="M1578" s="68">
        <v>0</v>
      </c>
      <c r="N1578" s="68">
        <v>0</v>
      </c>
    </row>
    <row r="1579" spans="1:14" ht="31" outlineLevel="2" x14ac:dyDescent="0.35">
      <c r="A1579" s="70" t="s">
        <v>243</v>
      </c>
      <c r="B1579" s="69" t="s">
        <v>194</v>
      </c>
      <c r="C1579" s="68">
        <v>10734</v>
      </c>
      <c r="D1579" s="68">
        <v>-3028</v>
      </c>
      <c r="E1579" s="68">
        <v>0</v>
      </c>
      <c r="F1579" s="68">
        <v>0</v>
      </c>
      <c r="G1579" s="68">
        <v>0</v>
      </c>
      <c r="H1579" s="68">
        <v>7706</v>
      </c>
      <c r="I1579" s="68">
        <v>-7706</v>
      </c>
      <c r="J1579" s="68">
        <v>0</v>
      </c>
      <c r="K1579" s="68">
        <v>0</v>
      </c>
      <c r="L1579" s="68">
        <v>0</v>
      </c>
      <c r="M1579" s="68">
        <v>0</v>
      </c>
      <c r="N1579" s="68">
        <v>0</v>
      </c>
    </row>
    <row r="1580" spans="1:14" ht="16" outlineLevel="2" thickBot="1" x14ac:dyDescent="0.4">
      <c r="A1580" s="50" t="s">
        <v>67</v>
      </c>
      <c r="B1580" s="67" t="s">
        <v>12</v>
      </c>
      <c r="C1580" s="48">
        <f>SUBTOTAL(109,Program245[(C)
Program
Costs])</f>
        <v>94470</v>
      </c>
      <c r="D1580" s="48">
        <f>SUBTOTAL(109,Program245[(D)
Prior Period Adjustments])</f>
        <v>-21299</v>
      </c>
      <c r="E1580" s="48">
        <f>SUBTOTAL(109,Program245[(E)
Current Period Desk 
Reviews])</f>
        <v>0</v>
      </c>
      <c r="F1580" s="48">
        <f>SUBTOTAL(109,Program245[(F)
Current Period 
Final 
Audits])</f>
        <v>0</v>
      </c>
      <c r="G1580" s="48">
        <f>SUBTOTAL(109,Program245[(G)
Current Period 
Other Adjustments])</f>
        <v>0</v>
      </c>
      <c r="H1580" s="48">
        <f>SUBTOTAL(109,Program245[(H)
Net Program Costs
Sum (C through G)])</f>
        <v>73171</v>
      </c>
      <c r="I1580" s="48">
        <f>SUBTOTAL(109,Program245[(I)
Payments
 and Offsets])</f>
        <v>-73171</v>
      </c>
      <c r="J1580" s="48">
        <f>SUBTOTAL(109,Program245[(J)
Accounts Payable Balance
(H + I)])</f>
        <v>0</v>
      </c>
      <c r="K1580" s="48">
        <f>SUBTOTAL(109,Program245[(K)
Established 
Accounts Receivable])</f>
        <v>0</v>
      </c>
      <c r="L1580" s="48">
        <f>SUBTOTAL(109,Program245[(L)
Recovered
 Accounts Receivable])</f>
        <v>0</v>
      </c>
      <c r="M1580" s="48">
        <f>SUBTOTAL(109,Program245[(M)
Accounts Receivable Balance
(K + L)])</f>
        <v>0</v>
      </c>
      <c r="N1580" s="48">
        <f>SUBTOTAL(109,Program245[(N)
Net Balance
(J minus M)])</f>
        <v>0</v>
      </c>
    </row>
    <row r="1581" spans="1:14" outlineLevel="2" x14ac:dyDescent="0.35">
      <c r="A1581" s="63" t="s">
        <v>33</v>
      </c>
      <c r="B1581" s="62"/>
      <c r="C1581" s="61"/>
      <c r="D1581" s="61"/>
      <c r="E1581" s="61"/>
      <c r="F1581" s="61"/>
      <c r="G1581" s="61"/>
      <c r="H1581" s="61"/>
      <c r="I1581" s="61"/>
      <c r="J1581" s="61"/>
      <c r="K1581" s="61"/>
      <c r="L1581" s="61"/>
      <c r="M1581" s="61"/>
      <c r="N1581" s="61"/>
    </row>
    <row r="1582" spans="1:14" ht="77.5" outlineLevel="2" x14ac:dyDescent="0.35">
      <c r="A1582" s="60" t="s">
        <v>185</v>
      </c>
      <c r="B1582" s="59" t="s">
        <v>184</v>
      </c>
      <c r="C1582" s="58" t="s">
        <v>183</v>
      </c>
      <c r="D1582" s="58" t="s">
        <v>182</v>
      </c>
      <c r="E1582" s="56" t="s">
        <v>181</v>
      </c>
      <c r="F1582" s="56" t="s">
        <v>180</v>
      </c>
      <c r="G1582" s="56" t="s">
        <v>179</v>
      </c>
      <c r="H1582" s="57" t="s">
        <v>674</v>
      </c>
      <c r="I1582" s="55" t="s">
        <v>178</v>
      </c>
      <c r="J1582" s="55" t="s">
        <v>177</v>
      </c>
      <c r="K1582" s="56" t="s">
        <v>176</v>
      </c>
      <c r="L1582" s="55" t="s">
        <v>175</v>
      </c>
      <c r="M1582" s="55" t="s">
        <v>174</v>
      </c>
      <c r="N1582" s="54" t="s">
        <v>173</v>
      </c>
    </row>
    <row r="1583" spans="1:14" outlineLevel="2" x14ac:dyDescent="0.35">
      <c r="A1583" s="53" t="s">
        <v>242</v>
      </c>
      <c r="B1583" s="66" t="s">
        <v>200</v>
      </c>
      <c r="C1583" s="51">
        <v>3995</v>
      </c>
      <c r="D1583" s="51">
        <v>-400</v>
      </c>
      <c r="E1583" s="51">
        <v>0</v>
      </c>
      <c r="F1583" s="51">
        <v>0</v>
      </c>
      <c r="G1583" s="51">
        <v>0</v>
      </c>
      <c r="H1583" s="51">
        <v>3595</v>
      </c>
      <c r="I1583" s="51">
        <v>-3595</v>
      </c>
      <c r="J1583" s="51">
        <v>0</v>
      </c>
      <c r="K1583" s="51">
        <v>0</v>
      </c>
      <c r="L1583" s="51">
        <v>0</v>
      </c>
      <c r="M1583" s="51">
        <v>0</v>
      </c>
      <c r="N1583" s="51">
        <v>0</v>
      </c>
    </row>
    <row r="1584" spans="1:14" outlineLevel="2" x14ac:dyDescent="0.35">
      <c r="A1584" s="53" t="s">
        <v>242</v>
      </c>
      <c r="B1584" s="66" t="s">
        <v>199</v>
      </c>
      <c r="C1584" s="51">
        <v>2245591</v>
      </c>
      <c r="D1584" s="51">
        <v>-97568</v>
      </c>
      <c r="E1584" s="51">
        <v>0</v>
      </c>
      <c r="F1584" s="51">
        <v>0</v>
      </c>
      <c r="G1584" s="51">
        <v>0</v>
      </c>
      <c r="H1584" s="51">
        <v>2148023</v>
      </c>
      <c r="I1584" s="51">
        <v>-2148023</v>
      </c>
      <c r="J1584" s="51">
        <v>0</v>
      </c>
      <c r="K1584" s="51">
        <v>0</v>
      </c>
      <c r="L1584" s="51">
        <v>0</v>
      </c>
      <c r="M1584" s="51">
        <v>0</v>
      </c>
      <c r="N1584" s="51">
        <v>0</v>
      </c>
    </row>
    <row r="1585" spans="1:14" outlineLevel="2" x14ac:dyDescent="0.35">
      <c r="A1585" s="53" t="s">
        <v>242</v>
      </c>
      <c r="B1585" s="66" t="s">
        <v>198</v>
      </c>
      <c r="C1585" s="51">
        <v>3419288</v>
      </c>
      <c r="D1585" s="51">
        <v>-341711</v>
      </c>
      <c r="E1585" s="51">
        <v>0</v>
      </c>
      <c r="F1585" s="51">
        <v>0</v>
      </c>
      <c r="G1585" s="51">
        <v>0</v>
      </c>
      <c r="H1585" s="51">
        <v>3077577</v>
      </c>
      <c r="I1585" s="51">
        <v>-3077577</v>
      </c>
      <c r="J1585" s="51">
        <v>0</v>
      </c>
      <c r="K1585" s="51">
        <v>0</v>
      </c>
      <c r="L1585" s="51">
        <v>0</v>
      </c>
      <c r="M1585" s="51">
        <v>0</v>
      </c>
      <c r="N1585" s="51">
        <v>0</v>
      </c>
    </row>
    <row r="1586" spans="1:14" outlineLevel="2" x14ac:dyDescent="0.35">
      <c r="A1586" s="53" t="s">
        <v>242</v>
      </c>
      <c r="B1586" s="66" t="s">
        <v>197</v>
      </c>
      <c r="C1586" s="51">
        <v>4706575</v>
      </c>
      <c r="D1586" s="51">
        <v>-660262</v>
      </c>
      <c r="E1586" s="51">
        <v>0</v>
      </c>
      <c r="F1586" s="51">
        <v>0</v>
      </c>
      <c r="G1586" s="51">
        <v>0</v>
      </c>
      <c r="H1586" s="51">
        <v>4046313</v>
      </c>
      <c r="I1586" s="51">
        <v>-4046313</v>
      </c>
      <c r="J1586" s="51">
        <v>0</v>
      </c>
      <c r="K1586" s="51">
        <v>114232</v>
      </c>
      <c r="L1586" s="51">
        <v>-114232</v>
      </c>
      <c r="M1586" s="51">
        <v>0</v>
      </c>
      <c r="N1586" s="51">
        <v>0</v>
      </c>
    </row>
    <row r="1587" spans="1:14" outlineLevel="2" x14ac:dyDescent="0.35">
      <c r="A1587" s="53" t="s">
        <v>242</v>
      </c>
      <c r="B1587" s="66" t="s">
        <v>196</v>
      </c>
      <c r="C1587" s="51">
        <v>4977359</v>
      </c>
      <c r="D1587" s="51">
        <v>-318603</v>
      </c>
      <c r="E1587" s="51">
        <v>0</v>
      </c>
      <c r="F1587" s="51">
        <v>0</v>
      </c>
      <c r="G1587" s="51">
        <v>0</v>
      </c>
      <c r="H1587" s="51">
        <v>4658756</v>
      </c>
      <c r="I1587" s="51">
        <v>-4658756</v>
      </c>
      <c r="J1587" s="51">
        <v>0</v>
      </c>
      <c r="K1587" s="51">
        <v>266505</v>
      </c>
      <c r="L1587" s="51">
        <v>-266505</v>
      </c>
      <c r="M1587" s="51">
        <v>0</v>
      </c>
      <c r="N1587" s="51">
        <v>0</v>
      </c>
    </row>
    <row r="1588" spans="1:14" outlineLevel="2" x14ac:dyDescent="0.35">
      <c r="A1588" s="53" t="s">
        <v>242</v>
      </c>
      <c r="B1588" s="66" t="s">
        <v>195</v>
      </c>
      <c r="C1588" s="51">
        <v>2993290</v>
      </c>
      <c r="D1588" s="51">
        <v>-10207</v>
      </c>
      <c r="E1588" s="51">
        <v>0</v>
      </c>
      <c r="F1588" s="51">
        <v>0</v>
      </c>
      <c r="G1588" s="51">
        <v>0</v>
      </c>
      <c r="H1588" s="51">
        <v>2983083</v>
      </c>
      <c r="I1588" s="51">
        <v>-2983083</v>
      </c>
      <c r="J1588" s="51">
        <v>0</v>
      </c>
      <c r="K1588" s="51">
        <v>57912</v>
      </c>
      <c r="L1588" s="51">
        <v>-57912</v>
      </c>
      <c r="M1588" s="51">
        <v>0</v>
      </c>
      <c r="N1588" s="51">
        <v>0</v>
      </c>
    </row>
    <row r="1589" spans="1:14" outlineLevel="2" x14ac:dyDescent="0.35">
      <c r="A1589" s="53" t="s">
        <v>242</v>
      </c>
      <c r="B1589" s="66" t="s">
        <v>194</v>
      </c>
      <c r="C1589" s="51">
        <v>1324944</v>
      </c>
      <c r="D1589" s="51">
        <v>-1125</v>
      </c>
      <c r="E1589" s="51">
        <v>0</v>
      </c>
      <c r="F1589" s="51">
        <v>0</v>
      </c>
      <c r="G1589" s="51">
        <v>0</v>
      </c>
      <c r="H1589" s="51">
        <v>1323819</v>
      </c>
      <c r="I1589" s="51">
        <v>-1323819</v>
      </c>
      <c r="J1589" s="51">
        <v>0</v>
      </c>
      <c r="K1589" s="51">
        <v>647104</v>
      </c>
      <c r="L1589" s="51">
        <v>-481403</v>
      </c>
      <c r="M1589" s="51">
        <v>165701</v>
      </c>
      <c r="N1589" s="51">
        <v>-165701</v>
      </c>
    </row>
    <row r="1590" spans="1:14" outlineLevel="1" x14ac:dyDescent="0.35">
      <c r="A1590" s="53" t="s">
        <v>242</v>
      </c>
      <c r="B1590" s="66" t="s">
        <v>188</v>
      </c>
      <c r="C1590" s="51">
        <v>197844</v>
      </c>
      <c r="D1590" s="51">
        <v>-23687</v>
      </c>
      <c r="E1590" s="51">
        <v>0</v>
      </c>
      <c r="F1590" s="51">
        <v>0</v>
      </c>
      <c r="G1590" s="51">
        <v>0</v>
      </c>
      <c r="H1590" s="51">
        <v>174157</v>
      </c>
      <c r="I1590" s="51">
        <v>-174157</v>
      </c>
      <c r="J1590" s="51">
        <v>0</v>
      </c>
      <c r="K1590" s="51">
        <v>0</v>
      </c>
      <c r="L1590" s="51">
        <v>0</v>
      </c>
      <c r="M1590" s="51">
        <v>0</v>
      </c>
      <c r="N1590" s="51">
        <v>0</v>
      </c>
    </row>
    <row r="1591" spans="1:14" outlineLevel="1" x14ac:dyDescent="0.35">
      <c r="A1591" s="53" t="s">
        <v>242</v>
      </c>
      <c r="B1591" s="66" t="s">
        <v>186</v>
      </c>
      <c r="C1591" s="51">
        <v>1611244</v>
      </c>
      <c r="D1591" s="51">
        <v>-281714</v>
      </c>
      <c r="E1591" s="51">
        <v>0</v>
      </c>
      <c r="F1591" s="51">
        <v>0</v>
      </c>
      <c r="G1591" s="51">
        <v>0</v>
      </c>
      <c r="H1591" s="51">
        <v>1329530</v>
      </c>
      <c r="I1591" s="51">
        <v>-1329530</v>
      </c>
      <c r="J1591" s="51">
        <v>0</v>
      </c>
      <c r="K1591" s="51">
        <v>167850</v>
      </c>
      <c r="L1591" s="51">
        <v>-167850</v>
      </c>
      <c r="M1591" s="51">
        <v>0</v>
      </c>
      <c r="N1591" s="51">
        <v>0</v>
      </c>
    </row>
    <row r="1592" spans="1:14" outlineLevel="2" x14ac:dyDescent="0.35">
      <c r="A1592" s="53" t="s">
        <v>242</v>
      </c>
      <c r="B1592" s="66" t="s">
        <v>227</v>
      </c>
      <c r="C1592" s="51">
        <v>11401</v>
      </c>
      <c r="D1592" s="51">
        <v>-11401</v>
      </c>
      <c r="E1592" s="51">
        <v>0</v>
      </c>
      <c r="F1592" s="51">
        <v>0</v>
      </c>
      <c r="G1592" s="51">
        <v>0</v>
      </c>
      <c r="H1592" s="51">
        <v>0</v>
      </c>
      <c r="I1592" s="51">
        <v>0</v>
      </c>
      <c r="J1592" s="51">
        <v>0</v>
      </c>
      <c r="K1592" s="51">
        <v>36487</v>
      </c>
      <c r="L1592" s="51">
        <v>-36487</v>
      </c>
      <c r="M1592" s="51">
        <v>0</v>
      </c>
      <c r="N1592" s="51">
        <v>0</v>
      </c>
    </row>
    <row r="1593" spans="1:14" outlineLevel="2" x14ac:dyDescent="0.35">
      <c r="A1593" s="53" t="s">
        <v>242</v>
      </c>
      <c r="B1593" s="66" t="s">
        <v>226</v>
      </c>
      <c r="C1593" s="51">
        <v>0</v>
      </c>
      <c r="D1593" s="51">
        <v>0</v>
      </c>
      <c r="E1593" s="51">
        <v>0</v>
      </c>
      <c r="F1593" s="51">
        <v>0</v>
      </c>
      <c r="G1593" s="51">
        <v>0</v>
      </c>
      <c r="H1593" s="51">
        <v>0</v>
      </c>
      <c r="I1593" s="51">
        <v>0</v>
      </c>
      <c r="J1593" s="51">
        <v>0</v>
      </c>
      <c r="K1593" s="51">
        <v>20214</v>
      </c>
      <c r="L1593" s="51">
        <v>-20214</v>
      </c>
      <c r="M1593" s="51">
        <v>0</v>
      </c>
      <c r="N1593" s="51">
        <v>0</v>
      </c>
    </row>
    <row r="1594" spans="1:14" outlineLevel="2" x14ac:dyDescent="0.35">
      <c r="A1594" s="53" t="s">
        <v>242</v>
      </c>
      <c r="B1594" s="66" t="s">
        <v>225</v>
      </c>
      <c r="C1594" s="51">
        <v>0</v>
      </c>
      <c r="D1594" s="51">
        <v>0</v>
      </c>
      <c r="E1594" s="51">
        <v>0</v>
      </c>
      <c r="F1594" s="51">
        <v>0</v>
      </c>
      <c r="G1594" s="51">
        <v>0</v>
      </c>
      <c r="H1594" s="51">
        <v>0</v>
      </c>
      <c r="I1594" s="51">
        <v>0</v>
      </c>
      <c r="J1594" s="51">
        <v>0</v>
      </c>
      <c r="K1594" s="51">
        <v>3471</v>
      </c>
      <c r="L1594" s="51">
        <v>-3471</v>
      </c>
      <c r="M1594" s="51">
        <v>0</v>
      </c>
      <c r="N1594" s="51">
        <v>0</v>
      </c>
    </row>
    <row r="1595" spans="1:14" outlineLevel="1" x14ac:dyDescent="0.35">
      <c r="A1595" s="53" t="s">
        <v>242</v>
      </c>
      <c r="B1595" s="66" t="s">
        <v>223</v>
      </c>
      <c r="C1595" s="51">
        <v>0</v>
      </c>
      <c r="D1595" s="51">
        <v>0</v>
      </c>
      <c r="E1595" s="51">
        <v>0</v>
      </c>
      <c r="F1595" s="51">
        <v>0</v>
      </c>
      <c r="G1595" s="51">
        <v>0</v>
      </c>
      <c r="H1595" s="51">
        <v>0</v>
      </c>
      <c r="I1595" s="51">
        <v>0</v>
      </c>
      <c r="J1595" s="51">
        <v>0</v>
      </c>
      <c r="K1595" s="51">
        <v>10000</v>
      </c>
      <c r="L1595" s="51">
        <v>-10000</v>
      </c>
      <c r="M1595" s="51">
        <v>0</v>
      </c>
      <c r="N1595" s="51">
        <v>0</v>
      </c>
    </row>
    <row r="1596" spans="1:14" outlineLevel="1" x14ac:dyDescent="0.35">
      <c r="A1596" s="53" t="s">
        <v>242</v>
      </c>
      <c r="B1596" s="66" t="s">
        <v>241</v>
      </c>
      <c r="C1596" s="51">
        <v>0</v>
      </c>
      <c r="D1596" s="51">
        <v>0</v>
      </c>
      <c r="E1596" s="51">
        <v>0</v>
      </c>
      <c r="F1596" s="51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2785</v>
      </c>
      <c r="L1596" s="51">
        <v>-2785</v>
      </c>
      <c r="M1596" s="51">
        <v>0</v>
      </c>
      <c r="N1596" s="51">
        <v>0</v>
      </c>
    </row>
    <row r="1597" spans="1:14" ht="16" outlineLevel="2" thickBot="1" x14ac:dyDescent="0.4">
      <c r="A1597" s="50" t="s">
        <v>66</v>
      </c>
      <c r="B1597" s="67" t="s">
        <v>12</v>
      </c>
      <c r="C1597" s="48">
        <f>SUBTOTAL(109,Program55[(C)
Program
Costs])</f>
        <v>21491531</v>
      </c>
      <c r="D1597" s="48">
        <f>SUBTOTAL(109,Program55[(D)
Prior Period Adjustments])</f>
        <v>-1746678</v>
      </c>
      <c r="E1597" s="48">
        <f>SUBTOTAL(109,Program55[(E)
Current Period Desk 
Reviews])</f>
        <v>0</v>
      </c>
      <c r="F1597" s="48">
        <f>SUBTOTAL(109,Program55[(F)
Current Period 
Final 
Audits])</f>
        <v>0</v>
      </c>
      <c r="G1597" s="48">
        <f>SUBTOTAL(109,Program55[(G)
Current Period 
Other Adjustments])</f>
        <v>0</v>
      </c>
      <c r="H1597" s="48">
        <f>SUBTOTAL(109,Program55[(H)
Net Program Costs
Sum (C through G)])</f>
        <v>19744853</v>
      </c>
      <c r="I1597" s="48">
        <f>SUBTOTAL(109,Program55[(I)
Payments
 and Offsets])</f>
        <v>-19744853</v>
      </c>
      <c r="J1597" s="48">
        <f>SUBTOTAL(109,Program55[(J)
Accounts Payable Balance
(H + I)])</f>
        <v>0</v>
      </c>
      <c r="K1597" s="48">
        <f>SUBTOTAL(109,Program55[(K)
Established 
Accounts Receivable])</f>
        <v>1326560</v>
      </c>
      <c r="L1597" s="48">
        <f>SUBTOTAL(109,Program55[(L)
Recovered
 Accounts Receivable])</f>
        <v>-1160859</v>
      </c>
      <c r="M1597" s="48">
        <f>SUBTOTAL(109,Program55[(M)
Accounts Receivable Balance
(K + L)])</f>
        <v>165701</v>
      </c>
      <c r="N1597" s="48">
        <f>SUBTOTAL(109,Program55[(N)
Net Balance
(J minus M)])</f>
        <v>-165701</v>
      </c>
    </row>
    <row r="1598" spans="1:14" outlineLevel="2" x14ac:dyDescent="0.35">
      <c r="A1598" s="63" t="s">
        <v>33</v>
      </c>
      <c r="B1598" s="62"/>
      <c r="C1598" s="61"/>
      <c r="D1598" s="61"/>
      <c r="E1598" s="61"/>
      <c r="F1598" s="61"/>
      <c r="G1598" s="61"/>
      <c r="H1598" s="61"/>
      <c r="I1598" s="61"/>
      <c r="J1598" s="61"/>
      <c r="K1598" s="61"/>
      <c r="L1598" s="61"/>
      <c r="M1598" s="61"/>
      <c r="N1598" s="61"/>
    </row>
    <row r="1599" spans="1:14" ht="77.5" outlineLevel="1" x14ac:dyDescent="0.35">
      <c r="A1599" s="60" t="s">
        <v>185</v>
      </c>
      <c r="B1599" s="59" t="s">
        <v>184</v>
      </c>
      <c r="C1599" s="58" t="s">
        <v>183</v>
      </c>
      <c r="D1599" s="58" t="s">
        <v>182</v>
      </c>
      <c r="E1599" s="56" t="s">
        <v>181</v>
      </c>
      <c r="F1599" s="56" t="s">
        <v>180</v>
      </c>
      <c r="G1599" s="56" t="s">
        <v>179</v>
      </c>
      <c r="H1599" s="57" t="s">
        <v>674</v>
      </c>
      <c r="I1599" s="55" t="s">
        <v>178</v>
      </c>
      <c r="J1599" s="55" t="s">
        <v>177</v>
      </c>
      <c r="K1599" s="56" t="s">
        <v>176</v>
      </c>
      <c r="L1599" s="55" t="s">
        <v>175</v>
      </c>
      <c r="M1599" s="55" t="s">
        <v>174</v>
      </c>
      <c r="N1599" s="54" t="s">
        <v>173</v>
      </c>
    </row>
    <row r="1600" spans="1:14" outlineLevel="2" x14ac:dyDescent="0.35">
      <c r="A1600" s="53" t="s">
        <v>240</v>
      </c>
      <c r="B1600" s="66" t="s">
        <v>205</v>
      </c>
      <c r="C1600" s="51">
        <v>48097</v>
      </c>
      <c r="D1600" s="51">
        <v>-7</v>
      </c>
      <c r="E1600" s="51">
        <v>0</v>
      </c>
      <c r="F1600" s="51">
        <v>0</v>
      </c>
      <c r="G1600" s="51">
        <v>0</v>
      </c>
      <c r="H1600" s="51">
        <v>48090</v>
      </c>
      <c r="I1600" s="51">
        <v>0</v>
      </c>
      <c r="J1600" s="51">
        <v>48090</v>
      </c>
      <c r="K1600" s="51">
        <v>0</v>
      </c>
      <c r="L1600" s="51">
        <v>0</v>
      </c>
      <c r="M1600" s="51">
        <v>0</v>
      </c>
      <c r="N1600" s="51">
        <v>48090</v>
      </c>
    </row>
    <row r="1601" spans="1:14" outlineLevel="2" x14ac:dyDescent="0.35">
      <c r="A1601" s="53" t="s">
        <v>240</v>
      </c>
      <c r="B1601" s="66" t="s">
        <v>204</v>
      </c>
      <c r="C1601" s="51">
        <v>717831</v>
      </c>
      <c r="D1601" s="51">
        <v>-18028</v>
      </c>
      <c r="E1601" s="51">
        <v>0</v>
      </c>
      <c r="F1601" s="51">
        <v>0</v>
      </c>
      <c r="G1601" s="51">
        <v>0</v>
      </c>
      <c r="H1601" s="51">
        <v>699803</v>
      </c>
      <c r="I1601" s="51">
        <v>0</v>
      </c>
      <c r="J1601" s="51">
        <v>699803</v>
      </c>
      <c r="K1601" s="51">
        <v>0</v>
      </c>
      <c r="L1601" s="51">
        <v>0</v>
      </c>
      <c r="M1601" s="51">
        <v>0</v>
      </c>
      <c r="N1601" s="51">
        <v>699803</v>
      </c>
    </row>
    <row r="1602" spans="1:14" outlineLevel="1" x14ac:dyDescent="0.35">
      <c r="A1602" s="53" t="s">
        <v>240</v>
      </c>
      <c r="B1602" s="66" t="s">
        <v>203</v>
      </c>
      <c r="C1602" s="51">
        <v>847301</v>
      </c>
      <c r="D1602" s="51">
        <v>-12879</v>
      </c>
      <c r="E1602" s="51">
        <v>0</v>
      </c>
      <c r="F1602" s="51">
        <v>0</v>
      </c>
      <c r="G1602" s="51">
        <v>0</v>
      </c>
      <c r="H1602" s="51">
        <v>834422</v>
      </c>
      <c r="I1602" s="51">
        <v>0</v>
      </c>
      <c r="J1602" s="51">
        <v>834422</v>
      </c>
      <c r="K1602" s="51">
        <v>0</v>
      </c>
      <c r="L1602" s="51">
        <v>0</v>
      </c>
      <c r="M1602" s="51">
        <v>0</v>
      </c>
      <c r="N1602" s="51">
        <v>834422</v>
      </c>
    </row>
    <row r="1603" spans="1:14" outlineLevel="1" x14ac:dyDescent="0.35">
      <c r="A1603" s="53" t="s">
        <v>240</v>
      </c>
      <c r="B1603" s="66" t="s">
        <v>202</v>
      </c>
      <c r="C1603" s="51">
        <v>886232</v>
      </c>
      <c r="D1603" s="51">
        <v>-10668</v>
      </c>
      <c r="E1603" s="51">
        <v>0</v>
      </c>
      <c r="F1603" s="51">
        <v>0</v>
      </c>
      <c r="G1603" s="51">
        <v>0</v>
      </c>
      <c r="H1603" s="51">
        <v>875564</v>
      </c>
      <c r="I1603" s="51">
        <v>-875564</v>
      </c>
      <c r="J1603" s="51">
        <v>0</v>
      </c>
      <c r="K1603" s="51">
        <v>81902</v>
      </c>
      <c r="L1603" s="51">
        <v>-81902</v>
      </c>
      <c r="M1603" s="51">
        <v>0</v>
      </c>
      <c r="N1603" s="51">
        <v>0</v>
      </c>
    </row>
    <row r="1604" spans="1:14" outlineLevel="2" x14ac:dyDescent="0.35">
      <c r="A1604" s="53" t="s">
        <v>240</v>
      </c>
      <c r="B1604" s="66" t="s">
        <v>201</v>
      </c>
      <c r="C1604" s="51">
        <v>893018</v>
      </c>
      <c r="D1604" s="51">
        <v>-1071</v>
      </c>
      <c r="E1604" s="51">
        <v>0</v>
      </c>
      <c r="F1604" s="51">
        <v>0</v>
      </c>
      <c r="G1604" s="51">
        <v>0</v>
      </c>
      <c r="H1604" s="51">
        <v>891947</v>
      </c>
      <c r="I1604" s="51">
        <v>-891947</v>
      </c>
      <c r="J1604" s="51">
        <v>0</v>
      </c>
      <c r="K1604" s="51">
        <v>33727</v>
      </c>
      <c r="L1604" s="51">
        <v>-33727</v>
      </c>
      <c r="M1604" s="51">
        <v>0</v>
      </c>
      <c r="N1604" s="51">
        <v>0</v>
      </c>
    </row>
    <row r="1605" spans="1:14" outlineLevel="2" x14ac:dyDescent="0.35">
      <c r="A1605" s="53" t="s">
        <v>240</v>
      </c>
      <c r="B1605" s="66" t="s">
        <v>200</v>
      </c>
      <c r="C1605" s="51">
        <v>1353626</v>
      </c>
      <c r="D1605" s="51">
        <v>-1972</v>
      </c>
      <c r="E1605" s="51">
        <v>0</v>
      </c>
      <c r="F1605" s="51">
        <v>0</v>
      </c>
      <c r="G1605" s="51">
        <v>0</v>
      </c>
      <c r="H1605" s="51">
        <v>1351654</v>
      </c>
      <c r="I1605" s="51">
        <v>-1351654</v>
      </c>
      <c r="J1605" s="51">
        <v>0</v>
      </c>
      <c r="K1605" s="51">
        <v>268079</v>
      </c>
      <c r="L1605" s="51">
        <v>-268079</v>
      </c>
      <c r="M1605" s="51">
        <v>0</v>
      </c>
      <c r="N1605" s="51">
        <v>0</v>
      </c>
    </row>
    <row r="1606" spans="1:14" outlineLevel="2" x14ac:dyDescent="0.35">
      <c r="A1606" s="53" t="s">
        <v>240</v>
      </c>
      <c r="B1606" s="66" t="s">
        <v>199</v>
      </c>
      <c r="C1606" s="51">
        <v>1593768</v>
      </c>
      <c r="D1606" s="51">
        <v>-85366</v>
      </c>
      <c r="E1606" s="51">
        <v>0</v>
      </c>
      <c r="F1606" s="51">
        <v>0</v>
      </c>
      <c r="G1606" s="51">
        <v>0</v>
      </c>
      <c r="H1606" s="51">
        <v>1508402</v>
      </c>
      <c r="I1606" s="51">
        <v>-1508402</v>
      </c>
      <c r="J1606" s="51">
        <v>0</v>
      </c>
      <c r="K1606" s="51">
        <v>0</v>
      </c>
      <c r="L1606" s="51">
        <v>0</v>
      </c>
      <c r="M1606" s="51">
        <v>0</v>
      </c>
      <c r="N1606" s="51">
        <v>0</v>
      </c>
    </row>
    <row r="1607" spans="1:14" outlineLevel="2" x14ac:dyDescent="0.35">
      <c r="A1607" s="53" t="s">
        <v>240</v>
      </c>
      <c r="B1607" s="66" t="s">
        <v>198</v>
      </c>
      <c r="C1607" s="51">
        <v>1351725</v>
      </c>
      <c r="D1607" s="51">
        <v>-41408</v>
      </c>
      <c r="E1607" s="51">
        <v>0</v>
      </c>
      <c r="F1607" s="51">
        <v>0</v>
      </c>
      <c r="G1607" s="51">
        <v>0</v>
      </c>
      <c r="H1607" s="51">
        <v>1310317</v>
      </c>
      <c r="I1607" s="51">
        <v>-1310317</v>
      </c>
      <c r="J1607" s="51">
        <v>0</v>
      </c>
      <c r="K1607" s="51">
        <v>4</v>
      </c>
      <c r="L1607" s="51">
        <v>-4</v>
      </c>
      <c r="M1607" s="51">
        <v>0</v>
      </c>
      <c r="N1607" s="51">
        <v>0</v>
      </c>
    </row>
    <row r="1608" spans="1:14" outlineLevel="1" x14ac:dyDescent="0.35">
      <c r="A1608" s="53" t="s">
        <v>240</v>
      </c>
      <c r="B1608" s="66" t="s">
        <v>197</v>
      </c>
      <c r="C1608" s="51">
        <v>1213708</v>
      </c>
      <c r="D1608" s="51">
        <v>-19270</v>
      </c>
      <c r="E1608" s="51">
        <v>0</v>
      </c>
      <c r="F1608" s="51">
        <v>0</v>
      </c>
      <c r="G1608" s="51">
        <v>0</v>
      </c>
      <c r="H1608" s="51">
        <v>1194438</v>
      </c>
      <c r="I1608" s="51">
        <v>-1194438</v>
      </c>
      <c r="J1608" s="51">
        <v>0</v>
      </c>
      <c r="K1608" s="51">
        <v>88138</v>
      </c>
      <c r="L1608" s="51">
        <v>-88138</v>
      </c>
      <c r="M1608" s="51">
        <v>0</v>
      </c>
      <c r="N1608" s="51">
        <v>0</v>
      </c>
    </row>
    <row r="1609" spans="1:14" outlineLevel="2" x14ac:dyDescent="0.35">
      <c r="A1609" s="53" t="s">
        <v>240</v>
      </c>
      <c r="B1609" s="66" t="s">
        <v>196</v>
      </c>
      <c r="C1609" s="51">
        <v>1299390</v>
      </c>
      <c r="D1609" s="51">
        <v>0</v>
      </c>
      <c r="E1609" s="51">
        <v>0</v>
      </c>
      <c r="F1609" s="51">
        <v>0</v>
      </c>
      <c r="G1609" s="51">
        <v>0</v>
      </c>
      <c r="H1609" s="51">
        <v>1299390</v>
      </c>
      <c r="I1609" s="51">
        <v>-1299390</v>
      </c>
      <c r="J1609" s="51">
        <v>0</v>
      </c>
      <c r="K1609" s="51">
        <v>31816</v>
      </c>
      <c r="L1609" s="51">
        <v>-31816</v>
      </c>
      <c r="M1609" s="51">
        <v>0</v>
      </c>
      <c r="N1609" s="51">
        <v>0</v>
      </c>
    </row>
    <row r="1610" spans="1:14" outlineLevel="2" x14ac:dyDescent="0.35">
      <c r="A1610" s="53" t="s">
        <v>240</v>
      </c>
      <c r="B1610" s="66" t="s">
        <v>195</v>
      </c>
      <c r="C1610" s="51">
        <v>1285896</v>
      </c>
      <c r="D1610" s="51">
        <v>-2547</v>
      </c>
      <c r="E1610" s="51">
        <v>0</v>
      </c>
      <c r="F1610" s="51">
        <v>0</v>
      </c>
      <c r="G1610" s="51">
        <v>0</v>
      </c>
      <c r="H1610" s="51">
        <v>1283349</v>
      </c>
      <c r="I1610" s="51">
        <v>-1283349</v>
      </c>
      <c r="J1610" s="51">
        <v>0</v>
      </c>
      <c r="K1610" s="51">
        <v>645633</v>
      </c>
      <c r="L1610" s="51">
        <v>-645633</v>
      </c>
      <c r="M1610" s="51">
        <v>0</v>
      </c>
      <c r="N1610" s="51">
        <v>0</v>
      </c>
    </row>
    <row r="1611" spans="1:14" outlineLevel="2" x14ac:dyDescent="0.35">
      <c r="A1611" s="53" t="s">
        <v>240</v>
      </c>
      <c r="B1611" s="66" t="s">
        <v>194</v>
      </c>
      <c r="C1611" s="51">
        <v>1450395</v>
      </c>
      <c r="D1611" s="51">
        <v>-1622</v>
      </c>
      <c r="E1611" s="51">
        <v>0</v>
      </c>
      <c r="F1611" s="51">
        <v>0</v>
      </c>
      <c r="G1611" s="51">
        <v>0</v>
      </c>
      <c r="H1611" s="51">
        <v>1448773</v>
      </c>
      <c r="I1611" s="51">
        <v>-1448773</v>
      </c>
      <c r="J1611" s="51">
        <v>0</v>
      </c>
      <c r="K1611" s="51">
        <v>140368</v>
      </c>
      <c r="L1611" s="51">
        <v>-140368</v>
      </c>
      <c r="M1611" s="51">
        <v>0</v>
      </c>
      <c r="N1611" s="51">
        <v>0</v>
      </c>
    </row>
    <row r="1612" spans="1:14" outlineLevel="2" x14ac:dyDescent="0.35">
      <c r="A1612" s="53" t="s">
        <v>240</v>
      </c>
      <c r="B1612" s="66" t="s">
        <v>193</v>
      </c>
      <c r="C1612" s="51">
        <v>1493294</v>
      </c>
      <c r="D1612" s="51">
        <v>-250939</v>
      </c>
      <c r="E1612" s="51">
        <v>0</v>
      </c>
      <c r="F1612" s="51">
        <v>0</v>
      </c>
      <c r="G1612" s="51">
        <v>0</v>
      </c>
      <c r="H1612" s="51">
        <v>1242355</v>
      </c>
      <c r="I1612" s="51">
        <v>-1242355</v>
      </c>
      <c r="J1612" s="51">
        <v>0</v>
      </c>
      <c r="K1612" s="51">
        <v>202267</v>
      </c>
      <c r="L1612" s="51">
        <v>-202267</v>
      </c>
      <c r="M1612" s="51">
        <v>0</v>
      </c>
      <c r="N1612" s="51">
        <v>0</v>
      </c>
    </row>
    <row r="1613" spans="1:14" outlineLevel="2" x14ac:dyDescent="0.35">
      <c r="A1613" s="53" t="s">
        <v>240</v>
      </c>
      <c r="B1613" s="66" t="s">
        <v>192</v>
      </c>
      <c r="C1613" s="51">
        <v>1058053</v>
      </c>
      <c r="D1613" s="51">
        <v>-13783</v>
      </c>
      <c r="E1613" s="51">
        <v>0</v>
      </c>
      <c r="F1613" s="51">
        <v>0</v>
      </c>
      <c r="G1613" s="51">
        <v>0</v>
      </c>
      <c r="H1613" s="51">
        <v>1044270</v>
      </c>
      <c r="I1613" s="51">
        <v>-1044270</v>
      </c>
      <c r="J1613" s="51">
        <v>0</v>
      </c>
      <c r="K1613" s="51">
        <v>132872</v>
      </c>
      <c r="L1613" s="51">
        <v>-132872</v>
      </c>
      <c r="M1613" s="51">
        <v>0</v>
      </c>
      <c r="N1613" s="51">
        <v>0</v>
      </c>
    </row>
    <row r="1614" spans="1:14" outlineLevel="2" x14ac:dyDescent="0.35">
      <c r="A1614" s="53" t="s">
        <v>240</v>
      </c>
      <c r="B1614" s="66" t="s">
        <v>191</v>
      </c>
      <c r="C1614" s="51">
        <v>977116</v>
      </c>
      <c r="D1614" s="51">
        <v>-7150</v>
      </c>
      <c r="E1614" s="51">
        <v>0</v>
      </c>
      <c r="F1614" s="51">
        <v>0</v>
      </c>
      <c r="G1614" s="51">
        <v>0</v>
      </c>
      <c r="H1614" s="51">
        <v>969966</v>
      </c>
      <c r="I1614" s="51">
        <v>-969966</v>
      </c>
      <c r="J1614" s="51">
        <v>0</v>
      </c>
      <c r="K1614" s="51">
        <v>25893</v>
      </c>
      <c r="L1614" s="51">
        <v>-25893</v>
      </c>
      <c r="M1614" s="51">
        <v>0</v>
      </c>
      <c r="N1614" s="51">
        <v>0</v>
      </c>
    </row>
    <row r="1615" spans="1:14" outlineLevel="2" x14ac:dyDescent="0.35">
      <c r="A1615" s="53" t="s">
        <v>240</v>
      </c>
      <c r="B1615" s="66" t="s">
        <v>190</v>
      </c>
      <c r="C1615" s="51">
        <v>634786</v>
      </c>
      <c r="D1615" s="51">
        <v>-1000</v>
      </c>
      <c r="E1615" s="51">
        <v>0</v>
      </c>
      <c r="F1615" s="51">
        <v>0</v>
      </c>
      <c r="G1615" s="51">
        <v>0</v>
      </c>
      <c r="H1615" s="51">
        <v>633786</v>
      </c>
      <c r="I1615" s="51">
        <v>-633786</v>
      </c>
      <c r="J1615" s="51">
        <v>0</v>
      </c>
      <c r="K1615" s="51">
        <v>23400</v>
      </c>
      <c r="L1615" s="51">
        <v>-23400</v>
      </c>
      <c r="M1615" s="51">
        <v>0</v>
      </c>
      <c r="N1615" s="51">
        <v>0</v>
      </c>
    </row>
    <row r="1616" spans="1:14" outlineLevel="2" x14ac:dyDescent="0.35">
      <c r="A1616" s="53" t="s">
        <v>240</v>
      </c>
      <c r="B1616" s="66" t="s">
        <v>189</v>
      </c>
      <c r="C1616" s="51">
        <v>490258</v>
      </c>
      <c r="D1616" s="51">
        <v>-822</v>
      </c>
      <c r="E1616" s="51">
        <v>0</v>
      </c>
      <c r="F1616" s="51">
        <v>0</v>
      </c>
      <c r="G1616" s="51">
        <v>0</v>
      </c>
      <c r="H1616" s="51">
        <v>489436</v>
      </c>
      <c r="I1616" s="51">
        <v>-489436</v>
      </c>
      <c r="J1616" s="51">
        <v>0</v>
      </c>
      <c r="K1616" s="51">
        <v>12097</v>
      </c>
      <c r="L1616" s="51">
        <v>-12097</v>
      </c>
      <c r="M1616" s="51">
        <v>0</v>
      </c>
      <c r="N1616" s="51">
        <v>0</v>
      </c>
    </row>
    <row r="1617" spans="1:14" outlineLevel="1" x14ac:dyDescent="0.35">
      <c r="A1617" s="53" t="s">
        <v>240</v>
      </c>
      <c r="B1617" s="66" t="s">
        <v>188</v>
      </c>
      <c r="C1617" s="51">
        <v>337325</v>
      </c>
      <c r="D1617" s="51">
        <v>-27197</v>
      </c>
      <c r="E1617" s="51">
        <v>0</v>
      </c>
      <c r="F1617" s="51">
        <v>0</v>
      </c>
      <c r="G1617" s="51">
        <v>0</v>
      </c>
      <c r="H1617" s="51">
        <v>310128</v>
      </c>
      <c r="I1617" s="51">
        <v>-310128</v>
      </c>
      <c r="J1617" s="51">
        <v>0</v>
      </c>
      <c r="K1617" s="51">
        <v>156854</v>
      </c>
      <c r="L1617" s="51">
        <v>-156854</v>
      </c>
      <c r="M1617" s="51">
        <v>0</v>
      </c>
      <c r="N1617" s="51">
        <v>0</v>
      </c>
    </row>
    <row r="1618" spans="1:14" outlineLevel="1" x14ac:dyDescent="0.35">
      <c r="A1618" s="53" t="s">
        <v>240</v>
      </c>
      <c r="B1618" s="66" t="s">
        <v>186</v>
      </c>
      <c r="C1618" s="51">
        <v>256987</v>
      </c>
      <c r="D1618" s="51">
        <v>-18530</v>
      </c>
      <c r="E1618" s="51">
        <v>0</v>
      </c>
      <c r="F1618" s="51">
        <v>0</v>
      </c>
      <c r="G1618" s="51">
        <v>0</v>
      </c>
      <c r="H1618" s="51">
        <v>238457</v>
      </c>
      <c r="I1618" s="51">
        <v>-238457</v>
      </c>
      <c r="J1618" s="51">
        <v>0</v>
      </c>
      <c r="K1618" s="51">
        <v>17288</v>
      </c>
      <c r="L1618" s="51">
        <v>-17288</v>
      </c>
      <c r="M1618" s="51">
        <v>0</v>
      </c>
      <c r="N1618" s="51">
        <v>0</v>
      </c>
    </row>
    <row r="1619" spans="1:14" outlineLevel="2" x14ac:dyDescent="0.35">
      <c r="A1619" s="53" t="s">
        <v>240</v>
      </c>
      <c r="B1619" s="66" t="s">
        <v>227</v>
      </c>
      <c r="C1619" s="51">
        <v>217278</v>
      </c>
      <c r="D1619" s="51">
        <v>-16489</v>
      </c>
      <c r="E1619" s="51">
        <v>0</v>
      </c>
      <c r="F1619" s="51">
        <v>0</v>
      </c>
      <c r="G1619" s="51">
        <v>0</v>
      </c>
      <c r="H1619" s="51">
        <v>200789</v>
      </c>
      <c r="I1619" s="51">
        <v>-200789</v>
      </c>
      <c r="J1619" s="51">
        <v>0</v>
      </c>
      <c r="K1619" s="51">
        <v>15049</v>
      </c>
      <c r="L1619" s="51">
        <v>-15049</v>
      </c>
      <c r="M1619" s="51">
        <v>0</v>
      </c>
      <c r="N1619" s="51">
        <v>0</v>
      </c>
    </row>
    <row r="1620" spans="1:14" outlineLevel="2" x14ac:dyDescent="0.35">
      <c r="A1620" s="53" t="s">
        <v>240</v>
      </c>
      <c r="B1620" s="66" t="s">
        <v>226</v>
      </c>
      <c r="C1620" s="51">
        <v>173397</v>
      </c>
      <c r="D1620" s="51">
        <v>-3549</v>
      </c>
      <c r="E1620" s="51">
        <v>0</v>
      </c>
      <c r="F1620" s="51">
        <v>0</v>
      </c>
      <c r="G1620" s="51">
        <v>0</v>
      </c>
      <c r="H1620" s="51">
        <v>169848</v>
      </c>
      <c r="I1620" s="51">
        <v>-169848</v>
      </c>
      <c r="J1620" s="51">
        <v>0</v>
      </c>
      <c r="K1620" s="51">
        <v>3549</v>
      </c>
      <c r="L1620" s="51">
        <v>-3549</v>
      </c>
      <c r="M1620" s="51">
        <v>0</v>
      </c>
      <c r="N1620" s="51">
        <v>0</v>
      </c>
    </row>
    <row r="1621" spans="1:14" ht="16" outlineLevel="2" thickBot="1" x14ac:dyDescent="0.4">
      <c r="A1621" s="50" t="s">
        <v>65</v>
      </c>
      <c r="B1621" s="67" t="s">
        <v>12</v>
      </c>
      <c r="C1621" s="48">
        <f>SUBTOTAL(109,Program73[(C)
Program
Costs])</f>
        <v>18579481</v>
      </c>
      <c r="D1621" s="48">
        <f>SUBTOTAL(109,Program73[(D)
Prior Period Adjustments])</f>
        <v>-534297</v>
      </c>
      <c r="E1621" s="48">
        <f>SUBTOTAL(109,Program73[(E)
Current Period Desk 
Reviews])</f>
        <v>0</v>
      </c>
      <c r="F1621" s="48">
        <f>SUBTOTAL(109,Program73[(F)
Current Period 
Final 
Audits])</f>
        <v>0</v>
      </c>
      <c r="G1621" s="48">
        <f>SUBTOTAL(109,Program73[(G)
Current Period 
Other Adjustments])</f>
        <v>0</v>
      </c>
      <c r="H1621" s="48">
        <f>SUBTOTAL(109,Program73[(H)
Net Program Costs
Sum (C through G)])</f>
        <v>18045184</v>
      </c>
      <c r="I1621" s="48">
        <f>SUBTOTAL(109,Program73[(I)
Payments
 and Offsets])</f>
        <v>-16462869</v>
      </c>
      <c r="J1621" s="48">
        <f>SUBTOTAL(109,Program73[(J)
Accounts Payable Balance
(H + I)])</f>
        <v>1582315</v>
      </c>
      <c r="K1621" s="48">
        <f>SUBTOTAL(109,Program73[(K)
Established 
Accounts Receivable])</f>
        <v>1878936</v>
      </c>
      <c r="L1621" s="48">
        <f>SUBTOTAL(109,Program73[(L)
Recovered
 Accounts Receivable])</f>
        <v>-1878936</v>
      </c>
      <c r="M1621" s="48">
        <f>SUBTOTAL(109,Program73[(M)
Accounts Receivable Balance
(K + L)])</f>
        <v>0</v>
      </c>
      <c r="N1621" s="48">
        <f>SUBTOTAL(109,Program73[(N)
Net Balance
(J minus M)])</f>
        <v>1582315</v>
      </c>
    </row>
    <row r="1622" spans="1:14" outlineLevel="2" x14ac:dyDescent="0.35">
      <c r="A1622" s="63" t="s">
        <v>33</v>
      </c>
      <c r="B1622" s="62"/>
      <c r="C1622" s="61"/>
      <c r="D1622" s="61"/>
      <c r="E1622" s="61"/>
      <c r="F1622" s="61"/>
      <c r="G1622" s="61"/>
      <c r="H1622" s="61"/>
      <c r="I1622" s="61"/>
      <c r="J1622" s="61"/>
      <c r="K1622" s="61"/>
      <c r="L1622" s="61"/>
      <c r="M1622" s="61"/>
      <c r="N1622" s="61"/>
    </row>
    <row r="1623" spans="1:14" ht="77.5" outlineLevel="2" x14ac:dyDescent="0.35">
      <c r="A1623" s="60" t="s">
        <v>185</v>
      </c>
      <c r="B1623" s="59" t="s">
        <v>184</v>
      </c>
      <c r="C1623" s="58" t="s">
        <v>183</v>
      </c>
      <c r="D1623" s="58" t="s">
        <v>182</v>
      </c>
      <c r="E1623" s="56" t="s">
        <v>181</v>
      </c>
      <c r="F1623" s="56" t="s">
        <v>180</v>
      </c>
      <c r="G1623" s="56" t="s">
        <v>179</v>
      </c>
      <c r="H1623" s="57" t="s">
        <v>674</v>
      </c>
      <c r="I1623" s="55" t="s">
        <v>178</v>
      </c>
      <c r="J1623" s="55" t="s">
        <v>177</v>
      </c>
      <c r="K1623" s="56" t="s">
        <v>176</v>
      </c>
      <c r="L1623" s="55" t="s">
        <v>175</v>
      </c>
      <c r="M1623" s="55" t="s">
        <v>174</v>
      </c>
      <c r="N1623" s="54" t="s">
        <v>173</v>
      </c>
    </row>
    <row r="1624" spans="1:14" ht="31" outlineLevel="2" x14ac:dyDescent="0.35">
      <c r="A1624" s="70" t="s">
        <v>239</v>
      </c>
      <c r="B1624" s="69" t="s">
        <v>204</v>
      </c>
      <c r="C1624" s="68">
        <v>299585</v>
      </c>
      <c r="D1624" s="68">
        <v>-104212</v>
      </c>
      <c r="E1624" s="68">
        <v>0</v>
      </c>
      <c r="F1624" s="68">
        <v>0</v>
      </c>
      <c r="G1624" s="68">
        <v>0</v>
      </c>
      <c r="H1624" s="68">
        <v>195373</v>
      </c>
      <c r="I1624" s="68">
        <v>0</v>
      </c>
      <c r="J1624" s="68">
        <v>195373</v>
      </c>
      <c r="K1624" s="68">
        <v>0</v>
      </c>
      <c r="L1624" s="68">
        <v>0</v>
      </c>
      <c r="M1624" s="68">
        <v>0</v>
      </c>
      <c r="N1624" s="68">
        <v>195373</v>
      </c>
    </row>
    <row r="1625" spans="1:14" ht="31" outlineLevel="2" x14ac:dyDescent="0.35">
      <c r="A1625" s="70" t="s">
        <v>239</v>
      </c>
      <c r="B1625" s="69" t="s">
        <v>203</v>
      </c>
      <c r="C1625" s="68">
        <v>281792</v>
      </c>
      <c r="D1625" s="68">
        <v>3112</v>
      </c>
      <c r="E1625" s="68">
        <v>0</v>
      </c>
      <c r="F1625" s="68">
        <v>0</v>
      </c>
      <c r="G1625" s="68">
        <v>0</v>
      </c>
      <c r="H1625" s="68">
        <v>284904</v>
      </c>
      <c r="I1625" s="68">
        <v>0</v>
      </c>
      <c r="J1625" s="68">
        <v>284904</v>
      </c>
      <c r="K1625" s="68">
        <v>0</v>
      </c>
      <c r="L1625" s="68">
        <v>0</v>
      </c>
      <c r="M1625" s="68">
        <v>0</v>
      </c>
      <c r="N1625" s="68">
        <v>284904</v>
      </c>
    </row>
    <row r="1626" spans="1:14" ht="31" outlineLevel="2" x14ac:dyDescent="0.35">
      <c r="A1626" s="70" t="s">
        <v>239</v>
      </c>
      <c r="B1626" s="69" t="s">
        <v>202</v>
      </c>
      <c r="C1626" s="68">
        <v>270048</v>
      </c>
      <c r="D1626" s="68">
        <v>3420</v>
      </c>
      <c r="E1626" s="68">
        <v>0</v>
      </c>
      <c r="F1626" s="68">
        <v>0</v>
      </c>
      <c r="G1626" s="68">
        <v>0</v>
      </c>
      <c r="H1626" s="68">
        <v>273468</v>
      </c>
      <c r="I1626" s="68">
        <v>-273084</v>
      </c>
      <c r="J1626" s="68">
        <v>384</v>
      </c>
      <c r="K1626" s="68">
        <v>384</v>
      </c>
      <c r="L1626" s="68">
        <v>-384</v>
      </c>
      <c r="M1626" s="68">
        <v>0</v>
      </c>
      <c r="N1626" s="68">
        <v>384</v>
      </c>
    </row>
    <row r="1627" spans="1:14" ht="31" outlineLevel="2" x14ac:dyDescent="0.35">
      <c r="A1627" s="70" t="s">
        <v>239</v>
      </c>
      <c r="B1627" s="69" t="s">
        <v>201</v>
      </c>
      <c r="C1627" s="68">
        <v>256985</v>
      </c>
      <c r="D1627" s="68">
        <v>1180</v>
      </c>
      <c r="E1627" s="68">
        <v>0</v>
      </c>
      <c r="F1627" s="68">
        <v>0</v>
      </c>
      <c r="G1627" s="68">
        <v>0</v>
      </c>
      <c r="H1627" s="68">
        <v>258165</v>
      </c>
      <c r="I1627" s="68">
        <v>-258032</v>
      </c>
      <c r="J1627" s="68">
        <v>133</v>
      </c>
      <c r="K1627" s="68">
        <v>133</v>
      </c>
      <c r="L1627" s="68">
        <v>-133</v>
      </c>
      <c r="M1627" s="68">
        <v>0</v>
      </c>
      <c r="N1627" s="68">
        <v>133</v>
      </c>
    </row>
    <row r="1628" spans="1:14" ht="31" outlineLevel="2" x14ac:dyDescent="0.35">
      <c r="A1628" s="70" t="s">
        <v>239</v>
      </c>
      <c r="B1628" s="69" t="s">
        <v>200</v>
      </c>
      <c r="C1628" s="68">
        <v>244457</v>
      </c>
      <c r="D1628" s="68">
        <v>-925</v>
      </c>
      <c r="E1628" s="68">
        <v>0</v>
      </c>
      <c r="F1628" s="68">
        <v>0</v>
      </c>
      <c r="G1628" s="68">
        <v>0</v>
      </c>
      <c r="H1628" s="68">
        <v>243532</v>
      </c>
      <c r="I1628" s="68">
        <v>-243532</v>
      </c>
      <c r="J1628" s="68">
        <v>0</v>
      </c>
      <c r="K1628" s="68">
        <v>0</v>
      </c>
      <c r="L1628" s="68">
        <v>0</v>
      </c>
      <c r="M1628" s="68">
        <v>0</v>
      </c>
      <c r="N1628" s="68">
        <v>0</v>
      </c>
    </row>
    <row r="1629" spans="1:14" ht="31" outlineLevel="2" x14ac:dyDescent="0.35">
      <c r="A1629" s="70" t="s">
        <v>239</v>
      </c>
      <c r="B1629" s="69" t="s">
        <v>199</v>
      </c>
      <c r="C1629" s="68">
        <v>241097</v>
      </c>
      <c r="D1629" s="68">
        <v>-3020</v>
      </c>
      <c r="E1629" s="68">
        <v>0</v>
      </c>
      <c r="F1629" s="68">
        <v>0</v>
      </c>
      <c r="G1629" s="68">
        <v>0</v>
      </c>
      <c r="H1629" s="68">
        <v>238077</v>
      </c>
      <c r="I1629" s="68">
        <v>-238077</v>
      </c>
      <c r="J1629" s="68">
        <v>0</v>
      </c>
      <c r="K1629" s="68">
        <v>0</v>
      </c>
      <c r="L1629" s="68">
        <v>0</v>
      </c>
      <c r="M1629" s="68">
        <v>0</v>
      </c>
      <c r="N1629" s="68">
        <v>0</v>
      </c>
    </row>
    <row r="1630" spans="1:14" ht="31" outlineLevel="2" x14ac:dyDescent="0.35">
      <c r="A1630" s="70" t="s">
        <v>239</v>
      </c>
      <c r="B1630" s="69" t="s">
        <v>198</v>
      </c>
      <c r="C1630" s="68">
        <v>234997</v>
      </c>
      <c r="D1630" s="68">
        <v>-4807</v>
      </c>
      <c r="E1630" s="68">
        <v>0</v>
      </c>
      <c r="F1630" s="68">
        <v>0</v>
      </c>
      <c r="G1630" s="68">
        <v>0</v>
      </c>
      <c r="H1630" s="68">
        <v>230190</v>
      </c>
      <c r="I1630" s="68">
        <v>-230190</v>
      </c>
      <c r="J1630" s="68">
        <v>0</v>
      </c>
      <c r="K1630" s="68">
        <v>3</v>
      </c>
      <c r="L1630" s="68">
        <v>-3</v>
      </c>
      <c r="M1630" s="68">
        <v>0</v>
      </c>
      <c r="N1630" s="68">
        <v>0</v>
      </c>
    </row>
    <row r="1631" spans="1:14" ht="31" outlineLevel="2" x14ac:dyDescent="0.35">
      <c r="A1631" s="70" t="s">
        <v>239</v>
      </c>
      <c r="B1631" s="69" t="s">
        <v>197</v>
      </c>
      <c r="C1631" s="68">
        <v>233361</v>
      </c>
      <c r="D1631" s="68">
        <v>-189</v>
      </c>
      <c r="E1631" s="68">
        <v>0</v>
      </c>
      <c r="F1631" s="68">
        <v>0</v>
      </c>
      <c r="G1631" s="68">
        <v>0</v>
      </c>
      <c r="H1631" s="68">
        <v>233172</v>
      </c>
      <c r="I1631" s="68">
        <v>-233172</v>
      </c>
      <c r="J1631" s="68">
        <v>0</v>
      </c>
      <c r="K1631" s="68">
        <v>1717</v>
      </c>
      <c r="L1631" s="68">
        <v>-1717</v>
      </c>
      <c r="M1631" s="68">
        <v>0</v>
      </c>
      <c r="N1631" s="68">
        <v>0</v>
      </c>
    </row>
    <row r="1632" spans="1:14" ht="31" outlineLevel="2" x14ac:dyDescent="0.35">
      <c r="A1632" s="70" t="s">
        <v>239</v>
      </c>
      <c r="B1632" s="69" t="s">
        <v>196</v>
      </c>
      <c r="C1632" s="68">
        <v>224075</v>
      </c>
      <c r="D1632" s="68">
        <v>2043</v>
      </c>
      <c r="E1632" s="68">
        <v>0</v>
      </c>
      <c r="F1632" s="68">
        <v>0</v>
      </c>
      <c r="G1632" s="68">
        <v>0</v>
      </c>
      <c r="H1632" s="68">
        <v>226118</v>
      </c>
      <c r="I1632" s="68">
        <v>-226118</v>
      </c>
      <c r="J1632" s="68">
        <v>0</v>
      </c>
      <c r="K1632" s="68">
        <v>0</v>
      </c>
      <c r="L1632" s="68">
        <v>0</v>
      </c>
      <c r="M1632" s="68">
        <v>0</v>
      </c>
      <c r="N1632" s="68">
        <v>0</v>
      </c>
    </row>
    <row r="1633" spans="1:14" ht="31" outlineLevel="1" x14ac:dyDescent="0.35">
      <c r="A1633" s="70" t="s">
        <v>239</v>
      </c>
      <c r="B1633" s="69" t="s">
        <v>195</v>
      </c>
      <c r="C1633" s="68">
        <v>214194</v>
      </c>
      <c r="D1633" s="68">
        <v>-1500</v>
      </c>
      <c r="E1633" s="68">
        <v>0</v>
      </c>
      <c r="F1633" s="68">
        <v>0</v>
      </c>
      <c r="G1633" s="68">
        <v>0</v>
      </c>
      <c r="H1633" s="68">
        <v>212694</v>
      </c>
      <c r="I1633" s="68">
        <v>-212694</v>
      </c>
      <c r="J1633" s="68">
        <v>0</v>
      </c>
      <c r="K1633" s="68">
        <v>974</v>
      </c>
      <c r="L1633" s="68">
        <v>-974</v>
      </c>
      <c r="M1633" s="68">
        <v>0</v>
      </c>
      <c r="N1633" s="68">
        <v>0</v>
      </c>
    </row>
    <row r="1634" spans="1:14" ht="31" outlineLevel="1" x14ac:dyDescent="0.35">
      <c r="A1634" s="70" t="s">
        <v>239</v>
      </c>
      <c r="B1634" s="69" t="s">
        <v>194</v>
      </c>
      <c r="C1634" s="68">
        <v>209951</v>
      </c>
      <c r="D1634" s="68">
        <v>-1426</v>
      </c>
      <c r="E1634" s="68">
        <v>0</v>
      </c>
      <c r="F1634" s="68">
        <v>0</v>
      </c>
      <c r="G1634" s="68">
        <v>0</v>
      </c>
      <c r="H1634" s="68">
        <v>208525</v>
      </c>
      <c r="I1634" s="68">
        <v>-208525</v>
      </c>
      <c r="J1634" s="68">
        <v>0</v>
      </c>
      <c r="K1634" s="68">
        <v>0</v>
      </c>
      <c r="L1634" s="68">
        <v>0</v>
      </c>
      <c r="M1634" s="68">
        <v>0</v>
      </c>
      <c r="N1634" s="68">
        <v>0</v>
      </c>
    </row>
    <row r="1635" spans="1:14" ht="31" outlineLevel="2" x14ac:dyDescent="0.35">
      <c r="A1635" s="70" t="s">
        <v>239</v>
      </c>
      <c r="B1635" s="69" t="s">
        <v>193</v>
      </c>
      <c r="C1635" s="68">
        <v>206698</v>
      </c>
      <c r="D1635" s="68">
        <v>0</v>
      </c>
      <c r="E1635" s="68">
        <v>0</v>
      </c>
      <c r="F1635" s="68">
        <v>0</v>
      </c>
      <c r="G1635" s="68">
        <v>0</v>
      </c>
      <c r="H1635" s="68">
        <v>206698</v>
      </c>
      <c r="I1635" s="68">
        <v>-206698</v>
      </c>
      <c r="J1635" s="68">
        <v>0</v>
      </c>
      <c r="K1635" s="68">
        <v>77</v>
      </c>
      <c r="L1635" s="68">
        <v>-77</v>
      </c>
      <c r="M1635" s="68">
        <v>0</v>
      </c>
      <c r="N1635" s="68">
        <v>0</v>
      </c>
    </row>
    <row r="1636" spans="1:14" ht="31" outlineLevel="2" x14ac:dyDescent="0.35">
      <c r="A1636" s="70" t="s">
        <v>239</v>
      </c>
      <c r="B1636" s="69" t="s">
        <v>192</v>
      </c>
      <c r="C1636" s="68">
        <v>201847</v>
      </c>
      <c r="D1636" s="68">
        <v>0</v>
      </c>
      <c r="E1636" s="68">
        <v>0</v>
      </c>
      <c r="F1636" s="68">
        <v>0</v>
      </c>
      <c r="G1636" s="68">
        <v>0</v>
      </c>
      <c r="H1636" s="68">
        <v>201847</v>
      </c>
      <c r="I1636" s="68">
        <v>-201847</v>
      </c>
      <c r="J1636" s="68">
        <v>0</v>
      </c>
      <c r="K1636" s="68">
        <v>0</v>
      </c>
      <c r="L1636" s="68">
        <v>0</v>
      </c>
      <c r="M1636" s="68">
        <v>0</v>
      </c>
      <c r="N1636" s="68">
        <v>0</v>
      </c>
    </row>
    <row r="1637" spans="1:14" ht="31" outlineLevel="2" x14ac:dyDescent="0.35">
      <c r="A1637" s="70" t="s">
        <v>239</v>
      </c>
      <c r="B1637" s="69" t="s">
        <v>191</v>
      </c>
      <c r="C1637" s="68">
        <v>197015</v>
      </c>
      <c r="D1637" s="68">
        <v>0</v>
      </c>
      <c r="E1637" s="68">
        <v>0</v>
      </c>
      <c r="F1637" s="68">
        <v>0</v>
      </c>
      <c r="G1637" s="68">
        <v>0</v>
      </c>
      <c r="H1637" s="68">
        <v>197015</v>
      </c>
      <c r="I1637" s="68">
        <v>-197015</v>
      </c>
      <c r="J1637" s="68">
        <v>0</v>
      </c>
      <c r="K1637" s="68">
        <v>0</v>
      </c>
      <c r="L1637" s="68">
        <v>0</v>
      </c>
      <c r="M1637" s="68">
        <v>0</v>
      </c>
      <c r="N1637" s="68">
        <v>0</v>
      </c>
    </row>
    <row r="1638" spans="1:14" ht="31" outlineLevel="2" x14ac:dyDescent="0.35">
      <c r="A1638" s="70" t="s">
        <v>239</v>
      </c>
      <c r="B1638" s="69" t="s">
        <v>190</v>
      </c>
      <c r="C1638" s="68">
        <v>189873</v>
      </c>
      <c r="D1638" s="68">
        <v>0</v>
      </c>
      <c r="E1638" s="68">
        <v>0</v>
      </c>
      <c r="F1638" s="68">
        <v>0</v>
      </c>
      <c r="G1638" s="68">
        <v>0</v>
      </c>
      <c r="H1638" s="68">
        <v>189873</v>
      </c>
      <c r="I1638" s="68">
        <v>-189873</v>
      </c>
      <c r="J1638" s="68">
        <v>0</v>
      </c>
      <c r="K1638" s="68">
        <v>0</v>
      </c>
      <c r="L1638" s="68">
        <v>0</v>
      </c>
      <c r="M1638" s="68">
        <v>0</v>
      </c>
      <c r="N1638" s="68">
        <v>0</v>
      </c>
    </row>
    <row r="1639" spans="1:14" ht="31" outlineLevel="1" x14ac:dyDescent="0.35">
      <c r="A1639" s="70" t="s">
        <v>239</v>
      </c>
      <c r="B1639" s="69" t="s">
        <v>186</v>
      </c>
      <c r="C1639" s="68">
        <v>1065</v>
      </c>
      <c r="D1639" s="68">
        <v>-831</v>
      </c>
      <c r="E1639" s="68">
        <v>0</v>
      </c>
      <c r="F1639" s="68">
        <v>0</v>
      </c>
      <c r="G1639" s="68">
        <v>0</v>
      </c>
      <c r="H1639" s="68">
        <v>234</v>
      </c>
      <c r="I1639" s="68">
        <v>-234</v>
      </c>
      <c r="J1639" s="68">
        <v>0</v>
      </c>
      <c r="K1639" s="68">
        <v>0</v>
      </c>
      <c r="L1639" s="68">
        <v>0</v>
      </c>
      <c r="M1639" s="68">
        <v>0</v>
      </c>
      <c r="N1639" s="68">
        <v>0</v>
      </c>
    </row>
    <row r="1640" spans="1:14" ht="31" outlineLevel="2" x14ac:dyDescent="0.35">
      <c r="A1640" s="70" t="s">
        <v>239</v>
      </c>
      <c r="B1640" s="69" t="s">
        <v>227</v>
      </c>
      <c r="C1640" s="68">
        <v>0</v>
      </c>
      <c r="D1640" s="68">
        <v>0</v>
      </c>
      <c r="E1640" s="68">
        <v>0</v>
      </c>
      <c r="F1640" s="68">
        <v>0</v>
      </c>
      <c r="G1640" s="68">
        <v>0</v>
      </c>
      <c r="H1640" s="68">
        <v>0</v>
      </c>
      <c r="I1640" s="68">
        <v>0</v>
      </c>
      <c r="J1640" s="68">
        <v>0</v>
      </c>
      <c r="K1640" s="68">
        <v>5</v>
      </c>
      <c r="L1640" s="68">
        <v>-5</v>
      </c>
      <c r="M1640" s="68">
        <v>0</v>
      </c>
      <c r="N1640" s="68">
        <v>0</v>
      </c>
    </row>
    <row r="1641" spans="1:14" ht="16" outlineLevel="2" thickBot="1" x14ac:dyDescent="0.4">
      <c r="A1641" s="50" t="s">
        <v>64</v>
      </c>
      <c r="B1641" s="67" t="s">
        <v>12</v>
      </c>
      <c r="C1641" s="48">
        <f>SUBTOTAL(109,Program18[(C)
Program
Costs])</f>
        <v>3507040</v>
      </c>
      <c r="D1641" s="48">
        <f>SUBTOTAL(109,Program18[(D)
Prior Period Adjustments])</f>
        <v>-107155</v>
      </c>
      <c r="E1641" s="48">
        <f>SUBTOTAL(109,Program18[(E)
Current Period Desk 
Reviews])</f>
        <v>0</v>
      </c>
      <c r="F1641" s="48">
        <f>SUBTOTAL(109,Program18[(F)
Current Period 
Final 
Audits])</f>
        <v>0</v>
      </c>
      <c r="G1641" s="48">
        <f>SUBTOTAL(109,Program18[(G)
Current Period 
Other Adjustments])</f>
        <v>0</v>
      </c>
      <c r="H1641" s="48">
        <f>SUBTOTAL(109,Program18[(H)
Net Program Costs
Sum (C through G)])</f>
        <v>3399885</v>
      </c>
      <c r="I1641" s="48">
        <f>SUBTOTAL(109,Program18[(I)
Payments
 and Offsets])</f>
        <v>-2919091</v>
      </c>
      <c r="J1641" s="48">
        <f>SUBTOTAL(109,Program18[(J)
Accounts Payable Balance
(H + I)])</f>
        <v>480794</v>
      </c>
      <c r="K1641" s="48">
        <f>SUBTOTAL(109,Program18[(K)
Established 
Accounts Receivable])</f>
        <v>3293</v>
      </c>
      <c r="L1641" s="48">
        <f>SUBTOTAL(109,Program18[(L)
Recovered
 Accounts Receivable])</f>
        <v>-3293</v>
      </c>
      <c r="M1641" s="48">
        <f>SUBTOTAL(109,Program18[(M)
Accounts Receivable Balance
(K + L)])</f>
        <v>0</v>
      </c>
      <c r="N1641" s="48">
        <f>SUBTOTAL(109,Program18[(N)
Net Balance
(J minus M)])</f>
        <v>480794</v>
      </c>
    </row>
    <row r="1642" spans="1:14" outlineLevel="2" x14ac:dyDescent="0.35">
      <c r="A1642" s="63" t="s">
        <v>33</v>
      </c>
      <c r="B1642" s="62"/>
      <c r="C1642" s="61"/>
      <c r="D1642" s="61"/>
      <c r="E1642" s="61"/>
      <c r="F1642" s="61"/>
      <c r="G1642" s="61"/>
      <c r="H1642" s="61"/>
      <c r="I1642" s="61"/>
      <c r="J1642" s="61"/>
      <c r="K1642" s="61"/>
      <c r="L1642" s="61"/>
      <c r="M1642" s="61"/>
      <c r="N1642" s="61"/>
    </row>
    <row r="1643" spans="1:14" ht="77.5" outlineLevel="2" x14ac:dyDescent="0.35">
      <c r="A1643" s="60" t="s">
        <v>185</v>
      </c>
      <c r="B1643" s="59" t="s">
        <v>184</v>
      </c>
      <c r="C1643" s="58" t="s">
        <v>183</v>
      </c>
      <c r="D1643" s="58" t="s">
        <v>182</v>
      </c>
      <c r="E1643" s="56" t="s">
        <v>181</v>
      </c>
      <c r="F1643" s="56" t="s">
        <v>180</v>
      </c>
      <c r="G1643" s="56" t="s">
        <v>179</v>
      </c>
      <c r="H1643" s="57" t="s">
        <v>674</v>
      </c>
      <c r="I1643" s="55" t="s">
        <v>178</v>
      </c>
      <c r="J1643" s="55" t="s">
        <v>177</v>
      </c>
      <c r="K1643" s="56" t="s">
        <v>176</v>
      </c>
      <c r="L1643" s="55" t="s">
        <v>175</v>
      </c>
      <c r="M1643" s="55" t="s">
        <v>174</v>
      </c>
      <c r="N1643" s="54" t="s">
        <v>173</v>
      </c>
    </row>
    <row r="1644" spans="1:14" ht="31" outlineLevel="2" x14ac:dyDescent="0.35">
      <c r="A1644" s="70" t="s">
        <v>238</v>
      </c>
      <c r="B1644" s="69" t="s">
        <v>202</v>
      </c>
      <c r="C1644" s="68">
        <v>27886666</v>
      </c>
      <c r="D1644" s="68">
        <v>-27886666</v>
      </c>
      <c r="E1644" s="68">
        <v>0</v>
      </c>
      <c r="F1644" s="68">
        <v>0</v>
      </c>
      <c r="G1644" s="68">
        <v>0</v>
      </c>
      <c r="H1644" s="68">
        <v>0</v>
      </c>
      <c r="I1644" s="68">
        <v>0</v>
      </c>
      <c r="J1644" s="68">
        <v>0</v>
      </c>
      <c r="K1644" s="68">
        <v>0</v>
      </c>
      <c r="L1644" s="68">
        <v>0</v>
      </c>
      <c r="M1644" s="68">
        <v>0</v>
      </c>
      <c r="N1644" s="68">
        <v>0</v>
      </c>
    </row>
    <row r="1645" spans="1:14" ht="31" outlineLevel="2" x14ac:dyDescent="0.35">
      <c r="A1645" s="70" t="s">
        <v>238</v>
      </c>
      <c r="B1645" s="69" t="s">
        <v>201</v>
      </c>
      <c r="C1645" s="68">
        <v>29797094</v>
      </c>
      <c r="D1645" s="68">
        <v>-6717440</v>
      </c>
      <c r="E1645" s="68">
        <v>0</v>
      </c>
      <c r="F1645" s="68">
        <v>0</v>
      </c>
      <c r="G1645" s="68">
        <v>0</v>
      </c>
      <c r="H1645" s="68">
        <v>23079654</v>
      </c>
      <c r="I1645" s="68">
        <v>-23079654</v>
      </c>
      <c r="J1645" s="68">
        <v>0</v>
      </c>
      <c r="K1645" s="68">
        <v>6785930</v>
      </c>
      <c r="L1645" s="68">
        <v>-6785930</v>
      </c>
      <c r="M1645" s="68">
        <v>0</v>
      </c>
      <c r="N1645" s="68">
        <v>0</v>
      </c>
    </row>
    <row r="1646" spans="1:14" ht="31" outlineLevel="1" x14ac:dyDescent="0.35">
      <c r="A1646" s="70" t="s">
        <v>238</v>
      </c>
      <c r="B1646" s="69" t="s">
        <v>200</v>
      </c>
      <c r="C1646" s="68">
        <v>28297648</v>
      </c>
      <c r="D1646" s="68">
        <v>-6262842</v>
      </c>
      <c r="E1646" s="68">
        <v>0</v>
      </c>
      <c r="F1646" s="68">
        <v>0</v>
      </c>
      <c r="G1646" s="68">
        <v>0</v>
      </c>
      <c r="H1646" s="68">
        <v>22034806</v>
      </c>
      <c r="I1646" s="68">
        <v>-22034806</v>
      </c>
      <c r="J1646" s="68">
        <v>0</v>
      </c>
      <c r="K1646" s="68">
        <v>6917035</v>
      </c>
      <c r="L1646" s="68">
        <v>-6917035</v>
      </c>
      <c r="M1646" s="68">
        <v>0</v>
      </c>
      <c r="N1646" s="68">
        <v>0</v>
      </c>
    </row>
    <row r="1647" spans="1:14" ht="31" outlineLevel="2" x14ac:dyDescent="0.35">
      <c r="A1647" s="70" t="s">
        <v>238</v>
      </c>
      <c r="B1647" s="69" t="s">
        <v>199</v>
      </c>
      <c r="C1647" s="68">
        <v>21791330</v>
      </c>
      <c r="D1647" s="68">
        <v>-5655963</v>
      </c>
      <c r="E1647" s="68">
        <v>0</v>
      </c>
      <c r="F1647" s="68">
        <v>0</v>
      </c>
      <c r="G1647" s="68">
        <v>0</v>
      </c>
      <c r="H1647" s="68">
        <v>16135367</v>
      </c>
      <c r="I1647" s="68">
        <v>-16135367</v>
      </c>
      <c r="J1647" s="68">
        <v>0</v>
      </c>
      <c r="K1647" s="68">
        <v>0</v>
      </c>
      <c r="L1647" s="68">
        <v>0</v>
      </c>
      <c r="M1647" s="68">
        <v>0</v>
      </c>
      <c r="N1647" s="68">
        <v>0</v>
      </c>
    </row>
    <row r="1648" spans="1:14" ht="31" outlineLevel="1" x14ac:dyDescent="0.35">
      <c r="A1648" s="70" t="s">
        <v>238</v>
      </c>
      <c r="B1648" s="69" t="s">
        <v>198</v>
      </c>
      <c r="C1648" s="68">
        <v>24097179</v>
      </c>
      <c r="D1648" s="68">
        <v>-3066584</v>
      </c>
      <c r="E1648" s="68">
        <v>0</v>
      </c>
      <c r="F1648" s="68">
        <v>0</v>
      </c>
      <c r="G1648" s="68">
        <v>0</v>
      </c>
      <c r="H1648" s="68">
        <v>21030595</v>
      </c>
      <c r="I1648" s="68">
        <v>-21030595</v>
      </c>
      <c r="J1648" s="68">
        <v>0</v>
      </c>
      <c r="K1648" s="68">
        <v>8</v>
      </c>
      <c r="L1648" s="68">
        <v>-8</v>
      </c>
      <c r="M1648" s="68">
        <v>0</v>
      </c>
      <c r="N1648" s="68">
        <v>0</v>
      </c>
    </row>
    <row r="1649" spans="1:14" ht="31" outlineLevel="1" x14ac:dyDescent="0.35">
      <c r="A1649" s="70" t="s">
        <v>238</v>
      </c>
      <c r="B1649" s="69" t="s">
        <v>197</v>
      </c>
      <c r="C1649" s="68">
        <v>16777044</v>
      </c>
      <c r="D1649" s="68">
        <v>-1769497</v>
      </c>
      <c r="E1649" s="68">
        <v>0</v>
      </c>
      <c r="F1649" s="68">
        <v>0</v>
      </c>
      <c r="G1649" s="68">
        <v>0</v>
      </c>
      <c r="H1649" s="68">
        <v>15007547</v>
      </c>
      <c r="I1649" s="68">
        <v>-15007547</v>
      </c>
      <c r="J1649" s="68">
        <v>0</v>
      </c>
      <c r="K1649" s="68">
        <v>0</v>
      </c>
      <c r="L1649" s="68">
        <v>0</v>
      </c>
      <c r="M1649" s="68">
        <v>0</v>
      </c>
      <c r="N1649" s="68">
        <v>0</v>
      </c>
    </row>
    <row r="1650" spans="1:14" ht="31" outlineLevel="2" x14ac:dyDescent="0.35">
      <c r="A1650" s="70" t="s">
        <v>238</v>
      </c>
      <c r="B1650" s="69" t="s">
        <v>196</v>
      </c>
      <c r="C1650" s="68">
        <v>10984937</v>
      </c>
      <c r="D1650" s="68">
        <v>-985758</v>
      </c>
      <c r="E1650" s="68">
        <v>0</v>
      </c>
      <c r="F1650" s="68">
        <v>0</v>
      </c>
      <c r="G1650" s="68">
        <v>0</v>
      </c>
      <c r="H1650" s="68">
        <v>9999179</v>
      </c>
      <c r="I1650" s="68">
        <v>-9999179</v>
      </c>
      <c r="J1650" s="68">
        <v>0</v>
      </c>
      <c r="K1650" s="68">
        <v>614</v>
      </c>
      <c r="L1650" s="68">
        <v>-614</v>
      </c>
      <c r="M1650" s="68">
        <v>0</v>
      </c>
      <c r="N1650" s="68">
        <v>0</v>
      </c>
    </row>
    <row r="1651" spans="1:14" ht="31" outlineLevel="2" x14ac:dyDescent="0.35">
      <c r="A1651" s="70" t="s">
        <v>238</v>
      </c>
      <c r="B1651" s="69" t="s">
        <v>195</v>
      </c>
      <c r="C1651" s="68">
        <v>6819456</v>
      </c>
      <c r="D1651" s="68">
        <v>-473047</v>
      </c>
      <c r="E1651" s="68">
        <v>0</v>
      </c>
      <c r="F1651" s="68">
        <v>0</v>
      </c>
      <c r="G1651" s="68">
        <v>0</v>
      </c>
      <c r="H1651" s="68">
        <v>6346409</v>
      </c>
      <c r="I1651" s="68">
        <v>-6346409</v>
      </c>
      <c r="J1651" s="68">
        <v>0</v>
      </c>
      <c r="K1651" s="68">
        <v>0</v>
      </c>
      <c r="L1651" s="68">
        <v>0</v>
      </c>
      <c r="M1651" s="68">
        <v>0</v>
      </c>
      <c r="N1651" s="68">
        <v>0</v>
      </c>
    </row>
    <row r="1652" spans="1:14" ht="31" outlineLevel="2" x14ac:dyDescent="0.35">
      <c r="A1652" s="70" t="s">
        <v>238</v>
      </c>
      <c r="B1652" s="69" t="s">
        <v>194</v>
      </c>
      <c r="C1652" s="68">
        <v>5029228</v>
      </c>
      <c r="D1652" s="68">
        <v>-128336</v>
      </c>
      <c r="E1652" s="68">
        <v>0</v>
      </c>
      <c r="F1652" s="68">
        <v>0</v>
      </c>
      <c r="G1652" s="68">
        <v>0</v>
      </c>
      <c r="H1652" s="68">
        <v>4900892</v>
      </c>
      <c r="I1652" s="68">
        <v>-4900892</v>
      </c>
      <c r="J1652" s="68">
        <v>0</v>
      </c>
      <c r="K1652" s="68">
        <v>0</v>
      </c>
      <c r="L1652" s="68">
        <v>0</v>
      </c>
      <c r="M1652" s="68">
        <v>0</v>
      </c>
      <c r="N1652" s="68">
        <v>0</v>
      </c>
    </row>
    <row r="1653" spans="1:14" ht="31" outlineLevel="2" x14ac:dyDescent="0.35">
      <c r="A1653" s="70" t="s">
        <v>238</v>
      </c>
      <c r="B1653" s="69" t="s">
        <v>193</v>
      </c>
      <c r="C1653" s="68">
        <v>3769004</v>
      </c>
      <c r="D1653" s="68">
        <v>-263130</v>
      </c>
      <c r="E1653" s="68">
        <v>0</v>
      </c>
      <c r="F1653" s="68">
        <v>0</v>
      </c>
      <c r="G1653" s="68">
        <v>0</v>
      </c>
      <c r="H1653" s="68">
        <v>3505874</v>
      </c>
      <c r="I1653" s="68">
        <v>-3505874</v>
      </c>
      <c r="J1653" s="68">
        <v>0</v>
      </c>
      <c r="K1653" s="68">
        <v>0</v>
      </c>
      <c r="L1653" s="68">
        <v>0</v>
      </c>
      <c r="M1653" s="68">
        <v>0</v>
      </c>
      <c r="N1653" s="68">
        <v>0</v>
      </c>
    </row>
    <row r="1654" spans="1:14" ht="31" outlineLevel="2" x14ac:dyDescent="0.35">
      <c r="A1654" s="70" t="s">
        <v>238</v>
      </c>
      <c r="B1654" s="69" t="s">
        <v>192</v>
      </c>
      <c r="C1654" s="68">
        <v>3439</v>
      </c>
      <c r="D1654" s="68">
        <v>0</v>
      </c>
      <c r="E1654" s="68">
        <v>0</v>
      </c>
      <c r="F1654" s="68">
        <v>0</v>
      </c>
      <c r="G1654" s="68">
        <v>0</v>
      </c>
      <c r="H1654" s="68">
        <v>3439</v>
      </c>
      <c r="I1654" s="68">
        <v>-3439</v>
      </c>
      <c r="J1654" s="68">
        <v>0</v>
      </c>
      <c r="K1654" s="68">
        <v>0</v>
      </c>
      <c r="L1654" s="68">
        <v>0</v>
      </c>
      <c r="M1654" s="68">
        <v>0</v>
      </c>
      <c r="N1654" s="68">
        <v>0</v>
      </c>
    </row>
    <row r="1655" spans="1:14" ht="16" outlineLevel="2" thickBot="1" x14ac:dyDescent="0.4">
      <c r="A1655" s="50" t="s">
        <v>63</v>
      </c>
      <c r="B1655" s="67" t="s">
        <v>12</v>
      </c>
      <c r="C1655" s="48">
        <f>SUBTOTAL(109,Program191[(C)
Program
Costs])</f>
        <v>175253025</v>
      </c>
      <c r="D1655" s="48">
        <f>SUBTOTAL(109,Program191[(D)
Prior Period Adjustments])</f>
        <v>-53209263</v>
      </c>
      <c r="E1655" s="48">
        <f>SUBTOTAL(109,Program191[(E)
Current Period Desk 
Reviews])</f>
        <v>0</v>
      </c>
      <c r="F1655" s="48">
        <f>SUBTOTAL(109,Program191[(F)
Current Period 
Final 
Audits])</f>
        <v>0</v>
      </c>
      <c r="G1655" s="48">
        <f>SUBTOTAL(109,Program191[(G)
Current Period 
Other Adjustments])</f>
        <v>0</v>
      </c>
      <c r="H1655" s="48">
        <f>SUBTOTAL(109,Program191[(H)
Net Program Costs
Sum (C through G)])</f>
        <v>122043762</v>
      </c>
      <c r="I1655" s="48">
        <f>SUBTOTAL(109,Program191[(I)
Payments
 and Offsets])</f>
        <v>-122043762</v>
      </c>
      <c r="J1655" s="48">
        <f>SUBTOTAL(109,Program191[(J)
Accounts Payable Balance
(H + I)])</f>
        <v>0</v>
      </c>
      <c r="K1655" s="48">
        <f>SUBTOTAL(109,Program191[(K)
Established 
Accounts Receivable])</f>
        <v>13703587</v>
      </c>
      <c r="L1655" s="48">
        <f>SUBTOTAL(109,Program191[(L)
Recovered
 Accounts Receivable])</f>
        <v>-13703587</v>
      </c>
      <c r="M1655" s="48">
        <f>SUBTOTAL(109,Program191[(M)
Accounts Receivable Balance
(K + L)])</f>
        <v>0</v>
      </c>
      <c r="N1655" s="48">
        <f>SUBTOTAL(109,Program191[(N)
Net Balance
(J minus M)])</f>
        <v>0</v>
      </c>
    </row>
    <row r="1656" spans="1:14" outlineLevel="2" x14ac:dyDescent="0.35">
      <c r="A1656" s="63" t="s">
        <v>33</v>
      </c>
      <c r="B1656" s="62"/>
      <c r="C1656" s="61"/>
      <c r="D1656" s="61"/>
      <c r="E1656" s="61"/>
      <c r="F1656" s="61"/>
      <c r="G1656" s="61"/>
      <c r="H1656" s="61"/>
      <c r="I1656" s="61"/>
      <c r="J1656" s="61"/>
      <c r="K1656" s="61"/>
      <c r="L1656" s="61"/>
      <c r="M1656" s="61"/>
      <c r="N1656" s="61"/>
    </row>
    <row r="1657" spans="1:14" ht="77.5" outlineLevel="2" x14ac:dyDescent="0.35">
      <c r="A1657" s="60" t="s">
        <v>185</v>
      </c>
      <c r="B1657" s="59" t="s">
        <v>184</v>
      </c>
      <c r="C1657" s="58" t="s">
        <v>183</v>
      </c>
      <c r="D1657" s="58" t="s">
        <v>182</v>
      </c>
      <c r="E1657" s="56" t="s">
        <v>181</v>
      </c>
      <c r="F1657" s="56" t="s">
        <v>180</v>
      </c>
      <c r="G1657" s="56" t="s">
        <v>179</v>
      </c>
      <c r="H1657" s="57" t="s">
        <v>674</v>
      </c>
      <c r="I1657" s="55" t="s">
        <v>178</v>
      </c>
      <c r="J1657" s="55" t="s">
        <v>177</v>
      </c>
      <c r="K1657" s="56" t="s">
        <v>176</v>
      </c>
      <c r="L1657" s="55" t="s">
        <v>175</v>
      </c>
      <c r="M1657" s="55" t="s">
        <v>174</v>
      </c>
      <c r="N1657" s="54" t="s">
        <v>173</v>
      </c>
    </row>
    <row r="1658" spans="1:14" outlineLevel="2" x14ac:dyDescent="0.35">
      <c r="A1658" s="53" t="s">
        <v>237</v>
      </c>
      <c r="B1658" s="66" t="s">
        <v>199</v>
      </c>
      <c r="C1658" s="51">
        <v>9000</v>
      </c>
      <c r="D1658" s="51">
        <v>-9000</v>
      </c>
      <c r="E1658" s="51">
        <v>0</v>
      </c>
      <c r="F1658" s="51">
        <v>0</v>
      </c>
      <c r="G1658" s="51">
        <v>0</v>
      </c>
      <c r="H1658" s="51">
        <v>0</v>
      </c>
      <c r="I1658" s="51">
        <v>0</v>
      </c>
      <c r="J1658" s="51">
        <v>0</v>
      </c>
      <c r="K1658" s="51">
        <v>0</v>
      </c>
      <c r="L1658" s="51">
        <v>0</v>
      </c>
      <c r="M1658" s="51">
        <v>0</v>
      </c>
      <c r="N1658" s="51">
        <v>0</v>
      </c>
    </row>
    <row r="1659" spans="1:14" outlineLevel="2" x14ac:dyDescent="0.35">
      <c r="A1659" s="53" t="s">
        <v>237</v>
      </c>
      <c r="B1659" s="66" t="s">
        <v>198</v>
      </c>
      <c r="C1659" s="51">
        <v>805044</v>
      </c>
      <c r="D1659" s="51">
        <v>-1547</v>
      </c>
      <c r="E1659" s="51">
        <v>0</v>
      </c>
      <c r="F1659" s="51">
        <v>0</v>
      </c>
      <c r="G1659" s="51">
        <v>0</v>
      </c>
      <c r="H1659" s="51">
        <v>803497</v>
      </c>
      <c r="I1659" s="51">
        <v>-803497</v>
      </c>
      <c r="J1659" s="51">
        <v>0</v>
      </c>
      <c r="K1659" s="51">
        <v>0</v>
      </c>
      <c r="L1659" s="51">
        <v>0</v>
      </c>
      <c r="M1659" s="51">
        <v>0</v>
      </c>
      <c r="N1659" s="51">
        <v>0</v>
      </c>
    </row>
    <row r="1660" spans="1:14" outlineLevel="2" x14ac:dyDescent="0.35">
      <c r="A1660" s="53" t="s">
        <v>237</v>
      </c>
      <c r="B1660" s="66" t="s">
        <v>197</v>
      </c>
      <c r="C1660" s="51">
        <v>807069</v>
      </c>
      <c r="D1660" s="51">
        <v>-27860</v>
      </c>
      <c r="E1660" s="51">
        <v>0</v>
      </c>
      <c r="F1660" s="51">
        <v>0</v>
      </c>
      <c r="G1660" s="51">
        <v>0</v>
      </c>
      <c r="H1660" s="51">
        <v>779209</v>
      </c>
      <c r="I1660" s="51">
        <v>-779209</v>
      </c>
      <c r="J1660" s="51">
        <v>0</v>
      </c>
      <c r="K1660" s="51">
        <v>0</v>
      </c>
      <c r="L1660" s="51">
        <v>0</v>
      </c>
      <c r="M1660" s="51">
        <v>0</v>
      </c>
      <c r="N1660" s="51">
        <v>0</v>
      </c>
    </row>
    <row r="1661" spans="1:14" outlineLevel="1" x14ac:dyDescent="0.35">
      <c r="A1661" s="53" t="s">
        <v>237</v>
      </c>
      <c r="B1661" s="66" t="s">
        <v>196</v>
      </c>
      <c r="C1661" s="51">
        <v>751708</v>
      </c>
      <c r="D1661" s="51">
        <v>-19531</v>
      </c>
      <c r="E1661" s="51">
        <v>0</v>
      </c>
      <c r="F1661" s="51">
        <v>0</v>
      </c>
      <c r="G1661" s="51">
        <v>0</v>
      </c>
      <c r="H1661" s="51">
        <v>732177</v>
      </c>
      <c r="I1661" s="51">
        <v>-732177</v>
      </c>
      <c r="J1661" s="51">
        <v>0</v>
      </c>
      <c r="K1661" s="51">
        <v>0</v>
      </c>
      <c r="L1661" s="51">
        <v>0</v>
      </c>
      <c r="M1661" s="51">
        <v>0</v>
      </c>
      <c r="N1661" s="51">
        <v>0</v>
      </c>
    </row>
    <row r="1662" spans="1:14" outlineLevel="1" x14ac:dyDescent="0.35">
      <c r="A1662" s="53" t="s">
        <v>237</v>
      </c>
      <c r="B1662" s="66" t="s">
        <v>195</v>
      </c>
      <c r="C1662" s="51">
        <v>650765</v>
      </c>
      <c r="D1662" s="51">
        <v>-18443</v>
      </c>
      <c r="E1662" s="51">
        <v>0</v>
      </c>
      <c r="F1662" s="51">
        <v>0</v>
      </c>
      <c r="G1662" s="51">
        <v>0</v>
      </c>
      <c r="H1662" s="51">
        <v>632322</v>
      </c>
      <c r="I1662" s="51">
        <v>-632322</v>
      </c>
      <c r="J1662" s="51">
        <v>0</v>
      </c>
      <c r="K1662" s="51">
        <v>0</v>
      </c>
      <c r="L1662" s="51">
        <v>0</v>
      </c>
      <c r="M1662" s="51">
        <v>0</v>
      </c>
      <c r="N1662" s="51">
        <v>0</v>
      </c>
    </row>
    <row r="1663" spans="1:14" outlineLevel="1" x14ac:dyDescent="0.35">
      <c r="A1663" s="53" t="s">
        <v>237</v>
      </c>
      <c r="B1663" s="66" t="s">
        <v>194</v>
      </c>
      <c r="C1663" s="51">
        <v>582022</v>
      </c>
      <c r="D1663" s="51">
        <v>-20856</v>
      </c>
      <c r="E1663" s="51">
        <v>0</v>
      </c>
      <c r="F1663" s="51">
        <v>0</v>
      </c>
      <c r="G1663" s="51">
        <v>0</v>
      </c>
      <c r="H1663" s="51">
        <v>561166</v>
      </c>
      <c r="I1663" s="51">
        <v>-561166</v>
      </c>
      <c r="J1663" s="51">
        <v>0</v>
      </c>
      <c r="K1663" s="51">
        <v>0</v>
      </c>
      <c r="L1663" s="51">
        <v>0</v>
      </c>
      <c r="M1663" s="51">
        <v>0</v>
      </c>
      <c r="N1663" s="51">
        <v>0</v>
      </c>
    </row>
    <row r="1664" spans="1:14" outlineLevel="2" x14ac:dyDescent="0.35">
      <c r="A1664" s="53" t="s">
        <v>237</v>
      </c>
      <c r="B1664" s="66" t="s">
        <v>193</v>
      </c>
      <c r="C1664" s="51">
        <v>979581</v>
      </c>
      <c r="D1664" s="51">
        <v>-13909</v>
      </c>
      <c r="E1664" s="51">
        <v>0</v>
      </c>
      <c r="F1664" s="51">
        <v>0</v>
      </c>
      <c r="G1664" s="51">
        <v>0</v>
      </c>
      <c r="H1664" s="51">
        <v>965672</v>
      </c>
      <c r="I1664" s="51">
        <v>-965672</v>
      </c>
      <c r="J1664" s="51">
        <v>0</v>
      </c>
      <c r="K1664" s="51">
        <v>0</v>
      </c>
      <c r="L1664" s="51">
        <v>0</v>
      </c>
      <c r="M1664" s="51">
        <v>0</v>
      </c>
      <c r="N1664" s="51">
        <v>0</v>
      </c>
    </row>
    <row r="1665" spans="1:14" ht="16" outlineLevel="2" thickBot="1" x14ac:dyDescent="0.4">
      <c r="A1665" s="50" t="s">
        <v>62</v>
      </c>
      <c r="B1665" s="67" t="s">
        <v>12</v>
      </c>
      <c r="C1665" s="48">
        <f>SUBTOTAL(109,Program220[(C)
Program
Costs])</f>
        <v>4585189</v>
      </c>
      <c r="D1665" s="48">
        <f>SUBTOTAL(109,Program220[(D)
Prior Period Adjustments])</f>
        <v>-111146</v>
      </c>
      <c r="E1665" s="48">
        <f>SUBTOTAL(109,Program220[(E)
Current Period Desk 
Reviews])</f>
        <v>0</v>
      </c>
      <c r="F1665" s="48">
        <f>SUBTOTAL(109,Program220[(F)
Current Period 
Final 
Audits])</f>
        <v>0</v>
      </c>
      <c r="G1665" s="48">
        <f>SUBTOTAL(109,Program220[(G)
Current Period 
Other Adjustments])</f>
        <v>0</v>
      </c>
      <c r="H1665" s="48">
        <f>SUBTOTAL(109,Program220[(H)
Net Program Costs
Sum (C through G)])</f>
        <v>4474043</v>
      </c>
      <c r="I1665" s="48">
        <f>SUBTOTAL(109,Program220[(I)
Payments
 and Offsets])</f>
        <v>-4474043</v>
      </c>
      <c r="J1665" s="48">
        <f>SUBTOTAL(109,Program220[(J)
Accounts Payable Balance
(H + I)])</f>
        <v>0</v>
      </c>
      <c r="K1665" s="48">
        <f>SUBTOTAL(109,Program220[(K)
Established 
Accounts Receivable])</f>
        <v>0</v>
      </c>
      <c r="L1665" s="48">
        <f>SUBTOTAL(109,Program220[(L)
Recovered
 Accounts Receivable])</f>
        <v>0</v>
      </c>
      <c r="M1665" s="48">
        <f>SUBTOTAL(109,Program220[(M)
Accounts Receivable Balance
(K + L)])</f>
        <v>0</v>
      </c>
      <c r="N1665" s="48">
        <f>SUBTOTAL(109,Program220[(N)
Net Balance
(J minus M)])</f>
        <v>0</v>
      </c>
    </row>
    <row r="1666" spans="1:14" outlineLevel="2" x14ac:dyDescent="0.35">
      <c r="A1666" s="63" t="s">
        <v>33</v>
      </c>
      <c r="B1666" s="62"/>
      <c r="C1666" s="61"/>
      <c r="D1666" s="61"/>
      <c r="E1666" s="61"/>
      <c r="F1666" s="61"/>
      <c r="G1666" s="61"/>
      <c r="H1666" s="61"/>
      <c r="I1666" s="61"/>
      <c r="J1666" s="61"/>
      <c r="K1666" s="61"/>
      <c r="L1666" s="61"/>
      <c r="M1666" s="61"/>
      <c r="N1666" s="61"/>
    </row>
    <row r="1667" spans="1:14" ht="77.5" outlineLevel="2" x14ac:dyDescent="0.35">
      <c r="A1667" s="60" t="s">
        <v>185</v>
      </c>
      <c r="B1667" s="59" t="s">
        <v>184</v>
      </c>
      <c r="C1667" s="58" t="s">
        <v>183</v>
      </c>
      <c r="D1667" s="58" t="s">
        <v>182</v>
      </c>
      <c r="E1667" s="56" t="s">
        <v>181</v>
      </c>
      <c r="F1667" s="56" t="s">
        <v>180</v>
      </c>
      <c r="G1667" s="56" t="s">
        <v>179</v>
      </c>
      <c r="H1667" s="57" t="s">
        <v>674</v>
      </c>
      <c r="I1667" s="55" t="s">
        <v>178</v>
      </c>
      <c r="J1667" s="55" t="s">
        <v>177</v>
      </c>
      <c r="K1667" s="56" t="s">
        <v>176</v>
      </c>
      <c r="L1667" s="55" t="s">
        <v>175</v>
      </c>
      <c r="M1667" s="55" t="s">
        <v>174</v>
      </c>
      <c r="N1667" s="54" t="s">
        <v>173</v>
      </c>
    </row>
    <row r="1668" spans="1:14" ht="31" outlineLevel="2" x14ac:dyDescent="0.35">
      <c r="A1668" s="70" t="s">
        <v>236</v>
      </c>
      <c r="B1668" s="69" t="s">
        <v>198</v>
      </c>
      <c r="C1668" s="68">
        <v>3968009</v>
      </c>
      <c r="D1668" s="68">
        <v>-7486</v>
      </c>
      <c r="E1668" s="68">
        <v>0</v>
      </c>
      <c r="F1668" s="68">
        <v>0</v>
      </c>
      <c r="G1668" s="68">
        <v>0</v>
      </c>
      <c r="H1668" s="68">
        <v>3960523</v>
      </c>
      <c r="I1668" s="68">
        <v>-3960523</v>
      </c>
      <c r="J1668" s="68">
        <v>0</v>
      </c>
      <c r="K1668" s="68">
        <v>0</v>
      </c>
      <c r="L1668" s="68">
        <v>0</v>
      </c>
      <c r="M1668" s="68">
        <v>0</v>
      </c>
      <c r="N1668" s="68">
        <v>0</v>
      </c>
    </row>
    <row r="1669" spans="1:14" ht="31" outlineLevel="2" x14ac:dyDescent="0.35">
      <c r="A1669" s="70" t="s">
        <v>236</v>
      </c>
      <c r="B1669" s="69" t="s">
        <v>197</v>
      </c>
      <c r="C1669" s="68">
        <v>5802231</v>
      </c>
      <c r="D1669" s="68">
        <v>-60992</v>
      </c>
      <c r="E1669" s="68">
        <v>0</v>
      </c>
      <c r="F1669" s="68">
        <v>0</v>
      </c>
      <c r="G1669" s="68">
        <v>0</v>
      </c>
      <c r="H1669" s="68">
        <v>5741239</v>
      </c>
      <c r="I1669" s="68">
        <v>-5741239</v>
      </c>
      <c r="J1669" s="68">
        <v>0</v>
      </c>
      <c r="K1669" s="68">
        <v>0</v>
      </c>
      <c r="L1669" s="68">
        <v>0</v>
      </c>
      <c r="M1669" s="68">
        <v>0</v>
      </c>
      <c r="N1669" s="68">
        <v>0</v>
      </c>
    </row>
    <row r="1670" spans="1:14" ht="31" outlineLevel="2" x14ac:dyDescent="0.35">
      <c r="A1670" s="70" t="s">
        <v>236</v>
      </c>
      <c r="B1670" s="69" t="s">
        <v>196</v>
      </c>
      <c r="C1670" s="68">
        <v>5331375</v>
      </c>
      <c r="D1670" s="68">
        <v>-31945</v>
      </c>
      <c r="E1670" s="68">
        <v>0</v>
      </c>
      <c r="F1670" s="68">
        <v>0</v>
      </c>
      <c r="G1670" s="68">
        <v>0</v>
      </c>
      <c r="H1670" s="68">
        <v>5299430</v>
      </c>
      <c r="I1670" s="68">
        <v>-5299430</v>
      </c>
      <c r="J1670" s="68">
        <v>0</v>
      </c>
      <c r="K1670" s="68">
        <v>0</v>
      </c>
      <c r="L1670" s="68">
        <v>0</v>
      </c>
      <c r="M1670" s="68">
        <v>0</v>
      </c>
      <c r="N1670" s="68">
        <v>0</v>
      </c>
    </row>
    <row r="1671" spans="1:14" ht="31" outlineLevel="2" x14ac:dyDescent="0.35">
      <c r="A1671" s="70" t="s">
        <v>236</v>
      </c>
      <c r="B1671" s="69" t="s">
        <v>195</v>
      </c>
      <c r="C1671" s="68">
        <v>5088844</v>
      </c>
      <c r="D1671" s="68">
        <v>-49410</v>
      </c>
      <c r="E1671" s="68">
        <v>0</v>
      </c>
      <c r="F1671" s="68">
        <v>0</v>
      </c>
      <c r="G1671" s="68">
        <v>0</v>
      </c>
      <c r="H1671" s="68">
        <v>5039434</v>
      </c>
      <c r="I1671" s="68">
        <v>-5039434</v>
      </c>
      <c r="J1671" s="68">
        <v>0</v>
      </c>
      <c r="K1671" s="68">
        <v>0</v>
      </c>
      <c r="L1671" s="68">
        <v>0</v>
      </c>
      <c r="M1671" s="68">
        <v>0</v>
      </c>
      <c r="N1671" s="68">
        <v>0</v>
      </c>
    </row>
    <row r="1672" spans="1:14" ht="31" outlineLevel="2" x14ac:dyDescent="0.35">
      <c r="A1672" s="70" t="s">
        <v>236</v>
      </c>
      <c r="B1672" s="69" t="s">
        <v>194</v>
      </c>
      <c r="C1672" s="68">
        <v>3831473</v>
      </c>
      <c r="D1672" s="68">
        <v>-36751</v>
      </c>
      <c r="E1672" s="68">
        <v>0</v>
      </c>
      <c r="F1672" s="68">
        <v>0</v>
      </c>
      <c r="G1672" s="68">
        <v>0</v>
      </c>
      <c r="H1672" s="68">
        <v>3794722</v>
      </c>
      <c r="I1672" s="68">
        <v>-3794722</v>
      </c>
      <c r="J1672" s="68">
        <v>0</v>
      </c>
      <c r="K1672" s="68">
        <v>0</v>
      </c>
      <c r="L1672" s="68">
        <v>0</v>
      </c>
      <c r="M1672" s="68">
        <v>0</v>
      </c>
      <c r="N1672" s="68">
        <v>0</v>
      </c>
    </row>
    <row r="1673" spans="1:14" ht="31" outlineLevel="2" x14ac:dyDescent="0.35">
      <c r="A1673" s="70" t="s">
        <v>236</v>
      </c>
      <c r="B1673" s="69" t="s">
        <v>193</v>
      </c>
      <c r="C1673" s="68">
        <v>3667025</v>
      </c>
      <c r="D1673" s="68">
        <v>-36688</v>
      </c>
      <c r="E1673" s="68">
        <v>0</v>
      </c>
      <c r="F1673" s="68">
        <v>0</v>
      </c>
      <c r="G1673" s="68">
        <v>0</v>
      </c>
      <c r="H1673" s="68">
        <v>3630337</v>
      </c>
      <c r="I1673" s="68">
        <v>-3630337</v>
      </c>
      <c r="J1673" s="68">
        <v>0</v>
      </c>
      <c r="K1673" s="68">
        <v>0</v>
      </c>
      <c r="L1673" s="68">
        <v>0</v>
      </c>
      <c r="M1673" s="68">
        <v>0</v>
      </c>
      <c r="N1673" s="68">
        <v>0</v>
      </c>
    </row>
    <row r="1674" spans="1:14" ht="31" outlineLevel="2" x14ac:dyDescent="0.35">
      <c r="A1674" s="70" t="s">
        <v>236</v>
      </c>
      <c r="B1674" s="69" t="s">
        <v>192</v>
      </c>
      <c r="C1674" s="68">
        <v>1205292</v>
      </c>
      <c r="D1674" s="68">
        <v>-13740</v>
      </c>
      <c r="E1674" s="68">
        <v>0</v>
      </c>
      <c r="F1674" s="68">
        <v>0</v>
      </c>
      <c r="G1674" s="68">
        <v>0</v>
      </c>
      <c r="H1674" s="68">
        <v>1191552</v>
      </c>
      <c r="I1674" s="68">
        <v>-1191552</v>
      </c>
      <c r="J1674" s="68">
        <v>0</v>
      </c>
      <c r="K1674" s="68">
        <v>0</v>
      </c>
      <c r="L1674" s="68">
        <v>0</v>
      </c>
      <c r="M1674" s="68">
        <v>0</v>
      </c>
      <c r="N1674" s="68">
        <v>0</v>
      </c>
    </row>
    <row r="1675" spans="1:14" ht="16" outlineLevel="2" thickBot="1" x14ac:dyDescent="0.4">
      <c r="A1675" s="50" t="s">
        <v>61</v>
      </c>
      <c r="B1675" s="67" t="s">
        <v>12</v>
      </c>
      <c r="C1675" s="48">
        <f>SUBTOTAL(109,Program217[(C)
Program
Costs])</f>
        <v>28894249</v>
      </c>
      <c r="D1675" s="48">
        <f>SUBTOTAL(109,Program217[(D)
Prior Period Adjustments])</f>
        <v>-237012</v>
      </c>
      <c r="E1675" s="48">
        <f>SUBTOTAL(109,Program217[(E)
Current Period Desk 
Reviews])</f>
        <v>0</v>
      </c>
      <c r="F1675" s="48">
        <f>SUBTOTAL(109,Program217[(F)
Current Period 
Final 
Audits])</f>
        <v>0</v>
      </c>
      <c r="G1675" s="48">
        <f>SUBTOTAL(109,Program217[(G)
Current Period 
Other Adjustments])</f>
        <v>0</v>
      </c>
      <c r="H1675" s="48">
        <f>SUBTOTAL(109,Program217[(H)
Net Program Costs
Sum (C through G)])</f>
        <v>28657237</v>
      </c>
      <c r="I1675" s="48">
        <f>SUBTOTAL(109,Program217[(I)
Payments
 and Offsets])</f>
        <v>-28657237</v>
      </c>
      <c r="J1675" s="48">
        <f>SUBTOTAL(109,Program217[(J)
Accounts Payable Balance
(H + I)])</f>
        <v>0</v>
      </c>
      <c r="K1675" s="48">
        <f>SUBTOTAL(109,Program217[(K)
Established 
Accounts Receivable])</f>
        <v>0</v>
      </c>
      <c r="L1675" s="48">
        <f>SUBTOTAL(109,Program217[(L)
Recovered
 Accounts Receivable])</f>
        <v>0</v>
      </c>
      <c r="M1675" s="48">
        <f>SUBTOTAL(109,Program217[(M)
Accounts Receivable Balance
(K + L)])</f>
        <v>0</v>
      </c>
      <c r="N1675" s="48">
        <f>SUBTOTAL(109,Program217[(N)
Net Balance
(J minus M)])</f>
        <v>0</v>
      </c>
    </row>
    <row r="1676" spans="1:14" outlineLevel="2" x14ac:dyDescent="0.35">
      <c r="A1676" s="63" t="s">
        <v>33</v>
      </c>
      <c r="B1676" s="62"/>
      <c r="C1676" s="61"/>
      <c r="D1676" s="61"/>
      <c r="E1676" s="61"/>
      <c r="F1676" s="61"/>
      <c r="G1676" s="61"/>
      <c r="H1676" s="61"/>
      <c r="I1676" s="61"/>
      <c r="J1676" s="61"/>
      <c r="K1676" s="61"/>
      <c r="L1676" s="61"/>
      <c r="M1676" s="61"/>
      <c r="N1676" s="61"/>
    </row>
    <row r="1677" spans="1:14" ht="77.5" outlineLevel="1" x14ac:dyDescent="0.35">
      <c r="A1677" s="60" t="s">
        <v>185</v>
      </c>
      <c r="B1677" s="59" t="s">
        <v>184</v>
      </c>
      <c r="C1677" s="58" t="s">
        <v>183</v>
      </c>
      <c r="D1677" s="58" t="s">
        <v>182</v>
      </c>
      <c r="E1677" s="56" t="s">
        <v>181</v>
      </c>
      <c r="F1677" s="56" t="s">
        <v>180</v>
      </c>
      <c r="G1677" s="56" t="s">
        <v>179</v>
      </c>
      <c r="H1677" s="57" t="s">
        <v>674</v>
      </c>
      <c r="I1677" s="55" t="s">
        <v>178</v>
      </c>
      <c r="J1677" s="55" t="s">
        <v>177</v>
      </c>
      <c r="K1677" s="56" t="s">
        <v>176</v>
      </c>
      <c r="L1677" s="55" t="s">
        <v>175</v>
      </c>
      <c r="M1677" s="55" t="s">
        <v>174</v>
      </c>
      <c r="N1677" s="54" t="s">
        <v>173</v>
      </c>
    </row>
    <row r="1678" spans="1:14" outlineLevel="2" x14ac:dyDescent="0.35">
      <c r="A1678" s="53" t="s">
        <v>235</v>
      </c>
      <c r="B1678" s="66" t="s">
        <v>215</v>
      </c>
      <c r="C1678" s="51">
        <v>12461515</v>
      </c>
      <c r="D1678" s="51">
        <v>0</v>
      </c>
      <c r="E1678" s="51">
        <v>0</v>
      </c>
      <c r="F1678" s="51">
        <v>0</v>
      </c>
      <c r="G1678" s="51">
        <v>0</v>
      </c>
      <c r="H1678" s="51">
        <v>12461515</v>
      </c>
      <c r="I1678" s="51">
        <v>0</v>
      </c>
      <c r="J1678" s="51">
        <v>12461515</v>
      </c>
      <c r="K1678" s="51">
        <v>0</v>
      </c>
      <c r="L1678" s="51">
        <v>0</v>
      </c>
      <c r="M1678" s="51">
        <v>0</v>
      </c>
      <c r="N1678" s="51">
        <v>12461515</v>
      </c>
    </row>
    <row r="1679" spans="1:14" outlineLevel="2" x14ac:dyDescent="0.35">
      <c r="A1679" s="53" t="s">
        <v>235</v>
      </c>
      <c r="B1679" s="66" t="s">
        <v>214</v>
      </c>
      <c r="C1679" s="51">
        <v>3602336</v>
      </c>
      <c r="D1679" s="51">
        <v>0</v>
      </c>
      <c r="E1679" s="51">
        <v>0</v>
      </c>
      <c r="F1679" s="51">
        <v>0</v>
      </c>
      <c r="G1679" s="51">
        <v>-10000</v>
      </c>
      <c r="H1679" s="51">
        <v>3592336</v>
      </c>
      <c r="I1679" s="51">
        <v>-3592336</v>
      </c>
      <c r="J1679" s="51">
        <v>0</v>
      </c>
      <c r="K1679" s="51">
        <v>0</v>
      </c>
      <c r="L1679" s="51">
        <v>0</v>
      </c>
      <c r="M1679" s="51">
        <v>0</v>
      </c>
      <c r="N1679" s="51">
        <v>0</v>
      </c>
    </row>
    <row r="1680" spans="1:14" outlineLevel="2" x14ac:dyDescent="0.35">
      <c r="A1680" s="53" t="s">
        <v>235</v>
      </c>
      <c r="B1680" s="66" t="s">
        <v>212</v>
      </c>
      <c r="C1680" s="51">
        <v>3098927</v>
      </c>
      <c r="D1680" s="51">
        <v>-1411</v>
      </c>
      <c r="E1680" s="51">
        <v>0</v>
      </c>
      <c r="F1680" s="51">
        <v>0</v>
      </c>
      <c r="G1680" s="51">
        <v>0</v>
      </c>
      <c r="H1680" s="51">
        <v>3097516</v>
      </c>
      <c r="I1680" s="51">
        <v>-3097516</v>
      </c>
      <c r="J1680" s="51">
        <v>0</v>
      </c>
      <c r="K1680" s="51">
        <v>0</v>
      </c>
      <c r="L1680" s="51">
        <v>0</v>
      </c>
      <c r="M1680" s="51">
        <v>0</v>
      </c>
      <c r="N1680" s="51">
        <v>0</v>
      </c>
    </row>
    <row r="1681" spans="1:14" outlineLevel="2" x14ac:dyDescent="0.35">
      <c r="A1681" s="53" t="s">
        <v>235</v>
      </c>
      <c r="B1681" s="66" t="s">
        <v>220</v>
      </c>
      <c r="C1681" s="51">
        <v>3537583</v>
      </c>
      <c r="D1681" s="51">
        <v>-8314</v>
      </c>
      <c r="E1681" s="51">
        <v>0</v>
      </c>
      <c r="F1681" s="51">
        <v>0</v>
      </c>
      <c r="G1681" s="51">
        <v>0</v>
      </c>
      <c r="H1681" s="51">
        <v>3529269</v>
      </c>
      <c r="I1681" s="51">
        <v>-3529269</v>
      </c>
      <c r="J1681" s="51">
        <v>0</v>
      </c>
      <c r="K1681" s="51">
        <v>0</v>
      </c>
      <c r="L1681" s="51">
        <v>0</v>
      </c>
      <c r="M1681" s="51">
        <v>0</v>
      </c>
      <c r="N1681" s="51">
        <v>0</v>
      </c>
    </row>
    <row r="1682" spans="1:14" outlineLevel="1" x14ac:dyDescent="0.35">
      <c r="A1682" s="53" t="s">
        <v>235</v>
      </c>
      <c r="B1682" s="66" t="s">
        <v>219</v>
      </c>
      <c r="C1682" s="51">
        <v>3610126</v>
      </c>
      <c r="D1682" s="51">
        <v>-1941</v>
      </c>
      <c r="E1682" s="51">
        <v>0</v>
      </c>
      <c r="F1682" s="51">
        <v>0</v>
      </c>
      <c r="G1682" s="51">
        <v>0</v>
      </c>
      <c r="H1682" s="51">
        <v>3608185</v>
      </c>
      <c r="I1682" s="51">
        <v>-3608185</v>
      </c>
      <c r="J1682" s="51">
        <v>0</v>
      </c>
      <c r="K1682" s="51">
        <v>1808</v>
      </c>
      <c r="L1682" s="51">
        <v>-1808</v>
      </c>
      <c r="M1682" s="51">
        <v>0</v>
      </c>
      <c r="N1682" s="51">
        <v>0</v>
      </c>
    </row>
    <row r="1683" spans="1:14" outlineLevel="1" x14ac:dyDescent="0.35">
      <c r="A1683" s="53" t="s">
        <v>235</v>
      </c>
      <c r="B1683" s="66" t="s">
        <v>218</v>
      </c>
      <c r="C1683" s="51">
        <v>5054274</v>
      </c>
      <c r="D1683" s="51">
        <v>-40929</v>
      </c>
      <c r="E1683" s="51">
        <v>0</v>
      </c>
      <c r="F1683" s="51">
        <v>0</v>
      </c>
      <c r="G1683" s="51">
        <v>0</v>
      </c>
      <c r="H1683" s="51">
        <v>5013345</v>
      </c>
      <c r="I1683" s="51">
        <v>-5013345</v>
      </c>
      <c r="J1683" s="51">
        <v>0</v>
      </c>
      <c r="K1683" s="51">
        <v>23994</v>
      </c>
      <c r="L1683" s="51">
        <v>-23994</v>
      </c>
      <c r="M1683" s="51">
        <v>0</v>
      </c>
      <c r="N1683" s="51">
        <v>0</v>
      </c>
    </row>
    <row r="1684" spans="1:14" outlineLevel="2" x14ac:dyDescent="0.35">
      <c r="A1684" s="53" t="s">
        <v>235</v>
      </c>
      <c r="B1684" s="66" t="s">
        <v>209</v>
      </c>
      <c r="C1684" s="51">
        <v>10853195</v>
      </c>
      <c r="D1684" s="51">
        <v>-3929400</v>
      </c>
      <c r="E1684" s="51">
        <v>0</v>
      </c>
      <c r="F1684" s="51">
        <v>0</v>
      </c>
      <c r="G1684" s="51">
        <v>0</v>
      </c>
      <c r="H1684" s="51">
        <v>6923795</v>
      </c>
      <c r="I1684" s="51">
        <v>-6923795</v>
      </c>
      <c r="J1684" s="51">
        <v>0</v>
      </c>
      <c r="K1684" s="51">
        <v>832360</v>
      </c>
      <c r="L1684" s="51">
        <v>-832360</v>
      </c>
      <c r="M1684" s="51">
        <v>0</v>
      </c>
      <c r="N1684" s="51">
        <v>0</v>
      </c>
    </row>
    <row r="1685" spans="1:14" outlineLevel="2" x14ac:dyDescent="0.35">
      <c r="A1685" s="53" t="s">
        <v>235</v>
      </c>
      <c r="B1685" s="66" t="s">
        <v>208</v>
      </c>
      <c r="C1685" s="51">
        <v>12315224</v>
      </c>
      <c r="D1685" s="51">
        <v>-5031325</v>
      </c>
      <c r="E1685" s="51">
        <v>0</v>
      </c>
      <c r="F1685" s="51">
        <v>0</v>
      </c>
      <c r="G1685" s="51">
        <v>0</v>
      </c>
      <c r="H1685" s="51">
        <v>7283899</v>
      </c>
      <c r="I1685" s="51">
        <v>-7283899</v>
      </c>
      <c r="J1685" s="51">
        <v>0</v>
      </c>
      <c r="K1685" s="51">
        <v>13619027</v>
      </c>
      <c r="L1685" s="51">
        <v>-13619027</v>
      </c>
      <c r="M1685" s="51">
        <v>0</v>
      </c>
      <c r="N1685" s="51">
        <v>0</v>
      </c>
    </row>
    <row r="1686" spans="1:14" outlineLevel="2" x14ac:dyDescent="0.35">
      <c r="A1686" s="53" t="s">
        <v>235</v>
      </c>
      <c r="B1686" s="66" t="s">
        <v>206</v>
      </c>
      <c r="C1686" s="51">
        <v>20795311</v>
      </c>
      <c r="D1686" s="51">
        <v>-5756</v>
      </c>
      <c r="E1686" s="51">
        <v>0</v>
      </c>
      <c r="F1686" s="51">
        <v>0</v>
      </c>
      <c r="G1686" s="51">
        <v>0</v>
      </c>
      <c r="H1686" s="51">
        <v>20789555</v>
      </c>
      <c r="I1686" s="51">
        <v>-20789555</v>
      </c>
      <c r="J1686" s="51">
        <v>0</v>
      </c>
      <c r="K1686" s="51">
        <v>0</v>
      </c>
      <c r="L1686" s="51">
        <v>0</v>
      </c>
      <c r="M1686" s="51">
        <v>0</v>
      </c>
      <c r="N1686" s="51">
        <v>0</v>
      </c>
    </row>
    <row r="1687" spans="1:14" outlineLevel="2" x14ac:dyDescent="0.35">
      <c r="A1687" s="53" t="s">
        <v>235</v>
      </c>
      <c r="B1687" s="66" t="s">
        <v>205</v>
      </c>
      <c r="C1687" s="51">
        <v>19977741</v>
      </c>
      <c r="D1687" s="51">
        <v>-13180</v>
      </c>
      <c r="E1687" s="51">
        <v>0</v>
      </c>
      <c r="F1687" s="51">
        <v>0</v>
      </c>
      <c r="G1687" s="51">
        <v>0</v>
      </c>
      <c r="H1687" s="51">
        <v>19964561</v>
      </c>
      <c r="I1687" s="51">
        <v>-19964561</v>
      </c>
      <c r="J1687" s="51">
        <v>0</v>
      </c>
      <c r="K1687" s="51">
        <v>405</v>
      </c>
      <c r="L1687" s="51">
        <v>-405</v>
      </c>
      <c r="M1687" s="51">
        <v>0</v>
      </c>
      <c r="N1687" s="51">
        <v>0</v>
      </c>
    </row>
    <row r="1688" spans="1:14" outlineLevel="2" x14ac:dyDescent="0.35">
      <c r="A1688" s="53" t="s">
        <v>235</v>
      </c>
      <c r="B1688" s="66" t="s">
        <v>204</v>
      </c>
      <c r="C1688" s="51">
        <v>21214422</v>
      </c>
      <c r="D1688" s="51">
        <v>-29552</v>
      </c>
      <c r="E1688" s="51">
        <v>0</v>
      </c>
      <c r="F1688" s="51">
        <v>0</v>
      </c>
      <c r="G1688" s="51">
        <v>0</v>
      </c>
      <c r="H1688" s="51">
        <v>21184870</v>
      </c>
      <c r="I1688" s="51">
        <v>-21184870</v>
      </c>
      <c r="J1688" s="51">
        <v>0</v>
      </c>
      <c r="K1688" s="51">
        <v>52609</v>
      </c>
      <c r="L1688" s="51">
        <v>-52609</v>
      </c>
      <c r="M1688" s="51">
        <v>0</v>
      </c>
      <c r="N1688" s="51">
        <v>0</v>
      </c>
    </row>
    <row r="1689" spans="1:14" outlineLevel="2" x14ac:dyDescent="0.35">
      <c r="A1689" s="53" t="s">
        <v>235</v>
      </c>
      <c r="B1689" s="66" t="s">
        <v>203</v>
      </c>
      <c r="C1689" s="51">
        <v>17534976</v>
      </c>
      <c r="D1689" s="51">
        <v>-142681</v>
      </c>
      <c r="E1689" s="51">
        <v>0</v>
      </c>
      <c r="F1689" s="51">
        <v>0</v>
      </c>
      <c r="G1689" s="51">
        <v>0</v>
      </c>
      <c r="H1689" s="51">
        <v>17392295</v>
      </c>
      <c r="I1689" s="51">
        <v>-17392295</v>
      </c>
      <c r="J1689" s="51">
        <v>0</v>
      </c>
      <c r="K1689" s="51">
        <v>146314</v>
      </c>
      <c r="L1689" s="51">
        <v>-146314</v>
      </c>
      <c r="M1689" s="51">
        <v>0</v>
      </c>
      <c r="N1689" s="51">
        <v>0</v>
      </c>
    </row>
    <row r="1690" spans="1:14" outlineLevel="2" x14ac:dyDescent="0.35">
      <c r="A1690" s="53" t="s">
        <v>235</v>
      </c>
      <c r="B1690" s="66" t="s">
        <v>202</v>
      </c>
      <c r="C1690" s="51">
        <v>13179987</v>
      </c>
      <c r="D1690" s="51">
        <v>-401311</v>
      </c>
      <c r="E1690" s="51">
        <v>0</v>
      </c>
      <c r="F1690" s="51">
        <v>0</v>
      </c>
      <c r="G1690" s="51">
        <v>0</v>
      </c>
      <c r="H1690" s="51">
        <v>12778676</v>
      </c>
      <c r="I1690" s="51">
        <v>-12778676</v>
      </c>
      <c r="J1690" s="51">
        <v>0</v>
      </c>
      <c r="K1690" s="51">
        <v>904425</v>
      </c>
      <c r="L1690" s="51">
        <v>-904425</v>
      </c>
      <c r="M1690" s="51">
        <v>0</v>
      </c>
      <c r="N1690" s="51">
        <v>0</v>
      </c>
    </row>
    <row r="1691" spans="1:14" outlineLevel="2" x14ac:dyDescent="0.35">
      <c r="A1691" s="53" t="s">
        <v>235</v>
      </c>
      <c r="B1691" s="66" t="s">
        <v>201</v>
      </c>
      <c r="C1691" s="51">
        <v>11678019</v>
      </c>
      <c r="D1691" s="51">
        <v>-195979</v>
      </c>
      <c r="E1691" s="51">
        <v>0</v>
      </c>
      <c r="F1691" s="51">
        <v>0</v>
      </c>
      <c r="G1691" s="51">
        <v>0</v>
      </c>
      <c r="H1691" s="51">
        <v>11482040</v>
      </c>
      <c r="I1691" s="51">
        <v>-11482040</v>
      </c>
      <c r="J1691" s="51">
        <v>0</v>
      </c>
      <c r="K1691" s="51">
        <v>204843</v>
      </c>
      <c r="L1691" s="51">
        <v>-204843</v>
      </c>
      <c r="M1691" s="51">
        <v>0</v>
      </c>
      <c r="N1691" s="51">
        <v>0</v>
      </c>
    </row>
    <row r="1692" spans="1:14" outlineLevel="1" x14ac:dyDescent="0.35">
      <c r="A1692" s="53" t="s">
        <v>235</v>
      </c>
      <c r="B1692" s="66" t="s">
        <v>200</v>
      </c>
      <c r="C1692" s="51">
        <v>11547514</v>
      </c>
      <c r="D1692" s="51">
        <v>-151037</v>
      </c>
      <c r="E1692" s="51">
        <v>0</v>
      </c>
      <c r="F1692" s="51">
        <v>0</v>
      </c>
      <c r="G1692" s="51">
        <v>0</v>
      </c>
      <c r="H1692" s="51">
        <v>11396477</v>
      </c>
      <c r="I1692" s="51">
        <v>-11396477</v>
      </c>
      <c r="J1692" s="51">
        <v>0</v>
      </c>
      <c r="K1692" s="51">
        <v>1542149</v>
      </c>
      <c r="L1692" s="51">
        <v>-1542149</v>
      </c>
      <c r="M1692" s="51">
        <v>0</v>
      </c>
      <c r="N1692" s="51">
        <v>0</v>
      </c>
    </row>
    <row r="1693" spans="1:14" outlineLevel="1" x14ac:dyDescent="0.35">
      <c r="A1693" s="53" t="s">
        <v>235</v>
      </c>
      <c r="B1693" s="66" t="s">
        <v>199</v>
      </c>
      <c r="C1693" s="51">
        <v>12022580</v>
      </c>
      <c r="D1693" s="51">
        <v>-408160</v>
      </c>
      <c r="E1693" s="51">
        <v>0</v>
      </c>
      <c r="F1693" s="51">
        <v>0</v>
      </c>
      <c r="G1693" s="51">
        <v>0</v>
      </c>
      <c r="H1693" s="51">
        <v>11614420</v>
      </c>
      <c r="I1693" s="51">
        <v>-11614420</v>
      </c>
      <c r="J1693" s="51">
        <v>0</v>
      </c>
      <c r="K1693" s="51">
        <v>0</v>
      </c>
      <c r="L1693" s="51">
        <v>0</v>
      </c>
      <c r="M1693" s="51">
        <v>0</v>
      </c>
      <c r="N1693" s="51">
        <v>0</v>
      </c>
    </row>
    <row r="1694" spans="1:14" outlineLevel="2" x14ac:dyDescent="0.35">
      <c r="A1694" s="53" t="s">
        <v>235</v>
      </c>
      <c r="B1694" s="66" t="s">
        <v>198</v>
      </c>
      <c r="C1694" s="51">
        <v>12696151</v>
      </c>
      <c r="D1694" s="51">
        <v>-830380</v>
      </c>
      <c r="E1694" s="51">
        <v>0</v>
      </c>
      <c r="F1694" s="51">
        <v>0</v>
      </c>
      <c r="G1694" s="51">
        <v>0</v>
      </c>
      <c r="H1694" s="51">
        <v>11865771</v>
      </c>
      <c r="I1694" s="51">
        <v>-11865771</v>
      </c>
      <c r="J1694" s="51">
        <v>0</v>
      </c>
      <c r="K1694" s="51">
        <v>0</v>
      </c>
      <c r="L1694" s="51">
        <v>0</v>
      </c>
      <c r="M1694" s="51">
        <v>0</v>
      </c>
      <c r="N1694" s="51">
        <v>0</v>
      </c>
    </row>
    <row r="1695" spans="1:14" outlineLevel="2" x14ac:dyDescent="0.35">
      <c r="A1695" s="53" t="s">
        <v>235</v>
      </c>
      <c r="B1695" s="66" t="s">
        <v>197</v>
      </c>
      <c r="C1695" s="51">
        <v>10431196</v>
      </c>
      <c r="D1695" s="51">
        <v>-356383</v>
      </c>
      <c r="E1695" s="51">
        <v>0</v>
      </c>
      <c r="F1695" s="51">
        <v>0</v>
      </c>
      <c r="G1695" s="51">
        <v>0</v>
      </c>
      <c r="H1695" s="51">
        <v>10074813</v>
      </c>
      <c r="I1695" s="51">
        <v>-10074813</v>
      </c>
      <c r="J1695" s="51">
        <v>0</v>
      </c>
      <c r="K1695" s="51">
        <v>10225</v>
      </c>
      <c r="L1695" s="51">
        <v>-10225</v>
      </c>
      <c r="M1695" s="51">
        <v>0</v>
      </c>
      <c r="N1695" s="51">
        <v>0</v>
      </c>
    </row>
    <row r="1696" spans="1:14" outlineLevel="1" x14ac:dyDescent="0.35">
      <c r="A1696" s="53" t="s">
        <v>235</v>
      </c>
      <c r="B1696" s="66" t="s">
        <v>196</v>
      </c>
      <c r="C1696" s="51">
        <v>8882870</v>
      </c>
      <c r="D1696" s="51">
        <v>-342557</v>
      </c>
      <c r="E1696" s="51">
        <v>0</v>
      </c>
      <c r="F1696" s="51">
        <v>0</v>
      </c>
      <c r="G1696" s="51">
        <v>0</v>
      </c>
      <c r="H1696" s="51">
        <v>8540313</v>
      </c>
      <c r="I1696" s="51">
        <v>-8540313</v>
      </c>
      <c r="J1696" s="51">
        <v>0</v>
      </c>
      <c r="K1696" s="51">
        <v>510604</v>
      </c>
      <c r="L1696" s="51">
        <v>-510604</v>
      </c>
      <c r="M1696" s="51">
        <v>0</v>
      </c>
      <c r="N1696" s="51">
        <v>0</v>
      </c>
    </row>
    <row r="1697" spans="1:14" outlineLevel="1" x14ac:dyDescent="0.35">
      <c r="A1697" s="53" t="s">
        <v>235</v>
      </c>
      <c r="B1697" s="66" t="s">
        <v>195</v>
      </c>
      <c r="C1697" s="51">
        <v>8781027</v>
      </c>
      <c r="D1697" s="51">
        <v>-538021</v>
      </c>
      <c r="E1697" s="51">
        <v>0</v>
      </c>
      <c r="F1697" s="51">
        <v>0</v>
      </c>
      <c r="G1697" s="51">
        <v>0</v>
      </c>
      <c r="H1697" s="51">
        <v>8243006</v>
      </c>
      <c r="I1697" s="51">
        <v>-8243006</v>
      </c>
      <c r="J1697" s="51">
        <v>0</v>
      </c>
      <c r="K1697" s="51">
        <v>952022</v>
      </c>
      <c r="L1697" s="51">
        <v>-952022</v>
      </c>
      <c r="M1697" s="51">
        <v>0</v>
      </c>
      <c r="N1697" s="51">
        <v>0</v>
      </c>
    </row>
    <row r="1698" spans="1:14" outlineLevel="2" x14ac:dyDescent="0.35">
      <c r="A1698" s="53" t="s">
        <v>235</v>
      </c>
      <c r="B1698" s="66" t="s">
        <v>194</v>
      </c>
      <c r="C1698" s="51">
        <v>7117478</v>
      </c>
      <c r="D1698" s="51">
        <v>-201791</v>
      </c>
      <c r="E1698" s="51">
        <v>0</v>
      </c>
      <c r="F1698" s="51">
        <v>0</v>
      </c>
      <c r="G1698" s="51">
        <v>0</v>
      </c>
      <c r="H1698" s="51">
        <v>6915687</v>
      </c>
      <c r="I1698" s="51">
        <v>-6915687</v>
      </c>
      <c r="J1698" s="51">
        <v>0</v>
      </c>
      <c r="K1698" s="51">
        <v>220697</v>
      </c>
      <c r="L1698" s="51">
        <v>-220697</v>
      </c>
      <c r="M1698" s="51">
        <v>0</v>
      </c>
      <c r="N1698" s="51">
        <v>0</v>
      </c>
    </row>
    <row r="1699" spans="1:14" outlineLevel="2" x14ac:dyDescent="0.35">
      <c r="A1699" s="53" t="s">
        <v>235</v>
      </c>
      <c r="B1699" s="66" t="s">
        <v>193</v>
      </c>
      <c r="C1699" s="51">
        <v>4650320</v>
      </c>
      <c r="D1699" s="51">
        <v>-1000</v>
      </c>
      <c r="E1699" s="51">
        <v>0</v>
      </c>
      <c r="F1699" s="51">
        <v>0</v>
      </c>
      <c r="G1699" s="51">
        <v>0</v>
      </c>
      <c r="H1699" s="51">
        <v>4649320</v>
      </c>
      <c r="I1699" s="51">
        <v>-4649320</v>
      </c>
      <c r="J1699" s="51">
        <v>0</v>
      </c>
      <c r="K1699" s="51">
        <v>9316</v>
      </c>
      <c r="L1699" s="51">
        <v>-9316</v>
      </c>
      <c r="M1699" s="51">
        <v>0</v>
      </c>
      <c r="N1699" s="51">
        <v>0</v>
      </c>
    </row>
    <row r="1700" spans="1:14" outlineLevel="2" x14ac:dyDescent="0.35">
      <c r="A1700" s="53" t="s">
        <v>235</v>
      </c>
      <c r="B1700" s="66" t="s">
        <v>192</v>
      </c>
      <c r="C1700" s="51">
        <v>3101927</v>
      </c>
      <c r="D1700" s="51">
        <v>-1000</v>
      </c>
      <c r="E1700" s="51">
        <v>0</v>
      </c>
      <c r="F1700" s="51">
        <v>0</v>
      </c>
      <c r="G1700" s="51">
        <v>0</v>
      </c>
      <c r="H1700" s="51">
        <v>3100927</v>
      </c>
      <c r="I1700" s="51">
        <v>-3100927</v>
      </c>
      <c r="J1700" s="51">
        <v>0</v>
      </c>
      <c r="K1700" s="51">
        <v>0</v>
      </c>
      <c r="L1700" s="51">
        <v>0</v>
      </c>
      <c r="M1700" s="51">
        <v>0</v>
      </c>
      <c r="N1700" s="51">
        <v>0</v>
      </c>
    </row>
    <row r="1701" spans="1:14" outlineLevel="2" x14ac:dyDescent="0.35">
      <c r="A1701" s="53" t="s">
        <v>235</v>
      </c>
      <c r="B1701" s="66" t="s">
        <v>191</v>
      </c>
      <c r="C1701" s="51">
        <v>550563</v>
      </c>
      <c r="D1701" s="51">
        <v>-1000</v>
      </c>
      <c r="E1701" s="51">
        <v>0</v>
      </c>
      <c r="F1701" s="51">
        <v>0</v>
      </c>
      <c r="G1701" s="51">
        <v>0</v>
      </c>
      <c r="H1701" s="51">
        <v>549563</v>
      </c>
      <c r="I1701" s="51">
        <v>-549563</v>
      </c>
      <c r="J1701" s="51">
        <v>0</v>
      </c>
      <c r="K1701" s="51">
        <v>0</v>
      </c>
      <c r="L1701" s="51">
        <v>0</v>
      </c>
      <c r="M1701" s="51">
        <v>0</v>
      </c>
      <c r="N1701" s="51">
        <v>0</v>
      </c>
    </row>
    <row r="1702" spans="1:14" ht="16" outlineLevel="2" thickBot="1" x14ac:dyDescent="0.4">
      <c r="A1702" s="50" t="s">
        <v>60</v>
      </c>
      <c r="B1702" s="67" t="s">
        <v>12</v>
      </c>
      <c r="C1702" s="48">
        <f>SUBTOTAL(109,Program175[(C)
Program
Costs])</f>
        <v>238695262</v>
      </c>
      <c r="D1702" s="48">
        <f>SUBTOTAL(109,Program175[(D)
Prior Period Adjustments])</f>
        <v>-12633108</v>
      </c>
      <c r="E1702" s="48">
        <f>SUBTOTAL(109,Program175[(E)
Current Period Desk 
Reviews])</f>
        <v>0</v>
      </c>
      <c r="F1702" s="48">
        <f>SUBTOTAL(109,Program175[(F)
Current Period 
Final 
Audits])</f>
        <v>0</v>
      </c>
      <c r="G1702" s="48">
        <f>SUBTOTAL(109,Program175[(G)
Current Period 
Other Adjustments])</f>
        <v>-10000</v>
      </c>
      <c r="H1702" s="48">
        <f>SUBTOTAL(109,Program175[(H)
Net Program Costs
Sum (C through G)])</f>
        <v>226052154</v>
      </c>
      <c r="I1702" s="48">
        <f>SUBTOTAL(109,Program175[(I)
Payments
 and Offsets])</f>
        <v>-213590639</v>
      </c>
      <c r="J1702" s="48">
        <f>SUBTOTAL(109,Program175[(J)
Accounts Payable Balance
(H + I)])</f>
        <v>12461515</v>
      </c>
      <c r="K1702" s="48">
        <f>SUBTOTAL(109,Program175[(K)
Established 
Accounts Receivable])</f>
        <v>19030798</v>
      </c>
      <c r="L1702" s="48">
        <f>SUBTOTAL(109,Program175[(L)
Recovered
 Accounts Receivable])</f>
        <v>-19030798</v>
      </c>
      <c r="M1702" s="48">
        <f>SUBTOTAL(109,Program175[(M)
Accounts Receivable Balance
(K + L)])</f>
        <v>0</v>
      </c>
      <c r="N1702" s="48">
        <f>SUBTOTAL(109,Program175[(N)
Net Balance
(J minus M)])</f>
        <v>12461515</v>
      </c>
    </row>
    <row r="1703" spans="1:14" outlineLevel="2" x14ac:dyDescent="0.35">
      <c r="A1703" s="63" t="s">
        <v>33</v>
      </c>
      <c r="B1703" s="62"/>
      <c r="C1703" s="61"/>
      <c r="D1703" s="61"/>
      <c r="E1703" s="61"/>
      <c r="F1703" s="61"/>
      <c r="G1703" s="61"/>
      <c r="H1703" s="61"/>
      <c r="I1703" s="61"/>
      <c r="J1703" s="61"/>
      <c r="K1703" s="61"/>
      <c r="L1703" s="61"/>
      <c r="M1703" s="61"/>
      <c r="N1703" s="61"/>
    </row>
    <row r="1704" spans="1:14" ht="77.5" outlineLevel="2" x14ac:dyDescent="0.35">
      <c r="A1704" s="60" t="s">
        <v>185</v>
      </c>
      <c r="B1704" s="59" t="s">
        <v>184</v>
      </c>
      <c r="C1704" s="58" t="s">
        <v>183</v>
      </c>
      <c r="D1704" s="58" t="s">
        <v>182</v>
      </c>
      <c r="E1704" s="56" t="s">
        <v>181</v>
      </c>
      <c r="F1704" s="56" t="s">
        <v>180</v>
      </c>
      <c r="G1704" s="56" t="s">
        <v>179</v>
      </c>
      <c r="H1704" s="57" t="s">
        <v>674</v>
      </c>
      <c r="I1704" s="55" t="s">
        <v>178</v>
      </c>
      <c r="J1704" s="55" t="s">
        <v>177</v>
      </c>
      <c r="K1704" s="56" t="s">
        <v>176</v>
      </c>
      <c r="L1704" s="55" t="s">
        <v>175</v>
      </c>
      <c r="M1704" s="55" t="s">
        <v>174</v>
      </c>
      <c r="N1704" s="54" t="s">
        <v>173</v>
      </c>
    </row>
    <row r="1705" spans="1:14" outlineLevel="2" x14ac:dyDescent="0.35">
      <c r="A1705" s="53" t="s">
        <v>234</v>
      </c>
      <c r="B1705" s="66" t="s">
        <v>208</v>
      </c>
      <c r="C1705" s="51">
        <v>272130</v>
      </c>
      <c r="D1705" s="51">
        <v>-39141</v>
      </c>
      <c r="E1705" s="51">
        <v>0</v>
      </c>
      <c r="F1705" s="51">
        <v>0</v>
      </c>
      <c r="G1705" s="51">
        <v>0</v>
      </c>
      <c r="H1705" s="51">
        <v>232989</v>
      </c>
      <c r="I1705" s="51">
        <v>-232989</v>
      </c>
      <c r="J1705" s="51">
        <v>0</v>
      </c>
      <c r="K1705" s="51">
        <v>0</v>
      </c>
      <c r="L1705" s="51">
        <v>0</v>
      </c>
      <c r="M1705" s="51">
        <v>0</v>
      </c>
      <c r="N1705" s="51">
        <v>0</v>
      </c>
    </row>
    <row r="1706" spans="1:14" outlineLevel="1" x14ac:dyDescent="0.35">
      <c r="A1706" s="53" t="s">
        <v>234</v>
      </c>
      <c r="B1706" s="66" t="s">
        <v>206</v>
      </c>
      <c r="C1706" s="51">
        <v>286709</v>
      </c>
      <c r="D1706" s="51">
        <v>-42139</v>
      </c>
      <c r="E1706" s="51">
        <v>0</v>
      </c>
      <c r="F1706" s="51">
        <v>0</v>
      </c>
      <c r="G1706" s="51">
        <v>0</v>
      </c>
      <c r="H1706" s="51">
        <v>244570</v>
      </c>
      <c r="I1706" s="51">
        <v>-244570</v>
      </c>
      <c r="J1706" s="51">
        <v>0</v>
      </c>
      <c r="K1706" s="51">
        <v>0</v>
      </c>
      <c r="L1706" s="51">
        <v>0</v>
      </c>
      <c r="M1706" s="51">
        <v>0</v>
      </c>
      <c r="N1706" s="51">
        <v>0</v>
      </c>
    </row>
    <row r="1707" spans="1:14" outlineLevel="2" x14ac:dyDescent="0.35">
      <c r="A1707" s="53" t="s">
        <v>234</v>
      </c>
      <c r="B1707" s="66" t="s">
        <v>205</v>
      </c>
      <c r="C1707" s="51">
        <v>244450</v>
      </c>
      <c r="D1707" s="51">
        <v>-36665</v>
      </c>
      <c r="E1707" s="51">
        <v>0</v>
      </c>
      <c r="F1707" s="51">
        <v>0</v>
      </c>
      <c r="G1707" s="51">
        <v>0</v>
      </c>
      <c r="H1707" s="51">
        <v>207785</v>
      </c>
      <c r="I1707" s="51">
        <v>-207785</v>
      </c>
      <c r="J1707" s="51">
        <v>0</v>
      </c>
      <c r="K1707" s="51">
        <v>0</v>
      </c>
      <c r="L1707" s="51">
        <v>0</v>
      </c>
      <c r="M1707" s="51">
        <v>0</v>
      </c>
      <c r="N1707" s="51">
        <v>0</v>
      </c>
    </row>
    <row r="1708" spans="1:14" ht="16" outlineLevel="2" thickBot="1" x14ac:dyDescent="0.4">
      <c r="A1708" s="50" t="s">
        <v>59</v>
      </c>
      <c r="B1708" s="67" t="s">
        <v>12</v>
      </c>
      <c r="C1708" s="48">
        <f>SUBTOTAL(109,Program364[(C)
Program
Costs])</f>
        <v>803289</v>
      </c>
      <c r="D1708" s="48">
        <f>SUBTOTAL(109,Program364[(D)
Prior Period Adjustments])</f>
        <v>-117945</v>
      </c>
      <c r="E1708" s="48">
        <f>SUBTOTAL(109,Program364[(E)
Current Period Desk 
Reviews])</f>
        <v>0</v>
      </c>
      <c r="F1708" s="48">
        <f>SUBTOTAL(109,Program364[(F)
Current Period 
Final 
Audits])</f>
        <v>0</v>
      </c>
      <c r="G1708" s="48">
        <f>SUBTOTAL(109,Program364[(G)
Current Period 
Other Adjustments])</f>
        <v>0</v>
      </c>
      <c r="H1708" s="48">
        <f>SUBTOTAL(109,Program364[(H)
Net Program Costs
Sum (C through G)])</f>
        <v>685344</v>
      </c>
      <c r="I1708" s="48">
        <f>SUBTOTAL(109,Program364[(I)
Payments
 and Offsets])</f>
        <v>-685344</v>
      </c>
      <c r="J1708" s="48">
        <f>SUBTOTAL(109,Program364[(J)
Accounts Payable Balance
(H + I)])</f>
        <v>0</v>
      </c>
      <c r="K1708" s="48">
        <f>SUBTOTAL(109,Program364[(K)
Established 
Accounts Receivable])</f>
        <v>0</v>
      </c>
      <c r="L1708" s="48">
        <f>SUBTOTAL(109,Program364[(L)
Recovered
 Accounts Receivable])</f>
        <v>0</v>
      </c>
      <c r="M1708" s="48">
        <f>SUBTOTAL(109,Program364[(M)
Accounts Receivable Balance
(K + L)])</f>
        <v>0</v>
      </c>
      <c r="N1708" s="48">
        <f>SUBTOTAL(109,Program364[(N)
Net Balance
(J minus M)])</f>
        <v>0</v>
      </c>
    </row>
    <row r="1709" spans="1:14" outlineLevel="2" x14ac:dyDescent="0.35">
      <c r="A1709" s="63" t="s">
        <v>33</v>
      </c>
      <c r="B1709" s="62"/>
      <c r="C1709" s="61"/>
      <c r="D1709" s="61"/>
      <c r="E1709" s="61"/>
      <c r="F1709" s="61"/>
      <c r="G1709" s="61"/>
      <c r="H1709" s="61"/>
      <c r="I1709" s="61"/>
      <c r="J1709" s="61"/>
      <c r="K1709" s="61"/>
      <c r="L1709" s="61"/>
      <c r="M1709" s="61"/>
      <c r="N1709" s="61"/>
    </row>
    <row r="1710" spans="1:14" ht="77.5" outlineLevel="2" x14ac:dyDescent="0.35">
      <c r="A1710" s="60" t="s">
        <v>185</v>
      </c>
      <c r="B1710" s="59" t="s">
        <v>184</v>
      </c>
      <c r="C1710" s="58" t="s">
        <v>183</v>
      </c>
      <c r="D1710" s="58" t="s">
        <v>182</v>
      </c>
      <c r="E1710" s="56" t="s">
        <v>181</v>
      </c>
      <c r="F1710" s="56" t="s">
        <v>180</v>
      </c>
      <c r="G1710" s="56" t="s">
        <v>179</v>
      </c>
      <c r="H1710" s="57" t="s">
        <v>674</v>
      </c>
      <c r="I1710" s="55" t="s">
        <v>178</v>
      </c>
      <c r="J1710" s="55" t="s">
        <v>177</v>
      </c>
      <c r="K1710" s="56" t="s">
        <v>176</v>
      </c>
      <c r="L1710" s="55" t="s">
        <v>175</v>
      </c>
      <c r="M1710" s="55" t="s">
        <v>174</v>
      </c>
      <c r="N1710" s="54" t="s">
        <v>173</v>
      </c>
    </row>
    <row r="1711" spans="1:14" outlineLevel="2" x14ac:dyDescent="0.35">
      <c r="A1711" s="53" t="s">
        <v>233</v>
      </c>
      <c r="B1711" s="66" t="s">
        <v>191</v>
      </c>
      <c r="C1711" s="51">
        <v>382</v>
      </c>
      <c r="D1711" s="51">
        <v>-382</v>
      </c>
      <c r="E1711" s="51">
        <v>0</v>
      </c>
      <c r="F1711" s="51">
        <v>0</v>
      </c>
      <c r="G1711" s="51">
        <v>0</v>
      </c>
      <c r="H1711" s="51">
        <v>0</v>
      </c>
      <c r="I1711" s="51">
        <v>0</v>
      </c>
      <c r="J1711" s="51">
        <v>0</v>
      </c>
      <c r="K1711" s="51">
        <v>7961</v>
      </c>
      <c r="L1711" s="51">
        <v>-7961</v>
      </c>
      <c r="M1711" s="51">
        <v>0</v>
      </c>
      <c r="N1711" s="51">
        <v>0</v>
      </c>
    </row>
    <row r="1712" spans="1:14" outlineLevel="2" x14ac:dyDescent="0.35">
      <c r="A1712" s="53" t="s">
        <v>233</v>
      </c>
      <c r="B1712" s="66" t="s">
        <v>190</v>
      </c>
      <c r="C1712" s="51">
        <v>8405</v>
      </c>
      <c r="D1712" s="51">
        <v>0</v>
      </c>
      <c r="E1712" s="51">
        <v>0</v>
      </c>
      <c r="F1712" s="51">
        <v>0</v>
      </c>
      <c r="G1712" s="51">
        <v>0</v>
      </c>
      <c r="H1712" s="51">
        <v>8405</v>
      </c>
      <c r="I1712" s="51">
        <v>-8405</v>
      </c>
      <c r="J1712" s="51">
        <v>0</v>
      </c>
      <c r="K1712" s="51">
        <v>0</v>
      </c>
      <c r="L1712" s="51">
        <v>0</v>
      </c>
      <c r="M1712" s="51">
        <v>0</v>
      </c>
      <c r="N1712" s="51">
        <v>0</v>
      </c>
    </row>
    <row r="1713" spans="1:14" outlineLevel="2" x14ac:dyDescent="0.35">
      <c r="A1713" s="53" t="s">
        <v>233</v>
      </c>
      <c r="B1713" s="66" t="s">
        <v>189</v>
      </c>
      <c r="C1713" s="51">
        <v>250</v>
      </c>
      <c r="D1713" s="51">
        <v>0</v>
      </c>
      <c r="E1713" s="51">
        <v>0</v>
      </c>
      <c r="F1713" s="51">
        <v>0</v>
      </c>
      <c r="G1713" s="51">
        <v>0</v>
      </c>
      <c r="H1713" s="51">
        <v>250</v>
      </c>
      <c r="I1713" s="51">
        <v>-250</v>
      </c>
      <c r="J1713" s="51">
        <v>0</v>
      </c>
      <c r="K1713" s="51">
        <v>0</v>
      </c>
      <c r="L1713" s="51">
        <v>0</v>
      </c>
      <c r="M1713" s="51">
        <v>0</v>
      </c>
      <c r="N1713" s="51">
        <v>0</v>
      </c>
    </row>
    <row r="1714" spans="1:14" outlineLevel="2" x14ac:dyDescent="0.35">
      <c r="A1714" s="53" t="s">
        <v>233</v>
      </c>
      <c r="B1714" s="66" t="s">
        <v>188</v>
      </c>
      <c r="C1714" s="51">
        <v>601</v>
      </c>
      <c r="D1714" s="51">
        <v>0</v>
      </c>
      <c r="E1714" s="51">
        <v>0</v>
      </c>
      <c r="F1714" s="51">
        <v>0</v>
      </c>
      <c r="G1714" s="51">
        <v>0</v>
      </c>
      <c r="H1714" s="51">
        <v>601</v>
      </c>
      <c r="I1714" s="51">
        <v>-601</v>
      </c>
      <c r="J1714" s="51">
        <v>0</v>
      </c>
      <c r="K1714" s="51">
        <v>0</v>
      </c>
      <c r="L1714" s="51">
        <v>0</v>
      </c>
      <c r="M1714" s="51">
        <v>0</v>
      </c>
      <c r="N1714" s="51">
        <v>0</v>
      </c>
    </row>
    <row r="1715" spans="1:14" outlineLevel="2" x14ac:dyDescent="0.35">
      <c r="A1715" s="53" t="s">
        <v>233</v>
      </c>
      <c r="B1715" s="66" t="s">
        <v>186</v>
      </c>
      <c r="C1715" s="51">
        <v>247</v>
      </c>
      <c r="D1715" s="51">
        <v>0</v>
      </c>
      <c r="E1715" s="51">
        <v>0</v>
      </c>
      <c r="F1715" s="51">
        <v>0</v>
      </c>
      <c r="G1715" s="51">
        <v>0</v>
      </c>
      <c r="H1715" s="51">
        <v>247</v>
      </c>
      <c r="I1715" s="51">
        <v>-247</v>
      </c>
      <c r="J1715" s="51">
        <v>0</v>
      </c>
      <c r="K1715" s="51">
        <v>0</v>
      </c>
      <c r="L1715" s="51">
        <v>0</v>
      </c>
      <c r="M1715" s="51">
        <v>0</v>
      </c>
      <c r="N1715" s="51">
        <v>0</v>
      </c>
    </row>
    <row r="1716" spans="1:14" ht="16" outlineLevel="2" thickBot="1" x14ac:dyDescent="0.4">
      <c r="A1716" s="50" t="s">
        <v>58</v>
      </c>
      <c r="B1716" s="67" t="s">
        <v>12</v>
      </c>
      <c r="C1716" s="48">
        <f>SUBTOTAL(109,Program86[(C)
Program
Costs])</f>
        <v>9885</v>
      </c>
      <c r="D1716" s="48">
        <f>SUBTOTAL(109,Program86[(D)
Prior Period Adjustments])</f>
        <v>-382</v>
      </c>
      <c r="E1716" s="48">
        <f>SUBTOTAL(109,Program86[(E)
Current Period Desk 
Reviews])</f>
        <v>0</v>
      </c>
      <c r="F1716" s="48">
        <f>SUBTOTAL(109,Program86[(F)
Current Period 
Final 
Audits])</f>
        <v>0</v>
      </c>
      <c r="G1716" s="48">
        <f>SUBTOTAL(109,Program86[(G)
Current Period 
Other Adjustments])</f>
        <v>0</v>
      </c>
      <c r="H1716" s="48">
        <f>SUBTOTAL(109,Program86[(H)
Net Program Costs
Sum (C through G)])</f>
        <v>9503</v>
      </c>
      <c r="I1716" s="48">
        <f>SUBTOTAL(109,Program86[(I)
Payments
 and Offsets])</f>
        <v>-9503</v>
      </c>
      <c r="J1716" s="48">
        <f>SUBTOTAL(109,Program86[(J)
Accounts Payable Balance
(H + I)])</f>
        <v>0</v>
      </c>
      <c r="K1716" s="48">
        <f>SUBTOTAL(109,Program86[(K)
Established 
Accounts Receivable])</f>
        <v>7961</v>
      </c>
      <c r="L1716" s="48">
        <f>SUBTOTAL(109,Program86[(L)
Recovered
 Accounts Receivable])</f>
        <v>-7961</v>
      </c>
      <c r="M1716" s="48">
        <f>SUBTOTAL(109,Program86[(M)
Accounts Receivable Balance
(K + L)])</f>
        <v>0</v>
      </c>
      <c r="N1716" s="48">
        <f>SUBTOTAL(109,Program86[(N)
Net Balance
(J minus M)])</f>
        <v>0</v>
      </c>
    </row>
    <row r="1717" spans="1:14" outlineLevel="2" x14ac:dyDescent="0.35">
      <c r="A1717" s="63" t="s">
        <v>33</v>
      </c>
      <c r="B1717" s="62"/>
      <c r="C1717" s="61"/>
      <c r="D1717" s="61"/>
      <c r="E1717" s="61"/>
      <c r="F1717" s="61"/>
      <c r="G1717" s="61"/>
      <c r="H1717" s="61"/>
      <c r="I1717" s="61"/>
      <c r="J1717" s="61"/>
      <c r="K1717" s="61"/>
      <c r="L1717" s="61"/>
      <c r="M1717" s="61"/>
      <c r="N1717" s="61"/>
    </row>
    <row r="1718" spans="1:14" ht="77.5" outlineLevel="2" x14ac:dyDescent="0.35">
      <c r="A1718" s="60" t="s">
        <v>185</v>
      </c>
      <c r="B1718" s="59" t="s">
        <v>184</v>
      </c>
      <c r="C1718" s="58" t="s">
        <v>183</v>
      </c>
      <c r="D1718" s="58" t="s">
        <v>182</v>
      </c>
      <c r="E1718" s="56" t="s">
        <v>181</v>
      </c>
      <c r="F1718" s="56" t="s">
        <v>180</v>
      </c>
      <c r="G1718" s="56" t="s">
        <v>179</v>
      </c>
      <c r="H1718" s="57" t="s">
        <v>674</v>
      </c>
      <c r="I1718" s="55" t="s">
        <v>178</v>
      </c>
      <c r="J1718" s="55" t="s">
        <v>177</v>
      </c>
      <c r="K1718" s="56" t="s">
        <v>176</v>
      </c>
      <c r="L1718" s="55" t="s">
        <v>175</v>
      </c>
      <c r="M1718" s="55" t="s">
        <v>174</v>
      </c>
      <c r="N1718" s="54" t="s">
        <v>173</v>
      </c>
    </row>
    <row r="1719" spans="1:14" outlineLevel="1" x14ac:dyDescent="0.35">
      <c r="A1719" s="53" t="s">
        <v>232</v>
      </c>
      <c r="B1719" s="66" t="s">
        <v>198</v>
      </c>
      <c r="C1719" s="51">
        <v>63176</v>
      </c>
      <c r="D1719" s="51">
        <v>0</v>
      </c>
      <c r="E1719" s="51">
        <v>0</v>
      </c>
      <c r="F1719" s="51">
        <v>0</v>
      </c>
      <c r="G1719" s="51">
        <v>0</v>
      </c>
      <c r="H1719" s="51">
        <v>63176</v>
      </c>
      <c r="I1719" s="51">
        <v>-63176</v>
      </c>
      <c r="J1719" s="51">
        <v>0</v>
      </c>
      <c r="K1719" s="51">
        <v>0</v>
      </c>
      <c r="L1719" s="51">
        <v>0</v>
      </c>
      <c r="M1719" s="51">
        <v>0</v>
      </c>
      <c r="N1719" s="51">
        <v>0</v>
      </c>
    </row>
    <row r="1720" spans="1:14" outlineLevel="1" x14ac:dyDescent="0.35">
      <c r="A1720" s="53" t="s">
        <v>232</v>
      </c>
      <c r="B1720" s="66" t="s">
        <v>197</v>
      </c>
      <c r="C1720" s="51">
        <v>112778</v>
      </c>
      <c r="D1720" s="51">
        <v>-7722</v>
      </c>
      <c r="E1720" s="51">
        <v>0</v>
      </c>
      <c r="F1720" s="51">
        <v>0</v>
      </c>
      <c r="G1720" s="51">
        <v>0</v>
      </c>
      <c r="H1720" s="51">
        <v>105056</v>
      </c>
      <c r="I1720" s="51">
        <v>-105056</v>
      </c>
      <c r="J1720" s="51">
        <v>0</v>
      </c>
      <c r="K1720" s="51">
        <v>4175</v>
      </c>
      <c r="L1720" s="51">
        <v>-4175</v>
      </c>
      <c r="M1720" s="51">
        <v>0</v>
      </c>
      <c r="N1720" s="51">
        <v>0</v>
      </c>
    </row>
    <row r="1721" spans="1:14" outlineLevel="2" x14ac:dyDescent="0.35">
      <c r="A1721" s="53" t="s">
        <v>232</v>
      </c>
      <c r="B1721" s="66" t="s">
        <v>196</v>
      </c>
      <c r="C1721" s="51">
        <v>118895</v>
      </c>
      <c r="D1721" s="51">
        <v>-1516</v>
      </c>
      <c r="E1721" s="51">
        <v>0</v>
      </c>
      <c r="F1721" s="51">
        <v>0</v>
      </c>
      <c r="G1721" s="51">
        <v>0</v>
      </c>
      <c r="H1721" s="51">
        <v>117379</v>
      </c>
      <c r="I1721" s="51">
        <v>-117379</v>
      </c>
      <c r="J1721" s="51">
        <v>0</v>
      </c>
      <c r="K1721" s="51">
        <v>5568</v>
      </c>
      <c r="L1721" s="51">
        <v>-5568</v>
      </c>
      <c r="M1721" s="51">
        <v>0</v>
      </c>
      <c r="N1721" s="51">
        <v>0</v>
      </c>
    </row>
    <row r="1722" spans="1:14" outlineLevel="2" x14ac:dyDescent="0.35">
      <c r="A1722" s="53" t="s">
        <v>232</v>
      </c>
      <c r="B1722" s="66" t="s">
        <v>195</v>
      </c>
      <c r="C1722" s="51">
        <v>106240</v>
      </c>
      <c r="D1722" s="51">
        <v>-581</v>
      </c>
      <c r="E1722" s="51">
        <v>0</v>
      </c>
      <c r="F1722" s="51">
        <v>0</v>
      </c>
      <c r="G1722" s="51">
        <v>0</v>
      </c>
      <c r="H1722" s="51">
        <v>105659</v>
      </c>
      <c r="I1722" s="51">
        <v>-105659</v>
      </c>
      <c r="J1722" s="51">
        <v>0</v>
      </c>
      <c r="K1722" s="51">
        <v>14707</v>
      </c>
      <c r="L1722" s="51">
        <v>-13726</v>
      </c>
      <c r="M1722" s="51">
        <v>981</v>
      </c>
      <c r="N1722" s="51">
        <v>-981</v>
      </c>
    </row>
    <row r="1723" spans="1:14" outlineLevel="2" x14ac:dyDescent="0.35">
      <c r="A1723" s="53" t="s">
        <v>232</v>
      </c>
      <c r="B1723" s="66" t="s">
        <v>194</v>
      </c>
      <c r="C1723" s="51">
        <v>205606</v>
      </c>
      <c r="D1723" s="51">
        <v>-1397</v>
      </c>
      <c r="E1723" s="51">
        <v>0</v>
      </c>
      <c r="F1723" s="51">
        <v>0</v>
      </c>
      <c r="G1723" s="51">
        <v>0</v>
      </c>
      <c r="H1723" s="51">
        <v>204209</v>
      </c>
      <c r="I1723" s="51">
        <v>-204209</v>
      </c>
      <c r="J1723" s="51">
        <v>0</v>
      </c>
      <c r="K1723" s="51">
        <v>0</v>
      </c>
      <c r="L1723" s="51">
        <v>0</v>
      </c>
      <c r="M1723" s="51">
        <v>0</v>
      </c>
      <c r="N1723" s="51">
        <v>0</v>
      </c>
    </row>
    <row r="1724" spans="1:14" outlineLevel="2" x14ac:dyDescent="0.35">
      <c r="A1724" s="53" t="s">
        <v>232</v>
      </c>
      <c r="B1724" s="66" t="s">
        <v>193</v>
      </c>
      <c r="C1724" s="51">
        <v>78433</v>
      </c>
      <c r="D1724" s="51">
        <v>-299</v>
      </c>
      <c r="E1724" s="51">
        <v>0</v>
      </c>
      <c r="F1724" s="51">
        <v>0</v>
      </c>
      <c r="G1724" s="51">
        <v>0</v>
      </c>
      <c r="H1724" s="51">
        <v>78134</v>
      </c>
      <c r="I1724" s="51">
        <v>-78134</v>
      </c>
      <c r="J1724" s="51">
        <v>0</v>
      </c>
      <c r="K1724" s="51">
        <v>0</v>
      </c>
      <c r="L1724" s="51">
        <v>0</v>
      </c>
      <c r="M1724" s="51">
        <v>0</v>
      </c>
      <c r="N1724" s="51">
        <v>0</v>
      </c>
    </row>
    <row r="1725" spans="1:14" outlineLevel="2" x14ac:dyDescent="0.35">
      <c r="A1725" s="53" t="s">
        <v>232</v>
      </c>
      <c r="B1725" s="66" t="s">
        <v>192</v>
      </c>
      <c r="C1725" s="51">
        <v>56005</v>
      </c>
      <c r="D1725" s="51">
        <v>-332</v>
      </c>
      <c r="E1725" s="51">
        <v>0</v>
      </c>
      <c r="F1725" s="51">
        <v>0</v>
      </c>
      <c r="G1725" s="51">
        <v>0</v>
      </c>
      <c r="H1725" s="51">
        <v>55673</v>
      </c>
      <c r="I1725" s="51">
        <v>-55673</v>
      </c>
      <c r="J1725" s="51">
        <v>0</v>
      </c>
      <c r="K1725" s="51">
        <v>0</v>
      </c>
      <c r="L1725" s="51">
        <v>0</v>
      </c>
      <c r="M1725" s="51">
        <v>0</v>
      </c>
      <c r="N1725" s="51">
        <v>0</v>
      </c>
    </row>
    <row r="1726" spans="1:14" outlineLevel="1" x14ac:dyDescent="0.35">
      <c r="A1726" s="53" t="s">
        <v>232</v>
      </c>
      <c r="B1726" s="66" t="s">
        <v>191</v>
      </c>
      <c r="C1726" s="51">
        <v>123697</v>
      </c>
      <c r="D1726" s="51">
        <v>-380</v>
      </c>
      <c r="E1726" s="51">
        <v>0</v>
      </c>
      <c r="F1726" s="51">
        <v>0</v>
      </c>
      <c r="G1726" s="51">
        <v>0</v>
      </c>
      <c r="H1726" s="51">
        <v>123317</v>
      </c>
      <c r="I1726" s="51">
        <v>-123317</v>
      </c>
      <c r="J1726" s="51">
        <v>0</v>
      </c>
      <c r="K1726" s="51">
        <v>1171</v>
      </c>
      <c r="L1726" s="51">
        <v>-1171</v>
      </c>
      <c r="M1726" s="51">
        <v>0</v>
      </c>
      <c r="N1726" s="51">
        <v>0</v>
      </c>
    </row>
    <row r="1727" spans="1:14" outlineLevel="2" x14ac:dyDescent="0.35">
      <c r="A1727" s="53" t="s">
        <v>232</v>
      </c>
      <c r="B1727" s="66" t="s">
        <v>190</v>
      </c>
      <c r="C1727" s="51">
        <v>58551</v>
      </c>
      <c r="D1727" s="51">
        <v>-388</v>
      </c>
      <c r="E1727" s="51">
        <v>0</v>
      </c>
      <c r="F1727" s="51">
        <v>0</v>
      </c>
      <c r="G1727" s="51">
        <v>0</v>
      </c>
      <c r="H1727" s="51">
        <v>58163</v>
      </c>
      <c r="I1727" s="51">
        <v>-58163</v>
      </c>
      <c r="J1727" s="51">
        <v>0</v>
      </c>
      <c r="K1727" s="51">
        <v>0</v>
      </c>
      <c r="L1727" s="51">
        <v>0</v>
      </c>
      <c r="M1727" s="51">
        <v>0</v>
      </c>
      <c r="N1727" s="51">
        <v>0</v>
      </c>
    </row>
    <row r="1728" spans="1:14" outlineLevel="2" x14ac:dyDescent="0.35">
      <c r="A1728" s="53" t="s">
        <v>232</v>
      </c>
      <c r="B1728" s="66" t="s">
        <v>189</v>
      </c>
      <c r="C1728" s="51">
        <v>141555</v>
      </c>
      <c r="D1728" s="51">
        <v>-1263</v>
      </c>
      <c r="E1728" s="51">
        <v>0</v>
      </c>
      <c r="F1728" s="51">
        <v>0</v>
      </c>
      <c r="G1728" s="51">
        <v>0</v>
      </c>
      <c r="H1728" s="51">
        <v>140292</v>
      </c>
      <c r="I1728" s="51">
        <v>-140292</v>
      </c>
      <c r="J1728" s="51">
        <v>0</v>
      </c>
      <c r="K1728" s="51">
        <v>0</v>
      </c>
      <c r="L1728" s="51">
        <v>0</v>
      </c>
      <c r="M1728" s="51">
        <v>0</v>
      </c>
      <c r="N1728" s="51">
        <v>0</v>
      </c>
    </row>
    <row r="1729" spans="1:14" outlineLevel="2" x14ac:dyDescent="0.35">
      <c r="A1729" s="53" t="s">
        <v>232</v>
      </c>
      <c r="B1729" s="66" t="s">
        <v>188</v>
      </c>
      <c r="C1729" s="51">
        <v>102601</v>
      </c>
      <c r="D1729" s="51">
        <v>-797</v>
      </c>
      <c r="E1729" s="51">
        <v>0</v>
      </c>
      <c r="F1729" s="51">
        <v>0</v>
      </c>
      <c r="G1729" s="51">
        <v>0</v>
      </c>
      <c r="H1729" s="51">
        <v>101804</v>
      </c>
      <c r="I1729" s="51">
        <v>-101804</v>
      </c>
      <c r="J1729" s="51">
        <v>0</v>
      </c>
      <c r="K1729" s="51">
        <v>0</v>
      </c>
      <c r="L1729" s="51">
        <v>0</v>
      </c>
      <c r="M1729" s="51">
        <v>0</v>
      </c>
      <c r="N1729" s="51">
        <v>0</v>
      </c>
    </row>
    <row r="1730" spans="1:14" outlineLevel="2" x14ac:dyDescent="0.35">
      <c r="A1730" s="53" t="s">
        <v>232</v>
      </c>
      <c r="B1730" s="66" t="s">
        <v>186</v>
      </c>
      <c r="C1730" s="51">
        <v>339769</v>
      </c>
      <c r="D1730" s="51">
        <v>-1358</v>
      </c>
      <c r="E1730" s="51">
        <v>0</v>
      </c>
      <c r="F1730" s="51">
        <v>0</v>
      </c>
      <c r="G1730" s="51">
        <v>0</v>
      </c>
      <c r="H1730" s="51">
        <v>338411</v>
      </c>
      <c r="I1730" s="51">
        <v>-338411</v>
      </c>
      <c r="J1730" s="51">
        <v>0</v>
      </c>
      <c r="K1730" s="51">
        <v>0</v>
      </c>
      <c r="L1730" s="51">
        <v>0</v>
      </c>
      <c r="M1730" s="51">
        <v>0</v>
      </c>
      <c r="N1730" s="51">
        <v>0</v>
      </c>
    </row>
    <row r="1731" spans="1:14" outlineLevel="2" x14ac:dyDescent="0.35">
      <c r="A1731" s="53" t="s">
        <v>232</v>
      </c>
      <c r="B1731" s="66" t="s">
        <v>227</v>
      </c>
      <c r="C1731" s="51">
        <v>340168</v>
      </c>
      <c r="D1731" s="51">
        <v>-863</v>
      </c>
      <c r="E1731" s="51">
        <v>0</v>
      </c>
      <c r="F1731" s="51">
        <v>0</v>
      </c>
      <c r="G1731" s="51">
        <v>0</v>
      </c>
      <c r="H1731" s="51">
        <v>339305</v>
      </c>
      <c r="I1731" s="51">
        <v>-339305</v>
      </c>
      <c r="J1731" s="51">
        <v>0</v>
      </c>
      <c r="K1731" s="51">
        <v>0</v>
      </c>
      <c r="L1731" s="51">
        <v>0</v>
      </c>
      <c r="M1731" s="51">
        <v>0</v>
      </c>
      <c r="N1731" s="51">
        <v>0</v>
      </c>
    </row>
    <row r="1732" spans="1:14" ht="16" outlineLevel="2" thickBot="1" x14ac:dyDescent="0.4">
      <c r="A1732" s="50" t="s">
        <v>57</v>
      </c>
      <c r="B1732" s="67" t="s">
        <v>12</v>
      </c>
      <c r="C1732" s="48">
        <f>SUBTOTAL(109,Program180[(C)
Program
Costs])</f>
        <v>1847474</v>
      </c>
      <c r="D1732" s="48">
        <f>SUBTOTAL(109,Program180[(D)
Prior Period Adjustments])</f>
        <v>-16896</v>
      </c>
      <c r="E1732" s="48">
        <f>SUBTOTAL(109,Program180[(E)
Current Period Desk 
Reviews])</f>
        <v>0</v>
      </c>
      <c r="F1732" s="48">
        <f>SUBTOTAL(109,Program180[(F)
Current Period 
Final 
Audits])</f>
        <v>0</v>
      </c>
      <c r="G1732" s="48">
        <f>SUBTOTAL(109,Program180[(G)
Current Period 
Other Adjustments])</f>
        <v>0</v>
      </c>
      <c r="H1732" s="48">
        <f>SUBTOTAL(109,Program180[(H)
Net Program Costs
Sum (C through G)])</f>
        <v>1830578</v>
      </c>
      <c r="I1732" s="48">
        <f>SUBTOTAL(109,Program180[(I)
Payments
 and Offsets])</f>
        <v>-1830578</v>
      </c>
      <c r="J1732" s="48">
        <f>SUBTOTAL(109,Program180[(J)
Accounts Payable Balance
(H + I)])</f>
        <v>0</v>
      </c>
      <c r="K1732" s="48">
        <f>SUBTOTAL(109,Program180[(K)
Established 
Accounts Receivable])</f>
        <v>25621</v>
      </c>
      <c r="L1732" s="48">
        <f>SUBTOTAL(109,Program180[(L)
Recovered
 Accounts Receivable])</f>
        <v>-24640</v>
      </c>
      <c r="M1732" s="48">
        <f>SUBTOTAL(109,Program180[(M)
Accounts Receivable Balance
(K + L)])</f>
        <v>981</v>
      </c>
      <c r="N1732" s="48">
        <f>SUBTOTAL(109,Program180[(N)
Net Balance
(J minus M)])</f>
        <v>-981</v>
      </c>
    </row>
    <row r="1733" spans="1:14" outlineLevel="2" x14ac:dyDescent="0.35">
      <c r="A1733" s="63" t="s">
        <v>33</v>
      </c>
      <c r="B1733" s="62"/>
      <c r="C1733" s="61"/>
      <c r="D1733" s="61"/>
      <c r="E1733" s="61"/>
      <c r="F1733" s="61"/>
      <c r="G1733" s="61"/>
      <c r="H1733" s="61"/>
      <c r="I1733" s="61"/>
      <c r="J1733" s="61"/>
      <c r="K1733" s="61"/>
      <c r="L1733" s="61"/>
      <c r="M1733" s="61"/>
      <c r="N1733" s="61"/>
    </row>
    <row r="1734" spans="1:14" ht="77.5" outlineLevel="2" x14ac:dyDescent="0.35">
      <c r="A1734" s="60" t="s">
        <v>185</v>
      </c>
      <c r="B1734" s="59" t="s">
        <v>184</v>
      </c>
      <c r="C1734" s="58" t="s">
        <v>183</v>
      </c>
      <c r="D1734" s="58" t="s">
        <v>182</v>
      </c>
      <c r="E1734" s="56" t="s">
        <v>181</v>
      </c>
      <c r="F1734" s="56" t="s">
        <v>180</v>
      </c>
      <c r="G1734" s="56" t="s">
        <v>179</v>
      </c>
      <c r="H1734" s="57" t="s">
        <v>674</v>
      </c>
      <c r="I1734" s="55" t="s">
        <v>178</v>
      </c>
      <c r="J1734" s="55" t="s">
        <v>177</v>
      </c>
      <c r="K1734" s="56" t="s">
        <v>176</v>
      </c>
      <c r="L1734" s="55" t="s">
        <v>175</v>
      </c>
      <c r="M1734" s="55" t="s">
        <v>174</v>
      </c>
      <c r="N1734" s="54" t="s">
        <v>173</v>
      </c>
    </row>
    <row r="1735" spans="1:14" outlineLevel="2" x14ac:dyDescent="0.35">
      <c r="A1735" s="53" t="s">
        <v>231</v>
      </c>
      <c r="B1735" s="66" t="s">
        <v>199</v>
      </c>
      <c r="C1735" s="51">
        <v>371743</v>
      </c>
      <c r="D1735" s="51">
        <v>-371743</v>
      </c>
      <c r="E1735" s="51">
        <v>0</v>
      </c>
      <c r="F1735" s="51">
        <v>0</v>
      </c>
      <c r="G1735" s="51">
        <v>0</v>
      </c>
      <c r="H1735" s="51">
        <v>0</v>
      </c>
      <c r="I1735" s="51">
        <v>0</v>
      </c>
      <c r="J1735" s="51">
        <v>0</v>
      </c>
      <c r="K1735" s="51">
        <v>0</v>
      </c>
      <c r="L1735" s="51">
        <v>0</v>
      </c>
      <c r="M1735" s="51">
        <v>0</v>
      </c>
      <c r="N1735" s="51">
        <v>0</v>
      </c>
    </row>
    <row r="1736" spans="1:14" outlineLevel="1" x14ac:dyDescent="0.35">
      <c r="A1736" s="53" t="s">
        <v>231</v>
      </c>
      <c r="B1736" s="66" t="s">
        <v>198</v>
      </c>
      <c r="C1736" s="51">
        <v>629852</v>
      </c>
      <c r="D1736" s="51">
        <v>0</v>
      </c>
      <c r="E1736" s="51">
        <v>0</v>
      </c>
      <c r="F1736" s="51">
        <v>0</v>
      </c>
      <c r="G1736" s="51">
        <v>0</v>
      </c>
      <c r="H1736" s="51">
        <v>629852</v>
      </c>
      <c r="I1736" s="51">
        <v>-629852</v>
      </c>
      <c r="J1736" s="51">
        <v>0</v>
      </c>
      <c r="K1736" s="51">
        <v>49</v>
      </c>
      <c r="L1736" s="51">
        <v>-49</v>
      </c>
      <c r="M1736" s="51">
        <v>0</v>
      </c>
      <c r="N1736" s="51">
        <v>0</v>
      </c>
    </row>
    <row r="1737" spans="1:14" outlineLevel="2" x14ac:dyDescent="0.35">
      <c r="A1737" s="53" t="s">
        <v>231</v>
      </c>
      <c r="B1737" s="66" t="s">
        <v>197</v>
      </c>
      <c r="C1737" s="51">
        <v>848489</v>
      </c>
      <c r="D1737" s="51">
        <v>-2786</v>
      </c>
      <c r="E1737" s="51">
        <v>0</v>
      </c>
      <c r="F1737" s="51">
        <v>0</v>
      </c>
      <c r="G1737" s="51">
        <v>0</v>
      </c>
      <c r="H1737" s="51">
        <v>845703</v>
      </c>
      <c r="I1737" s="51">
        <v>-845703</v>
      </c>
      <c r="J1737" s="51">
        <v>0</v>
      </c>
      <c r="K1737" s="51">
        <v>12560</v>
      </c>
      <c r="L1737" s="51">
        <v>-12560</v>
      </c>
      <c r="M1737" s="51">
        <v>0</v>
      </c>
      <c r="N1737" s="51">
        <v>0</v>
      </c>
    </row>
    <row r="1738" spans="1:14" outlineLevel="1" x14ac:dyDescent="0.35">
      <c r="A1738" s="53" t="s">
        <v>231</v>
      </c>
      <c r="B1738" s="66" t="s">
        <v>196</v>
      </c>
      <c r="C1738" s="51">
        <v>789515</v>
      </c>
      <c r="D1738" s="51">
        <v>-1335</v>
      </c>
      <c r="E1738" s="51">
        <v>0</v>
      </c>
      <c r="F1738" s="51">
        <v>0</v>
      </c>
      <c r="G1738" s="51">
        <v>0</v>
      </c>
      <c r="H1738" s="51">
        <v>788180</v>
      </c>
      <c r="I1738" s="51">
        <v>-788180</v>
      </c>
      <c r="J1738" s="51">
        <v>0</v>
      </c>
      <c r="K1738" s="51">
        <v>30139</v>
      </c>
      <c r="L1738" s="51">
        <v>-30139</v>
      </c>
      <c r="M1738" s="51">
        <v>0</v>
      </c>
      <c r="N1738" s="51">
        <v>0</v>
      </c>
    </row>
    <row r="1739" spans="1:14" outlineLevel="1" x14ac:dyDescent="0.35">
      <c r="A1739" s="53" t="s">
        <v>231</v>
      </c>
      <c r="B1739" s="66" t="s">
        <v>195</v>
      </c>
      <c r="C1739" s="51">
        <v>838687</v>
      </c>
      <c r="D1739" s="51">
        <v>-3858</v>
      </c>
      <c r="E1739" s="51">
        <v>0</v>
      </c>
      <c r="F1739" s="51">
        <v>0</v>
      </c>
      <c r="G1739" s="51">
        <v>0</v>
      </c>
      <c r="H1739" s="51">
        <v>834829</v>
      </c>
      <c r="I1739" s="51">
        <v>-834829</v>
      </c>
      <c r="J1739" s="51">
        <v>0</v>
      </c>
      <c r="K1739" s="51">
        <v>46589</v>
      </c>
      <c r="L1739" s="51">
        <v>-46589</v>
      </c>
      <c r="M1739" s="51">
        <v>0</v>
      </c>
      <c r="N1739" s="51">
        <v>0</v>
      </c>
    </row>
    <row r="1740" spans="1:14" s="71" customFormat="1" outlineLevel="1" x14ac:dyDescent="0.35">
      <c r="A1740" s="53" t="s">
        <v>231</v>
      </c>
      <c r="B1740" s="66" t="s">
        <v>194</v>
      </c>
      <c r="C1740" s="51">
        <v>823832</v>
      </c>
      <c r="D1740" s="51">
        <v>-785</v>
      </c>
      <c r="E1740" s="51">
        <v>0</v>
      </c>
      <c r="F1740" s="51">
        <v>0</v>
      </c>
      <c r="G1740" s="51">
        <v>0</v>
      </c>
      <c r="H1740" s="51">
        <v>823047</v>
      </c>
      <c r="I1740" s="51">
        <v>-823047</v>
      </c>
      <c r="J1740" s="51">
        <v>0</v>
      </c>
      <c r="K1740" s="51">
        <v>37046</v>
      </c>
      <c r="L1740" s="51">
        <v>-37046</v>
      </c>
      <c r="M1740" s="51">
        <v>0</v>
      </c>
      <c r="N1740" s="51">
        <v>0</v>
      </c>
    </row>
    <row r="1741" spans="1:14" outlineLevel="2" x14ac:dyDescent="0.35">
      <c r="A1741" s="53" t="s">
        <v>231</v>
      </c>
      <c r="B1741" s="66" t="s">
        <v>193</v>
      </c>
      <c r="C1741" s="51">
        <v>707061</v>
      </c>
      <c r="D1741" s="51">
        <v>-30554</v>
      </c>
      <c r="E1741" s="51">
        <v>0</v>
      </c>
      <c r="F1741" s="51">
        <v>0</v>
      </c>
      <c r="G1741" s="51">
        <v>0</v>
      </c>
      <c r="H1741" s="51">
        <v>676507</v>
      </c>
      <c r="I1741" s="51">
        <v>-676507</v>
      </c>
      <c r="J1741" s="51">
        <v>0</v>
      </c>
      <c r="K1741" s="51">
        <v>70067</v>
      </c>
      <c r="L1741" s="51">
        <v>-70067</v>
      </c>
      <c r="M1741" s="51">
        <v>0</v>
      </c>
      <c r="N1741" s="51">
        <v>0</v>
      </c>
    </row>
    <row r="1742" spans="1:14" outlineLevel="2" x14ac:dyDescent="0.35">
      <c r="A1742" s="53" t="s">
        <v>231</v>
      </c>
      <c r="B1742" s="66" t="s">
        <v>192</v>
      </c>
      <c r="C1742" s="51">
        <v>715145</v>
      </c>
      <c r="D1742" s="51">
        <v>-2000</v>
      </c>
      <c r="E1742" s="51">
        <v>0</v>
      </c>
      <c r="F1742" s="51">
        <v>0</v>
      </c>
      <c r="G1742" s="51">
        <v>0</v>
      </c>
      <c r="H1742" s="51">
        <v>713145</v>
      </c>
      <c r="I1742" s="51">
        <v>-713145</v>
      </c>
      <c r="J1742" s="51">
        <v>0</v>
      </c>
      <c r="K1742" s="51">
        <v>221949</v>
      </c>
      <c r="L1742" s="51">
        <v>-221949</v>
      </c>
      <c r="M1742" s="51">
        <v>0</v>
      </c>
      <c r="N1742" s="51">
        <v>0</v>
      </c>
    </row>
    <row r="1743" spans="1:14" outlineLevel="2" x14ac:dyDescent="0.35">
      <c r="A1743" s="53" t="s">
        <v>231</v>
      </c>
      <c r="B1743" s="66" t="s">
        <v>191</v>
      </c>
      <c r="C1743" s="51">
        <v>919998</v>
      </c>
      <c r="D1743" s="51">
        <v>-45448</v>
      </c>
      <c r="E1743" s="51">
        <v>0</v>
      </c>
      <c r="F1743" s="51">
        <v>0</v>
      </c>
      <c r="G1743" s="51">
        <v>0</v>
      </c>
      <c r="H1743" s="51">
        <v>874550</v>
      </c>
      <c r="I1743" s="51">
        <v>-874550</v>
      </c>
      <c r="J1743" s="51">
        <v>0</v>
      </c>
      <c r="K1743" s="51">
        <v>145747</v>
      </c>
      <c r="L1743" s="51">
        <v>-145747</v>
      </c>
      <c r="M1743" s="51">
        <v>0</v>
      </c>
      <c r="N1743" s="51">
        <v>0</v>
      </c>
    </row>
    <row r="1744" spans="1:14" outlineLevel="2" x14ac:dyDescent="0.35">
      <c r="A1744" s="53" t="s">
        <v>231</v>
      </c>
      <c r="B1744" s="66" t="s">
        <v>190</v>
      </c>
      <c r="C1744" s="51">
        <v>952226</v>
      </c>
      <c r="D1744" s="51">
        <v>0</v>
      </c>
      <c r="E1744" s="51">
        <v>0</v>
      </c>
      <c r="F1744" s="51">
        <v>0</v>
      </c>
      <c r="G1744" s="51">
        <v>0</v>
      </c>
      <c r="H1744" s="51">
        <v>952226</v>
      </c>
      <c r="I1744" s="51">
        <v>-952226</v>
      </c>
      <c r="J1744" s="51">
        <v>0</v>
      </c>
      <c r="K1744" s="51">
        <v>43215</v>
      </c>
      <c r="L1744" s="51">
        <v>-43215</v>
      </c>
      <c r="M1744" s="51">
        <v>0</v>
      </c>
      <c r="N1744" s="51">
        <v>0</v>
      </c>
    </row>
    <row r="1745" spans="1:14" outlineLevel="2" x14ac:dyDescent="0.35">
      <c r="A1745" s="53" t="s">
        <v>231</v>
      </c>
      <c r="B1745" s="66" t="s">
        <v>189</v>
      </c>
      <c r="C1745" s="51">
        <v>979160</v>
      </c>
      <c r="D1745" s="51">
        <v>-1724</v>
      </c>
      <c r="E1745" s="51">
        <v>0</v>
      </c>
      <c r="F1745" s="51">
        <v>0</v>
      </c>
      <c r="G1745" s="51">
        <v>0</v>
      </c>
      <c r="H1745" s="51">
        <v>977436</v>
      </c>
      <c r="I1745" s="51">
        <v>-977436</v>
      </c>
      <c r="J1745" s="51">
        <v>0</v>
      </c>
      <c r="K1745" s="51">
        <v>83687</v>
      </c>
      <c r="L1745" s="51">
        <v>-83687</v>
      </c>
      <c r="M1745" s="51">
        <v>0</v>
      </c>
      <c r="N1745" s="51">
        <v>0</v>
      </c>
    </row>
    <row r="1746" spans="1:14" outlineLevel="1" x14ac:dyDescent="0.35">
      <c r="A1746" s="53" t="s">
        <v>231</v>
      </c>
      <c r="B1746" s="66" t="s">
        <v>188</v>
      </c>
      <c r="C1746" s="51">
        <v>900844</v>
      </c>
      <c r="D1746" s="51">
        <v>-2322</v>
      </c>
      <c r="E1746" s="51">
        <v>0</v>
      </c>
      <c r="F1746" s="51">
        <v>0</v>
      </c>
      <c r="G1746" s="51">
        <v>0</v>
      </c>
      <c r="H1746" s="51">
        <v>898522</v>
      </c>
      <c r="I1746" s="51">
        <v>-898522</v>
      </c>
      <c r="J1746" s="51">
        <v>0</v>
      </c>
      <c r="K1746" s="51">
        <v>793</v>
      </c>
      <c r="L1746" s="51">
        <v>-793</v>
      </c>
      <c r="M1746" s="51">
        <v>0</v>
      </c>
      <c r="N1746" s="51">
        <v>0</v>
      </c>
    </row>
    <row r="1747" spans="1:14" outlineLevel="1" x14ac:dyDescent="0.35">
      <c r="A1747" s="53" t="s">
        <v>231</v>
      </c>
      <c r="B1747" s="66" t="s">
        <v>186</v>
      </c>
      <c r="C1747" s="51">
        <v>853900</v>
      </c>
      <c r="D1747" s="51">
        <v>-2225</v>
      </c>
      <c r="E1747" s="51">
        <v>0</v>
      </c>
      <c r="F1747" s="51">
        <v>0</v>
      </c>
      <c r="G1747" s="51">
        <v>0</v>
      </c>
      <c r="H1747" s="51">
        <v>851675</v>
      </c>
      <c r="I1747" s="51">
        <v>-851675</v>
      </c>
      <c r="J1747" s="51">
        <v>0</v>
      </c>
      <c r="K1747" s="51">
        <v>0</v>
      </c>
      <c r="L1747" s="51">
        <v>0</v>
      </c>
      <c r="M1747" s="51">
        <v>0</v>
      </c>
      <c r="N1747" s="51">
        <v>0</v>
      </c>
    </row>
    <row r="1748" spans="1:14" outlineLevel="2" x14ac:dyDescent="0.35">
      <c r="A1748" s="53" t="s">
        <v>231</v>
      </c>
      <c r="B1748" s="66" t="s">
        <v>227</v>
      </c>
      <c r="C1748" s="51">
        <v>898023</v>
      </c>
      <c r="D1748" s="51">
        <v>-2596</v>
      </c>
      <c r="E1748" s="51">
        <v>0</v>
      </c>
      <c r="F1748" s="51">
        <v>0</v>
      </c>
      <c r="G1748" s="51">
        <v>0</v>
      </c>
      <c r="H1748" s="51">
        <v>895427</v>
      </c>
      <c r="I1748" s="51">
        <v>-895427</v>
      </c>
      <c r="J1748" s="51">
        <v>0</v>
      </c>
      <c r="K1748" s="51">
        <v>0</v>
      </c>
      <c r="L1748" s="51">
        <v>0</v>
      </c>
      <c r="M1748" s="51">
        <v>0</v>
      </c>
      <c r="N1748" s="51">
        <v>0</v>
      </c>
    </row>
    <row r="1749" spans="1:14" ht="16" outlineLevel="2" thickBot="1" x14ac:dyDescent="0.4">
      <c r="A1749" s="50" t="s">
        <v>56</v>
      </c>
      <c r="B1749" s="67" t="s">
        <v>12</v>
      </c>
      <c r="C1749" s="48">
        <f>SUBTOTAL(109,Program110[(C)
Program
Costs])</f>
        <v>11228475</v>
      </c>
      <c r="D1749" s="48">
        <f>SUBTOTAL(109,Program110[(D)
Prior Period Adjustments])</f>
        <v>-467376</v>
      </c>
      <c r="E1749" s="48">
        <f>SUBTOTAL(109,Program110[(E)
Current Period Desk 
Reviews])</f>
        <v>0</v>
      </c>
      <c r="F1749" s="48">
        <f>SUBTOTAL(109,Program110[(F)
Current Period 
Final 
Audits])</f>
        <v>0</v>
      </c>
      <c r="G1749" s="48">
        <f>SUBTOTAL(109,Program110[(G)
Current Period 
Other Adjustments])</f>
        <v>0</v>
      </c>
      <c r="H1749" s="48">
        <f>SUBTOTAL(109,Program110[(H)
Net Program Costs
Sum (C through G)])</f>
        <v>10761099</v>
      </c>
      <c r="I1749" s="48">
        <f>SUBTOTAL(109,Program110[(I)
Payments
 and Offsets])</f>
        <v>-10761099</v>
      </c>
      <c r="J1749" s="48">
        <f>SUBTOTAL(109,Program110[(J)
Accounts Payable Balance
(H + I)])</f>
        <v>0</v>
      </c>
      <c r="K1749" s="48">
        <f>SUBTOTAL(109,Program110[(K)
Established 
Accounts Receivable])</f>
        <v>691841</v>
      </c>
      <c r="L1749" s="48">
        <f>SUBTOTAL(109,Program110[(L)
Recovered
 Accounts Receivable])</f>
        <v>-691841</v>
      </c>
      <c r="M1749" s="48">
        <f>SUBTOTAL(109,Program110[(M)
Accounts Receivable Balance
(K + L)])</f>
        <v>0</v>
      </c>
      <c r="N1749" s="48">
        <f>SUBTOTAL(109,Program110[(N)
Net Balance
(J minus M)])</f>
        <v>0</v>
      </c>
    </row>
    <row r="1750" spans="1:14" outlineLevel="2" x14ac:dyDescent="0.35">
      <c r="A1750" s="63" t="s">
        <v>33</v>
      </c>
      <c r="B1750" s="62"/>
      <c r="C1750" s="61"/>
      <c r="D1750" s="61"/>
      <c r="E1750" s="61"/>
      <c r="F1750" s="61"/>
      <c r="G1750" s="61"/>
      <c r="H1750" s="61"/>
      <c r="I1750" s="61"/>
      <c r="J1750" s="61"/>
      <c r="K1750" s="61"/>
      <c r="L1750" s="61"/>
      <c r="M1750" s="61"/>
      <c r="N1750" s="61"/>
    </row>
    <row r="1751" spans="1:14" ht="77.5" outlineLevel="1" x14ac:dyDescent="0.35">
      <c r="A1751" s="60" t="s">
        <v>185</v>
      </c>
      <c r="B1751" s="59" t="s">
        <v>184</v>
      </c>
      <c r="C1751" s="58" t="s">
        <v>183</v>
      </c>
      <c r="D1751" s="58" t="s">
        <v>182</v>
      </c>
      <c r="E1751" s="56" t="s">
        <v>181</v>
      </c>
      <c r="F1751" s="56" t="s">
        <v>180</v>
      </c>
      <c r="G1751" s="56" t="s">
        <v>179</v>
      </c>
      <c r="H1751" s="57" t="s">
        <v>674</v>
      </c>
      <c r="I1751" s="55" t="s">
        <v>178</v>
      </c>
      <c r="J1751" s="55" t="s">
        <v>177</v>
      </c>
      <c r="K1751" s="56" t="s">
        <v>176</v>
      </c>
      <c r="L1751" s="55" t="s">
        <v>175</v>
      </c>
      <c r="M1751" s="55" t="s">
        <v>174</v>
      </c>
      <c r="N1751" s="54" t="s">
        <v>173</v>
      </c>
    </row>
    <row r="1752" spans="1:14" outlineLevel="1" x14ac:dyDescent="0.35">
      <c r="A1752" s="53" t="s">
        <v>230</v>
      </c>
      <c r="B1752" s="66" t="s">
        <v>199</v>
      </c>
      <c r="C1752" s="51">
        <v>194638</v>
      </c>
      <c r="D1752" s="51">
        <v>-194638</v>
      </c>
      <c r="E1752" s="51">
        <v>0</v>
      </c>
      <c r="F1752" s="51">
        <v>0</v>
      </c>
      <c r="G1752" s="51">
        <v>0</v>
      </c>
      <c r="H1752" s="51">
        <v>0</v>
      </c>
      <c r="I1752" s="51">
        <v>0</v>
      </c>
      <c r="J1752" s="51">
        <v>0</v>
      </c>
      <c r="K1752" s="51">
        <v>0</v>
      </c>
      <c r="L1752" s="51">
        <v>0</v>
      </c>
      <c r="M1752" s="51">
        <v>0</v>
      </c>
      <c r="N1752" s="51">
        <v>0</v>
      </c>
    </row>
    <row r="1753" spans="1:14" outlineLevel="2" x14ac:dyDescent="0.35">
      <c r="A1753" s="53" t="s">
        <v>230</v>
      </c>
      <c r="B1753" s="66" t="s">
        <v>198</v>
      </c>
      <c r="C1753" s="51">
        <v>395547</v>
      </c>
      <c r="D1753" s="51">
        <v>0</v>
      </c>
      <c r="E1753" s="51">
        <v>0</v>
      </c>
      <c r="F1753" s="51">
        <v>0</v>
      </c>
      <c r="G1753" s="51">
        <v>0</v>
      </c>
      <c r="H1753" s="51">
        <v>395547</v>
      </c>
      <c r="I1753" s="51">
        <v>-395547</v>
      </c>
      <c r="J1753" s="51">
        <v>0</v>
      </c>
      <c r="K1753" s="51">
        <v>27</v>
      </c>
      <c r="L1753" s="51">
        <v>-27</v>
      </c>
      <c r="M1753" s="51">
        <v>0</v>
      </c>
      <c r="N1753" s="51">
        <v>0</v>
      </c>
    </row>
    <row r="1754" spans="1:14" outlineLevel="2" x14ac:dyDescent="0.35">
      <c r="A1754" s="53" t="s">
        <v>230</v>
      </c>
      <c r="B1754" s="66" t="s">
        <v>197</v>
      </c>
      <c r="C1754" s="51">
        <v>442666</v>
      </c>
      <c r="D1754" s="51">
        <v>-1302</v>
      </c>
      <c r="E1754" s="51">
        <v>0</v>
      </c>
      <c r="F1754" s="51">
        <v>0</v>
      </c>
      <c r="G1754" s="51">
        <v>0</v>
      </c>
      <c r="H1754" s="51">
        <v>441364</v>
      </c>
      <c r="I1754" s="51">
        <v>-441364</v>
      </c>
      <c r="J1754" s="51">
        <v>0</v>
      </c>
      <c r="K1754" s="51">
        <v>27451</v>
      </c>
      <c r="L1754" s="51">
        <v>-27451</v>
      </c>
      <c r="M1754" s="51">
        <v>0</v>
      </c>
      <c r="N1754" s="51">
        <v>0</v>
      </c>
    </row>
    <row r="1755" spans="1:14" outlineLevel="2" x14ac:dyDescent="0.35">
      <c r="A1755" s="53" t="s">
        <v>230</v>
      </c>
      <c r="B1755" s="66" t="s">
        <v>196</v>
      </c>
      <c r="C1755" s="51">
        <v>469380</v>
      </c>
      <c r="D1755" s="51">
        <v>-2000</v>
      </c>
      <c r="E1755" s="51">
        <v>0</v>
      </c>
      <c r="F1755" s="51">
        <v>0</v>
      </c>
      <c r="G1755" s="51">
        <v>0</v>
      </c>
      <c r="H1755" s="51">
        <v>467380</v>
      </c>
      <c r="I1755" s="51">
        <v>-467380</v>
      </c>
      <c r="J1755" s="51">
        <v>0</v>
      </c>
      <c r="K1755" s="51">
        <v>38722</v>
      </c>
      <c r="L1755" s="51">
        <v>-38722</v>
      </c>
      <c r="M1755" s="51">
        <v>0</v>
      </c>
      <c r="N1755" s="51">
        <v>0</v>
      </c>
    </row>
    <row r="1756" spans="1:14" outlineLevel="2" x14ac:dyDescent="0.35">
      <c r="A1756" s="53" t="s">
        <v>230</v>
      </c>
      <c r="B1756" s="66" t="s">
        <v>195</v>
      </c>
      <c r="C1756" s="51">
        <v>413889</v>
      </c>
      <c r="D1756" s="51">
        <v>-2155</v>
      </c>
      <c r="E1756" s="51">
        <v>0</v>
      </c>
      <c r="F1756" s="51">
        <v>0</v>
      </c>
      <c r="G1756" s="51">
        <v>0</v>
      </c>
      <c r="H1756" s="51">
        <v>411734</v>
      </c>
      <c r="I1756" s="51">
        <v>-411734</v>
      </c>
      <c r="J1756" s="51">
        <v>0</v>
      </c>
      <c r="K1756" s="51">
        <v>22252</v>
      </c>
      <c r="L1756" s="51">
        <v>-22252</v>
      </c>
      <c r="M1756" s="51">
        <v>0</v>
      </c>
      <c r="N1756" s="51">
        <v>0</v>
      </c>
    </row>
    <row r="1757" spans="1:14" outlineLevel="2" x14ac:dyDescent="0.35">
      <c r="A1757" s="53" t="s">
        <v>230</v>
      </c>
      <c r="B1757" s="66" t="s">
        <v>194</v>
      </c>
      <c r="C1757" s="51">
        <v>406714</v>
      </c>
      <c r="D1757" s="51">
        <v>-1777</v>
      </c>
      <c r="E1757" s="51">
        <v>0</v>
      </c>
      <c r="F1757" s="51">
        <v>0</v>
      </c>
      <c r="G1757" s="51">
        <v>0</v>
      </c>
      <c r="H1757" s="51">
        <v>404937</v>
      </c>
      <c r="I1757" s="51">
        <v>-404937</v>
      </c>
      <c r="J1757" s="51">
        <v>0</v>
      </c>
      <c r="K1757" s="51">
        <v>11921</v>
      </c>
      <c r="L1757" s="51">
        <v>-11921</v>
      </c>
      <c r="M1757" s="51">
        <v>0</v>
      </c>
      <c r="N1757" s="51">
        <v>0</v>
      </c>
    </row>
    <row r="1758" spans="1:14" outlineLevel="2" x14ac:dyDescent="0.35">
      <c r="A1758" s="53" t="s">
        <v>230</v>
      </c>
      <c r="B1758" s="66" t="s">
        <v>193</v>
      </c>
      <c r="C1758" s="51">
        <v>360360</v>
      </c>
      <c r="D1758" s="51">
        <v>-3150</v>
      </c>
      <c r="E1758" s="51">
        <v>0</v>
      </c>
      <c r="F1758" s="51">
        <v>0</v>
      </c>
      <c r="G1758" s="51">
        <v>0</v>
      </c>
      <c r="H1758" s="51">
        <v>357210</v>
      </c>
      <c r="I1758" s="51">
        <v>-357210</v>
      </c>
      <c r="J1758" s="51">
        <v>0</v>
      </c>
      <c r="K1758" s="51">
        <v>35713</v>
      </c>
      <c r="L1758" s="51">
        <v>-35713</v>
      </c>
      <c r="M1758" s="51">
        <v>0</v>
      </c>
      <c r="N1758" s="51">
        <v>0</v>
      </c>
    </row>
    <row r="1759" spans="1:14" outlineLevel="2" x14ac:dyDescent="0.35">
      <c r="A1759" s="53" t="s">
        <v>230</v>
      </c>
      <c r="B1759" s="66" t="s">
        <v>192</v>
      </c>
      <c r="C1759" s="51">
        <v>381785</v>
      </c>
      <c r="D1759" s="51">
        <v>-1285</v>
      </c>
      <c r="E1759" s="51">
        <v>0</v>
      </c>
      <c r="F1759" s="51">
        <v>0</v>
      </c>
      <c r="G1759" s="51">
        <v>0</v>
      </c>
      <c r="H1759" s="51">
        <v>380500</v>
      </c>
      <c r="I1759" s="51">
        <v>-380500</v>
      </c>
      <c r="J1759" s="51">
        <v>0</v>
      </c>
      <c r="K1759" s="51">
        <v>2262</v>
      </c>
      <c r="L1759" s="51">
        <v>-2262</v>
      </c>
      <c r="M1759" s="51">
        <v>0</v>
      </c>
      <c r="N1759" s="51">
        <v>0</v>
      </c>
    </row>
    <row r="1760" spans="1:14" outlineLevel="1" x14ac:dyDescent="0.35">
      <c r="A1760" s="53" t="s">
        <v>230</v>
      </c>
      <c r="B1760" s="66" t="s">
        <v>191</v>
      </c>
      <c r="C1760" s="51">
        <v>331672</v>
      </c>
      <c r="D1760" s="51">
        <v>-7232</v>
      </c>
      <c r="E1760" s="51">
        <v>0</v>
      </c>
      <c r="F1760" s="51">
        <v>0</v>
      </c>
      <c r="G1760" s="51">
        <v>0</v>
      </c>
      <c r="H1760" s="51">
        <v>324440</v>
      </c>
      <c r="I1760" s="51">
        <v>-324440</v>
      </c>
      <c r="J1760" s="51">
        <v>0</v>
      </c>
      <c r="K1760" s="51">
        <v>9598</v>
      </c>
      <c r="L1760" s="51">
        <v>-9598</v>
      </c>
      <c r="M1760" s="51">
        <v>0</v>
      </c>
      <c r="N1760" s="51">
        <v>0</v>
      </c>
    </row>
    <row r="1761" spans="1:14" outlineLevel="1" x14ac:dyDescent="0.35">
      <c r="A1761" s="53" t="s">
        <v>230</v>
      </c>
      <c r="B1761" s="66" t="s">
        <v>190</v>
      </c>
      <c r="C1761" s="51">
        <v>349702</v>
      </c>
      <c r="D1761" s="51">
        <v>-3134</v>
      </c>
      <c r="E1761" s="51">
        <v>0</v>
      </c>
      <c r="F1761" s="51">
        <v>0</v>
      </c>
      <c r="G1761" s="51">
        <v>0</v>
      </c>
      <c r="H1761" s="51">
        <v>346568</v>
      </c>
      <c r="I1761" s="51">
        <v>-346568</v>
      </c>
      <c r="J1761" s="51">
        <v>0</v>
      </c>
      <c r="K1761" s="51">
        <v>64858</v>
      </c>
      <c r="L1761" s="51">
        <v>-64858</v>
      </c>
      <c r="M1761" s="51">
        <v>0</v>
      </c>
      <c r="N1761" s="51">
        <v>0</v>
      </c>
    </row>
    <row r="1762" spans="1:14" outlineLevel="2" x14ac:dyDescent="0.35">
      <c r="A1762" s="53" t="s">
        <v>230</v>
      </c>
      <c r="B1762" s="66" t="s">
        <v>189</v>
      </c>
      <c r="C1762" s="51">
        <v>194272</v>
      </c>
      <c r="D1762" s="51">
        <v>-7509</v>
      </c>
      <c r="E1762" s="51">
        <v>0</v>
      </c>
      <c r="F1762" s="51">
        <v>0</v>
      </c>
      <c r="G1762" s="51">
        <v>0</v>
      </c>
      <c r="H1762" s="51">
        <v>186763</v>
      </c>
      <c r="I1762" s="51">
        <v>-186763</v>
      </c>
      <c r="J1762" s="51">
        <v>0</v>
      </c>
      <c r="K1762" s="51">
        <v>3169</v>
      </c>
      <c r="L1762" s="51">
        <v>-3169</v>
      </c>
      <c r="M1762" s="51">
        <v>0</v>
      </c>
      <c r="N1762" s="51">
        <v>0</v>
      </c>
    </row>
    <row r="1763" spans="1:14" outlineLevel="1" x14ac:dyDescent="0.35">
      <c r="A1763" s="53" t="s">
        <v>230</v>
      </c>
      <c r="B1763" s="66" t="s">
        <v>188</v>
      </c>
      <c r="C1763" s="51">
        <v>193077</v>
      </c>
      <c r="D1763" s="51">
        <v>-7988</v>
      </c>
      <c r="E1763" s="51">
        <v>0</v>
      </c>
      <c r="F1763" s="51">
        <v>0</v>
      </c>
      <c r="G1763" s="51">
        <v>0</v>
      </c>
      <c r="H1763" s="51">
        <v>185089</v>
      </c>
      <c r="I1763" s="51">
        <v>-185089</v>
      </c>
      <c r="J1763" s="51">
        <v>0</v>
      </c>
      <c r="K1763" s="51">
        <v>8829</v>
      </c>
      <c r="L1763" s="51">
        <v>-8829</v>
      </c>
      <c r="M1763" s="51">
        <v>0</v>
      </c>
      <c r="N1763" s="51">
        <v>0</v>
      </c>
    </row>
    <row r="1764" spans="1:14" outlineLevel="2" x14ac:dyDescent="0.35">
      <c r="A1764" s="53" t="s">
        <v>230</v>
      </c>
      <c r="B1764" s="66" t="s">
        <v>186</v>
      </c>
      <c r="C1764" s="51">
        <v>95284</v>
      </c>
      <c r="D1764" s="51">
        <v>-3251</v>
      </c>
      <c r="E1764" s="51">
        <v>0</v>
      </c>
      <c r="F1764" s="51">
        <v>0</v>
      </c>
      <c r="G1764" s="51">
        <v>0</v>
      </c>
      <c r="H1764" s="51">
        <v>92033</v>
      </c>
      <c r="I1764" s="51">
        <v>-92033</v>
      </c>
      <c r="J1764" s="51">
        <v>0</v>
      </c>
      <c r="K1764" s="51">
        <v>0</v>
      </c>
      <c r="L1764" s="51">
        <v>0</v>
      </c>
      <c r="M1764" s="51">
        <v>0</v>
      </c>
      <c r="N1764" s="51">
        <v>0</v>
      </c>
    </row>
    <row r="1765" spans="1:14" ht="16" outlineLevel="1" thickBot="1" x14ac:dyDescent="0.4">
      <c r="A1765" s="50" t="s">
        <v>55</v>
      </c>
      <c r="B1765" s="67" t="s">
        <v>12</v>
      </c>
      <c r="C1765" s="48">
        <f>SUBTOTAL(109,Program125[(C)
Program
Costs])</f>
        <v>4228986</v>
      </c>
      <c r="D1765" s="48">
        <f>SUBTOTAL(109,Program125[(D)
Prior Period Adjustments])</f>
        <v>-235421</v>
      </c>
      <c r="E1765" s="48">
        <f>SUBTOTAL(109,Program125[(E)
Current Period Desk 
Reviews])</f>
        <v>0</v>
      </c>
      <c r="F1765" s="48">
        <f>SUBTOTAL(109,Program125[(F)
Current Period 
Final 
Audits])</f>
        <v>0</v>
      </c>
      <c r="G1765" s="48">
        <f>SUBTOTAL(109,Program125[(G)
Current Period 
Other Adjustments])</f>
        <v>0</v>
      </c>
      <c r="H1765" s="48">
        <f>SUBTOTAL(109,Program125[(H)
Net Program Costs
Sum (C through G)])</f>
        <v>3993565</v>
      </c>
      <c r="I1765" s="48">
        <f>SUBTOTAL(109,Program125[(I)
Payments
 and Offsets])</f>
        <v>-3993565</v>
      </c>
      <c r="J1765" s="48">
        <f>SUBTOTAL(109,Program125[(J)
Accounts Payable Balance
(H + I)])</f>
        <v>0</v>
      </c>
      <c r="K1765" s="48">
        <f>SUBTOTAL(109,Program125[(K)
Established 
Accounts Receivable])</f>
        <v>224802</v>
      </c>
      <c r="L1765" s="48">
        <f>SUBTOTAL(109,Program125[(L)
Recovered
 Accounts Receivable])</f>
        <v>-224802</v>
      </c>
      <c r="M1765" s="48">
        <f>SUBTOTAL(109,Program125[(M)
Accounts Receivable Balance
(K + L)])</f>
        <v>0</v>
      </c>
      <c r="N1765" s="48">
        <f>SUBTOTAL(109,Program125[(N)
Net Balance
(J minus M)])</f>
        <v>0</v>
      </c>
    </row>
    <row r="1766" spans="1:14" outlineLevel="1" x14ac:dyDescent="0.35">
      <c r="A1766" s="63" t="s">
        <v>33</v>
      </c>
      <c r="B1766" s="62"/>
      <c r="C1766" s="61"/>
      <c r="D1766" s="61"/>
      <c r="E1766" s="61"/>
      <c r="F1766" s="61"/>
      <c r="G1766" s="61"/>
      <c r="H1766" s="61"/>
      <c r="I1766" s="61"/>
      <c r="J1766" s="61"/>
      <c r="K1766" s="61"/>
      <c r="L1766" s="61"/>
      <c r="M1766" s="61"/>
      <c r="N1766" s="61"/>
    </row>
    <row r="1767" spans="1:14" ht="77.5" outlineLevel="2" x14ac:dyDescent="0.35">
      <c r="A1767" s="60" t="s">
        <v>185</v>
      </c>
      <c r="B1767" s="59" t="s">
        <v>184</v>
      </c>
      <c r="C1767" s="58" t="s">
        <v>183</v>
      </c>
      <c r="D1767" s="58" t="s">
        <v>182</v>
      </c>
      <c r="E1767" s="56" t="s">
        <v>181</v>
      </c>
      <c r="F1767" s="56" t="s">
        <v>180</v>
      </c>
      <c r="G1767" s="56" t="s">
        <v>179</v>
      </c>
      <c r="H1767" s="57" t="s">
        <v>674</v>
      </c>
      <c r="I1767" s="55" t="s">
        <v>178</v>
      </c>
      <c r="J1767" s="55" t="s">
        <v>177</v>
      </c>
      <c r="K1767" s="56" t="s">
        <v>176</v>
      </c>
      <c r="L1767" s="55" t="s">
        <v>175</v>
      </c>
      <c r="M1767" s="55" t="s">
        <v>174</v>
      </c>
      <c r="N1767" s="54" t="s">
        <v>173</v>
      </c>
    </row>
    <row r="1768" spans="1:14" ht="31" outlineLevel="2" x14ac:dyDescent="0.35">
      <c r="A1768" s="70" t="s">
        <v>229</v>
      </c>
      <c r="B1768" s="69" t="s">
        <v>215</v>
      </c>
      <c r="C1768" s="68">
        <v>703084</v>
      </c>
      <c r="D1768" s="68">
        <v>0</v>
      </c>
      <c r="E1768" s="68">
        <v>0</v>
      </c>
      <c r="F1768" s="68">
        <v>0</v>
      </c>
      <c r="G1768" s="68">
        <v>0</v>
      </c>
      <c r="H1768" s="68">
        <v>703084</v>
      </c>
      <c r="I1768" s="68">
        <v>0</v>
      </c>
      <c r="J1768" s="68">
        <v>703084</v>
      </c>
      <c r="K1768" s="68">
        <v>0</v>
      </c>
      <c r="L1768" s="68">
        <v>0</v>
      </c>
      <c r="M1768" s="68">
        <v>0</v>
      </c>
      <c r="N1768" s="68">
        <v>703084</v>
      </c>
    </row>
    <row r="1769" spans="1:14" ht="31" outlineLevel="2" x14ac:dyDescent="0.35">
      <c r="A1769" s="70" t="s">
        <v>229</v>
      </c>
      <c r="B1769" s="69" t="s">
        <v>214</v>
      </c>
      <c r="C1769" s="68">
        <v>733754</v>
      </c>
      <c r="D1769" s="68">
        <v>0</v>
      </c>
      <c r="E1769" s="68">
        <v>0</v>
      </c>
      <c r="F1769" s="68">
        <v>0</v>
      </c>
      <c r="G1769" s="68">
        <v>-9381</v>
      </c>
      <c r="H1769" s="68">
        <v>724373</v>
      </c>
      <c r="I1769" s="68">
        <v>-639943</v>
      </c>
      <c r="J1769" s="68">
        <v>84430</v>
      </c>
      <c r="K1769" s="68">
        <v>0</v>
      </c>
      <c r="L1769" s="68">
        <v>0</v>
      </c>
      <c r="M1769" s="68">
        <v>0</v>
      </c>
      <c r="N1769" s="68">
        <v>84430</v>
      </c>
    </row>
    <row r="1770" spans="1:14" ht="31" outlineLevel="2" x14ac:dyDescent="0.35">
      <c r="A1770" s="70" t="s">
        <v>229</v>
      </c>
      <c r="B1770" s="69" t="s">
        <v>212</v>
      </c>
      <c r="C1770" s="68">
        <v>1015746</v>
      </c>
      <c r="D1770" s="68">
        <v>-13439</v>
      </c>
      <c r="E1770" s="68">
        <v>0</v>
      </c>
      <c r="F1770" s="68">
        <v>0</v>
      </c>
      <c r="G1770" s="68">
        <v>0</v>
      </c>
      <c r="H1770" s="68">
        <v>1002307</v>
      </c>
      <c r="I1770" s="68">
        <v>-1002307</v>
      </c>
      <c r="J1770" s="68">
        <v>0</v>
      </c>
      <c r="K1770" s="68">
        <v>0</v>
      </c>
      <c r="L1770" s="68">
        <v>0</v>
      </c>
      <c r="M1770" s="68">
        <v>0</v>
      </c>
      <c r="N1770" s="68">
        <v>0</v>
      </c>
    </row>
    <row r="1771" spans="1:14" ht="31" outlineLevel="2" x14ac:dyDescent="0.35">
      <c r="A1771" s="70" t="s">
        <v>229</v>
      </c>
      <c r="B1771" s="69" t="s">
        <v>220</v>
      </c>
      <c r="C1771" s="68">
        <v>840345</v>
      </c>
      <c r="D1771" s="68">
        <v>-2478</v>
      </c>
      <c r="E1771" s="68">
        <v>0</v>
      </c>
      <c r="F1771" s="68">
        <v>0</v>
      </c>
      <c r="G1771" s="68">
        <v>0</v>
      </c>
      <c r="H1771" s="68">
        <v>837867</v>
      </c>
      <c r="I1771" s="68">
        <v>-837867</v>
      </c>
      <c r="J1771" s="68">
        <v>0</v>
      </c>
      <c r="K1771" s="68">
        <v>0</v>
      </c>
      <c r="L1771" s="68">
        <v>0</v>
      </c>
      <c r="M1771" s="68">
        <v>0</v>
      </c>
      <c r="N1771" s="68">
        <v>0</v>
      </c>
    </row>
    <row r="1772" spans="1:14" ht="31" outlineLevel="2" x14ac:dyDescent="0.35">
      <c r="A1772" s="70" t="s">
        <v>229</v>
      </c>
      <c r="B1772" s="69" t="s">
        <v>219</v>
      </c>
      <c r="C1772" s="68">
        <v>615296</v>
      </c>
      <c r="D1772" s="68">
        <v>0</v>
      </c>
      <c r="E1772" s="68">
        <v>0</v>
      </c>
      <c r="F1772" s="68">
        <v>0</v>
      </c>
      <c r="G1772" s="68">
        <v>0</v>
      </c>
      <c r="H1772" s="68">
        <v>615296</v>
      </c>
      <c r="I1772" s="68">
        <v>-615296</v>
      </c>
      <c r="J1772" s="68">
        <v>0</v>
      </c>
      <c r="K1772" s="68">
        <v>0</v>
      </c>
      <c r="L1772" s="68">
        <v>0</v>
      </c>
      <c r="M1772" s="68">
        <v>0</v>
      </c>
      <c r="N1772" s="68">
        <v>0</v>
      </c>
    </row>
    <row r="1773" spans="1:14" ht="31" outlineLevel="2" x14ac:dyDescent="0.35">
      <c r="A1773" s="70" t="s">
        <v>229</v>
      </c>
      <c r="B1773" s="69" t="s">
        <v>218</v>
      </c>
      <c r="C1773" s="68">
        <v>358212</v>
      </c>
      <c r="D1773" s="68">
        <v>-11610</v>
      </c>
      <c r="E1773" s="68">
        <v>0</v>
      </c>
      <c r="F1773" s="68">
        <v>0</v>
      </c>
      <c r="G1773" s="68">
        <v>0</v>
      </c>
      <c r="H1773" s="68">
        <v>346602</v>
      </c>
      <c r="I1773" s="68">
        <v>-346602</v>
      </c>
      <c r="J1773" s="68">
        <v>0</v>
      </c>
      <c r="K1773" s="68">
        <v>0</v>
      </c>
      <c r="L1773" s="68">
        <v>0</v>
      </c>
      <c r="M1773" s="68">
        <v>0</v>
      </c>
      <c r="N1773" s="68">
        <v>0</v>
      </c>
    </row>
    <row r="1774" spans="1:14" ht="31" outlineLevel="2" x14ac:dyDescent="0.35">
      <c r="A1774" s="70" t="s">
        <v>229</v>
      </c>
      <c r="B1774" s="69" t="s">
        <v>209</v>
      </c>
      <c r="C1774" s="68">
        <v>314792</v>
      </c>
      <c r="D1774" s="68">
        <v>-26199</v>
      </c>
      <c r="E1774" s="68">
        <v>0</v>
      </c>
      <c r="F1774" s="68">
        <v>0</v>
      </c>
      <c r="G1774" s="68">
        <v>0</v>
      </c>
      <c r="H1774" s="68">
        <v>288593</v>
      </c>
      <c r="I1774" s="68">
        <v>-288593</v>
      </c>
      <c r="J1774" s="68">
        <v>0</v>
      </c>
      <c r="K1774" s="68">
        <v>0</v>
      </c>
      <c r="L1774" s="68">
        <v>0</v>
      </c>
      <c r="M1774" s="68">
        <v>0</v>
      </c>
      <c r="N1774" s="68">
        <v>0</v>
      </c>
    </row>
    <row r="1775" spans="1:14" ht="31" outlineLevel="2" x14ac:dyDescent="0.35">
      <c r="A1775" s="70" t="s">
        <v>229</v>
      </c>
      <c r="B1775" s="69" t="s">
        <v>208</v>
      </c>
      <c r="C1775" s="68">
        <v>351975</v>
      </c>
      <c r="D1775" s="68">
        <v>-28087</v>
      </c>
      <c r="E1775" s="68">
        <v>0</v>
      </c>
      <c r="F1775" s="68">
        <v>0</v>
      </c>
      <c r="G1775" s="68">
        <v>0</v>
      </c>
      <c r="H1775" s="68">
        <v>323888</v>
      </c>
      <c r="I1775" s="68">
        <v>-323888</v>
      </c>
      <c r="J1775" s="68">
        <v>0</v>
      </c>
      <c r="K1775" s="68">
        <v>0</v>
      </c>
      <c r="L1775" s="68">
        <v>0</v>
      </c>
      <c r="M1775" s="68">
        <v>0</v>
      </c>
      <c r="N1775" s="68">
        <v>0</v>
      </c>
    </row>
    <row r="1776" spans="1:14" ht="31" outlineLevel="2" x14ac:dyDescent="0.35">
      <c r="A1776" s="70" t="s">
        <v>229</v>
      </c>
      <c r="B1776" s="69" t="s">
        <v>206</v>
      </c>
      <c r="C1776" s="68">
        <v>312430</v>
      </c>
      <c r="D1776" s="68">
        <v>-26198</v>
      </c>
      <c r="E1776" s="68">
        <v>0</v>
      </c>
      <c r="F1776" s="68">
        <v>0</v>
      </c>
      <c r="G1776" s="68">
        <v>0</v>
      </c>
      <c r="H1776" s="68">
        <v>286232</v>
      </c>
      <c r="I1776" s="68">
        <v>-286232</v>
      </c>
      <c r="J1776" s="68">
        <v>0</v>
      </c>
      <c r="K1776" s="68">
        <v>0</v>
      </c>
      <c r="L1776" s="68">
        <v>0</v>
      </c>
      <c r="M1776" s="68">
        <v>0</v>
      </c>
      <c r="N1776" s="68">
        <v>0</v>
      </c>
    </row>
    <row r="1777" spans="1:14" ht="31" outlineLevel="2" x14ac:dyDescent="0.35">
      <c r="A1777" s="70" t="s">
        <v>229</v>
      </c>
      <c r="B1777" s="69" t="s">
        <v>205</v>
      </c>
      <c r="C1777" s="68">
        <v>145281</v>
      </c>
      <c r="D1777" s="68">
        <v>-12693</v>
      </c>
      <c r="E1777" s="68">
        <v>0</v>
      </c>
      <c r="F1777" s="68">
        <v>0</v>
      </c>
      <c r="G1777" s="68">
        <v>0</v>
      </c>
      <c r="H1777" s="68">
        <v>132588</v>
      </c>
      <c r="I1777" s="68">
        <v>-132588</v>
      </c>
      <c r="J1777" s="68">
        <v>0</v>
      </c>
      <c r="K1777" s="68">
        <v>0</v>
      </c>
      <c r="L1777" s="68">
        <v>0</v>
      </c>
      <c r="M1777" s="68">
        <v>0</v>
      </c>
      <c r="N1777" s="68">
        <v>0</v>
      </c>
    </row>
    <row r="1778" spans="1:14" ht="31" outlineLevel="1" x14ac:dyDescent="0.35">
      <c r="A1778" s="70" t="s">
        <v>229</v>
      </c>
      <c r="B1778" s="69" t="s">
        <v>204</v>
      </c>
      <c r="C1778" s="68">
        <v>84763</v>
      </c>
      <c r="D1778" s="68">
        <v>-5793</v>
      </c>
      <c r="E1778" s="68">
        <v>0</v>
      </c>
      <c r="F1778" s="68">
        <v>0</v>
      </c>
      <c r="G1778" s="68">
        <v>0</v>
      </c>
      <c r="H1778" s="68">
        <v>78970</v>
      </c>
      <c r="I1778" s="68">
        <v>-78970</v>
      </c>
      <c r="J1778" s="68">
        <v>0</v>
      </c>
      <c r="K1778" s="68">
        <v>0</v>
      </c>
      <c r="L1778" s="68">
        <v>0</v>
      </c>
      <c r="M1778" s="68">
        <v>0</v>
      </c>
      <c r="N1778" s="68">
        <v>0</v>
      </c>
    </row>
    <row r="1779" spans="1:14" ht="31" outlineLevel="1" x14ac:dyDescent="0.35">
      <c r="A1779" s="70" t="s">
        <v>229</v>
      </c>
      <c r="B1779" s="69" t="s">
        <v>203</v>
      </c>
      <c r="C1779" s="68">
        <v>51156</v>
      </c>
      <c r="D1779" s="68">
        <v>-2562</v>
      </c>
      <c r="E1779" s="68">
        <v>0</v>
      </c>
      <c r="F1779" s="68">
        <v>0</v>
      </c>
      <c r="G1779" s="68">
        <v>0</v>
      </c>
      <c r="H1779" s="68">
        <v>48594</v>
      </c>
      <c r="I1779" s="68">
        <v>-48594</v>
      </c>
      <c r="J1779" s="68">
        <v>0</v>
      </c>
      <c r="K1779" s="68">
        <v>0</v>
      </c>
      <c r="L1779" s="68">
        <v>0</v>
      </c>
      <c r="M1779" s="68">
        <v>0</v>
      </c>
      <c r="N1779" s="68">
        <v>0</v>
      </c>
    </row>
    <row r="1780" spans="1:14" ht="16" outlineLevel="2" thickBot="1" x14ac:dyDescent="0.4">
      <c r="A1780" s="50" t="s">
        <v>54</v>
      </c>
      <c r="B1780" s="67" t="s">
        <v>12</v>
      </c>
      <c r="C1780" s="48">
        <f>SUBTOTAL(109,Program360[(C)
Program
Costs])</f>
        <v>5526834</v>
      </c>
      <c r="D1780" s="48">
        <f>SUBTOTAL(109,Program360[(D)
Prior Period Adjustments])</f>
        <v>-129059</v>
      </c>
      <c r="E1780" s="48">
        <f>SUBTOTAL(109,Program360[(E)
Current Period Desk 
Reviews])</f>
        <v>0</v>
      </c>
      <c r="F1780" s="48">
        <f>SUBTOTAL(109,Program360[(F)
Current Period 
Final 
Audits])</f>
        <v>0</v>
      </c>
      <c r="G1780" s="48">
        <f>SUBTOTAL(109,Program360[(G)
Current Period 
Other Adjustments])</f>
        <v>-9381</v>
      </c>
      <c r="H1780" s="48">
        <f>SUBTOTAL(109,Program360[(H)
Net Program Costs
Sum (C through G)])</f>
        <v>5388394</v>
      </c>
      <c r="I1780" s="48">
        <f>SUBTOTAL(109,Program360[(I)
Payments
 and Offsets])</f>
        <v>-4600880</v>
      </c>
      <c r="J1780" s="48">
        <f>SUBTOTAL(109,Program360[(J)
Accounts Payable Balance
(H + I)])</f>
        <v>787514</v>
      </c>
      <c r="K1780" s="48">
        <f>SUBTOTAL(109,Program360[(K)
Established 
Accounts Receivable])</f>
        <v>0</v>
      </c>
      <c r="L1780" s="48">
        <f>SUBTOTAL(109,Program360[(L)
Recovered
 Accounts Receivable])</f>
        <v>0</v>
      </c>
      <c r="M1780" s="48">
        <f>SUBTOTAL(109,Program360[(M)
Accounts Receivable Balance
(K + L)])</f>
        <v>0</v>
      </c>
      <c r="N1780" s="48">
        <f>SUBTOTAL(109,Program360[(N)
Net Balance
(J minus M)])</f>
        <v>787514</v>
      </c>
    </row>
    <row r="1781" spans="1:14" outlineLevel="2" x14ac:dyDescent="0.35">
      <c r="A1781" s="63" t="s">
        <v>33</v>
      </c>
      <c r="B1781" s="62"/>
      <c r="C1781" s="61"/>
      <c r="D1781" s="61"/>
      <c r="E1781" s="61"/>
      <c r="F1781" s="61"/>
      <c r="G1781" s="61"/>
      <c r="H1781" s="61"/>
      <c r="I1781" s="61"/>
      <c r="J1781" s="61"/>
      <c r="K1781" s="61"/>
      <c r="L1781" s="61"/>
      <c r="M1781" s="61"/>
      <c r="N1781" s="61"/>
    </row>
    <row r="1782" spans="1:14" ht="77.5" outlineLevel="1" x14ac:dyDescent="0.35">
      <c r="A1782" s="60" t="s">
        <v>185</v>
      </c>
      <c r="B1782" s="59" t="s">
        <v>184</v>
      </c>
      <c r="C1782" s="58" t="s">
        <v>183</v>
      </c>
      <c r="D1782" s="58" t="s">
        <v>182</v>
      </c>
      <c r="E1782" s="56" t="s">
        <v>181</v>
      </c>
      <c r="F1782" s="56" t="s">
        <v>180</v>
      </c>
      <c r="G1782" s="56" t="s">
        <v>179</v>
      </c>
      <c r="H1782" s="57" t="s">
        <v>674</v>
      </c>
      <c r="I1782" s="55" t="s">
        <v>178</v>
      </c>
      <c r="J1782" s="55" t="s">
        <v>177</v>
      </c>
      <c r="K1782" s="56" t="s">
        <v>176</v>
      </c>
      <c r="L1782" s="55" t="s">
        <v>175</v>
      </c>
      <c r="M1782" s="55" t="s">
        <v>174</v>
      </c>
      <c r="N1782" s="54" t="s">
        <v>173</v>
      </c>
    </row>
    <row r="1783" spans="1:14" outlineLevel="2" x14ac:dyDescent="0.35">
      <c r="A1783" s="53" t="s">
        <v>228</v>
      </c>
      <c r="B1783" s="66" t="s">
        <v>205</v>
      </c>
      <c r="C1783" s="51">
        <v>13379</v>
      </c>
      <c r="D1783" s="51">
        <v>0</v>
      </c>
      <c r="E1783" s="51">
        <v>0</v>
      </c>
      <c r="F1783" s="51">
        <v>0</v>
      </c>
      <c r="G1783" s="51">
        <v>0</v>
      </c>
      <c r="H1783" s="51">
        <v>13379</v>
      </c>
      <c r="I1783" s="51">
        <v>0</v>
      </c>
      <c r="J1783" s="51">
        <v>13379</v>
      </c>
      <c r="K1783" s="51">
        <v>0</v>
      </c>
      <c r="L1783" s="51">
        <v>0</v>
      </c>
      <c r="M1783" s="51">
        <v>0</v>
      </c>
      <c r="N1783" s="51">
        <v>13379</v>
      </c>
    </row>
    <row r="1784" spans="1:14" outlineLevel="2" x14ac:dyDescent="0.35">
      <c r="A1784" s="53" t="s">
        <v>228</v>
      </c>
      <c r="B1784" s="66" t="s">
        <v>204</v>
      </c>
      <c r="C1784" s="51">
        <v>552661</v>
      </c>
      <c r="D1784" s="51">
        <v>-919</v>
      </c>
      <c r="E1784" s="51">
        <v>0</v>
      </c>
      <c r="F1784" s="51">
        <v>0</v>
      </c>
      <c r="G1784" s="51">
        <v>0</v>
      </c>
      <c r="H1784" s="51">
        <v>551742</v>
      </c>
      <c r="I1784" s="51">
        <v>0</v>
      </c>
      <c r="J1784" s="51">
        <v>551742</v>
      </c>
      <c r="K1784" s="51">
        <v>0</v>
      </c>
      <c r="L1784" s="51">
        <v>0</v>
      </c>
      <c r="M1784" s="51">
        <v>0</v>
      </c>
      <c r="N1784" s="51">
        <v>551742</v>
      </c>
    </row>
    <row r="1785" spans="1:14" outlineLevel="2" x14ac:dyDescent="0.35">
      <c r="A1785" s="53" t="s">
        <v>228</v>
      </c>
      <c r="B1785" s="66" t="s">
        <v>203</v>
      </c>
      <c r="C1785" s="51">
        <v>557576</v>
      </c>
      <c r="D1785" s="51">
        <v>-5857</v>
      </c>
      <c r="E1785" s="51">
        <v>0</v>
      </c>
      <c r="F1785" s="51">
        <v>0</v>
      </c>
      <c r="G1785" s="51">
        <v>0</v>
      </c>
      <c r="H1785" s="51">
        <v>551719</v>
      </c>
      <c r="I1785" s="51">
        <v>0</v>
      </c>
      <c r="J1785" s="51">
        <v>551719</v>
      </c>
      <c r="K1785" s="51">
        <v>0</v>
      </c>
      <c r="L1785" s="51">
        <v>0</v>
      </c>
      <c r="M1785" s="51">
        <v>0</v>
      </c>
      <c r="N1785" s="51">
        <v>551719</v>
      </c>
    </row>
    <row r="1786" spans="1:14" outlineLevel="2" x14ac:dyDescent="0.35">
      <c r="A1786" s="53" t="s">
        <v>228</v>
      </c>
      <c r="B1786" s="66" t="s">
        <v>202</v>
      </c>
      <c r="C1786" s="51">
        <v>616025</v>
      </c>
      <c r="D1786" s="51">
        <v>-1445</v>
      </c>
      <c r="E1786" s="51">
        <v>0</v>
      </c>
      <c r="F1786" s="51">
        <v>0</v>
      </c>
      <c r="G1786" s="51">
        <v>0</v>
      </c>
      <c r="H1786" s="51">
        <v>614580</v>
      </c>
      <c r="I1786" s="51">
        <v>-614580</v>
      </c>
      <c r="J1786" s="51">
        <v>0</v>
      </c>
      <c r="K1786" s="51">
        <v>96070</v>
      </c>
      <c r="L1786" s="51">
        <v>-96070</v>
      </c>
      <c r="M1786" s="51">
        <v>0</v>
      </c>
      <c r="N1786" s="51">
        <v>0</v>
      </c>
    </row>
    <row r="1787" spans="1:14" outlineLevel="2" x14ac:dyDescent="0.35">
      <c r="A1787" s="53" t="s">
        <v>228</v>
      </c>
      <c r="B1787" s="66" t="s">
        <v>201</v>
      </c>
      <c r="C1787" s="51">
        <v>656287</v>
      </c>
      <c r="D1787" s="51">
        <v>-720</v>
      </c>
      <c r="E1787" s="51">
        <v>0</v>
      </c>
      <c r="F1787" s="51">
        <v>0</v>
      </c>
      <c r="G1787" s="51">
        <v>0</v>
      </c>
      <c r="H1787" s="51">
        <v>655567</v>
      </c>
      <c r="I1787" s="51">
        <v>-655567</v>
      </c>
      <c r="J1787" s="51">
        <v>0</v>
      </c>
      <c r="K1787" s="51">
        <v>10563</v>
      </c>
      <c r="L1787" s="51">
        <v>-10563</v>
      </c>
      <c r="M1787" s="51">
        <v>0</v>
      </c>
      <c r="N1787" s="51">
        <v>0</v>
      </c>
    </row>
    <row r="1788" spans="1:14" outlineLevel="2" x14ac:dyDescent="0.35">
      <c r="A1788" s="53" t="s">
        <v>228</v>
      </c>
      <c r="B1788" s="66" t="s">
        <v>198</v>
      </c>
      <c r="C1788" s="51">
        <v>516638</v>
      </c>
      <c r="D1788" s="51">
        <v>-4993</v>
      </c>
      <c r="E1788" s="51">
        <v>0</v>
      </c>
      <c r="F1788" s="51">
        <v>0</v>
      </c>
      <c r="G1788" s="51">
        <v>0</v>
      </c>
      <c r="H1788" s="51">
        <v>511645</v>
      </c>
      <c r="I1788" s="51">
        <v>-511645</v>
      </c>
      <c r="J1788" s="51">
        <v>0</v>
      </c>
      <c r="K1788" s="51">
        <v>91</v>
      </c>
      <c r="L1788" s="51">
        <v>-91</v>
      </c>
      <c r="M1788" s="51">
        <v>0</v>
      </c>
      <c r="N1788" s="51">
        <v>0</v>
      </c>
    </row>
    <row r="1789" spans="1:14" outlineLevel="2" x14ac:dyDescent="0.35">
      <c r="A1789" s="53" t="s">
        <v>228</v>
      </c>
      <c r="B1789" s="66" t="s">
        <v>197</v>
      </c>
      <c r="C1789" s="51">
        <v>515926</v>
      </c>
      <c r="D1789" s="51">
        <v>-56010</v>
      </c>
      <c r="E1789" s="51">
        <v>0</v>
      </c>
      <c r="F1789" s="51">
        <v>0</v>
      </c>
      <c r="G1789" s="51">
        <v>0</v>
      </c>
      <c r="H1789" s="51">
        <v>459916</v>
      </c>
      <c r="I1789" s="51">
        <v>-459916</v>
      </c>
      <c r="J1789" s="51">
        <v>0</v>
      </c>
      <c r="K1789" s="51">
        <v>43206</v>
      </c>
      <c r="L1789" s="51">
        <v>-43206</v>
      </c>
      <c r="M1789" s="51">
        <v>0</v>
      </c>
      <c r="N1789" s="51">
        <v>0</v>
      </c>
    </row>
    <row r="1790" spans="1:14" outlineLevel="2" x14ac:dyDescent="0.35">
      <c r="A1790" s="53" t="s">
        <v>228</v>
      </c>
      <c r="B1790" s="66" t="s">
        <v>196</v>
      </c>
      <c r="C1790" s="51">
        <v>432737</v>
      </c>
      <c r="D1790" s="51">
        <v>-2240</v>
      </c>
      <c r="E1790" s="51">
        <v>0</v>
      </c>
      <c r="F1790" s="51">
        <v>0</v>
      </c>
      <c r="G1790" s="51">
        <v>0</v>
      </c>
      <c r="H1790" s="51">
        <v>430497</v>
      </c>
      <c r="I1790" s="51">
        <v>-430497</v>
      </c>
      <c r="J1790" s="51">
        <v>0</v>
      </c>
      <c r="K1790" s="51">
        <v>47080</v>
      </c>
      <c r="L1790" s="51">
        <v>-47080</v>
      </c>
      <c r="M1790" s="51">
        <v>0</v>
      </c>
      <c r="N1790" s="51">
        <v>0</v>
      </c>
    </row>
    <row r="1791" spans="1:14" outlineLevel="1" x14ac:dyDescent="0.35">
      <c r="A1791" s="53" t="s">
        <v>228</v>
      </c>
      <c r="B1791" s="66" t="s">
        <v>195</v>
      </c>
      <c r="C1791" s="51">
        <v>405451</v>
      </c>
      <c r="D1791" s="51">
        <v>-3893</v>
      </c>
      <c r="E1791" s="51">
        <v>0</v>
      </c>
      <c r="F1791" s="51">
        <v>0</v>
      </c>
      <c r="G1791" s="51">
        <v>0</v>
      </c>
      <c r="H1791" s="51">
        <v>401558</v>
      </c>
      <c r="I1791" s="51">
        <v>-401558</v>
      </c>
      <c r="J1791" s="51">
        <v>0</v>
      </c>
      <c r="K1791" s="51">
        <v>63393</v>
      </c>
      <c r="L1791" s="51">
        <v>-63393</v>
      </c>
      <c r="M1791" s="51">
        <v>0</v>
      </c>
      <c r="N1791" s="51">
        <v>0</v>
      </c>
    </row>
    <row r="1792" spans="1:14" outlineLevel="2" x14ac:dyDescent="0.35">
      <c r="A1792" s="53" t="s">
        <v>228</v>
      </c>
      <c r="B1792" s="66" t="s">
        <v>194</v>
      </c>
      <c r="C1792" s="51">
        <v>417191</v>
      </c>
      <c r="D1792" s="51">
        <v>-1553</v>
      </c>
      <c r="E1792" s="51">
        <v>0</v>
      </c>
      <c r="F1792" s="51">
        <v>0</v>
      </c>
      <c r="G1792" s="51">
        <v>0</v>
      </c>
      <c r="H1792" s="51">
        <v>415638</v>
      </c>
      <c r="I1792" s="51">
        <v>-415638</v>
      </c>
      <c r="J1792" s="51">
        <v>0</v>
      </c>
      <c r="K1792" s="51">
        <v>72268</v>
      </c>
      <c r="L1792" s="51">
        <v>-72268</v>
      </c>
      <c r="M1792" s="51">
        <v>0</v>
      </c>
      <c r="N1792" s="51">
        <v>0</v>
      </c>
    </row>
    <row r="1793" spans="1:14" outlineLevel="2" x14ac:dyDescent="0.35">
      <c r="A1793" s="53" t="s">
        <v>228</v>
      </c>
      <c r="B1793" s="66" t="s">
        <v>193</v>
      </c>
      <c r="C1793" s="51">
        <v>480589</v>
      </c>
      <c r="D1793" s="51">
        <v>-4896</v>
      </c>
      <c r="E1793" s="51">
        <v>0</v>
      </c>
      <c r="F1793" s="51">
        <v>0</v>
      </c>
      <c r="G1793" s="51">
        <v>0</v>
      </c>
      <c r="H1793" s="51">
        <v>475693</v>
      </c>
      <c r="I1793" s="51">
        <v>-475693</v>
      </c>
      <c r="J1793" s="51">
        <v>0</v>
      </c>
      <c r="K1793" s="51">
        <v>7796</v>
      </c>
      <c r="L1793" s="51">
        <v>-7796</v>
      </c>
      <c r="M1793" s="51">
        <v>0</v>
      </c>
      <c r="N1793" s="51">
        <v>0</v>
      </c>
    </row>
    <row r="1794" spans="1:14" outlineLevel="2" x14ac:dyDescent="0.35">
      <c r="A1794" s="53" t="s">
        <v>228</v>
      </c>
      <c r="B1794" s="66" t="s">
        <v>192</v>
      </c>
      <c r="C1794" s="51">
        <v>423209</v>
      </c>
      <c r="D1794" s="51">
        <v>-5471</v>
      </c>
      <c r="E1794" s="51">
        <v>0</v>
      </c>
      <c r="F1794" s="51">
        <v>0</v>
      </c>
      <c r="G1794" s="51">
        <v>0</v>
      </c>
      <c r="H1794" s="51">
        <v>417738</v>
      </c>
      <c r="I1794" s="51">
        <v>-417738</v>
      </c>
      <c r="J1794" s="51">
        <v>0</v>
      </c>
      <c r="K1794" s="51">
        <v>23534</v>
      </c>
      <c r="L1794" s="51">
        <v>-23534</v>
      </c>
      <c r="M1794" s="51">
        <v>0</v>
      </c>
      <c r="N1794" s="51">
        <v>0</v>
      </c>
    </row>
    <row r="1795" spans="1:14" outlineLevel="2" x14ac:dyDescent="0.35">
      <c r="A1795" s="53" t="s">
        <v>228</v>
      </c>
      <c r="B1795" s="66" t="s">
        <v>191</v>
      </c>
      <c r="C1795" s="51">
        <v>475777</v>
      </c>
      <c r="D1795" s="51">
        <v>-37935</v>
      </c>
      <c r="E1795" s="51">
        <v>0</v>
      </c>
      <c r="F1795" s="51">
        <v>0</v>
      </c>
      <c r="G1795" s="51">
        <v>0</v>
      </c>
      <c r="H1795" s="51">
        <v>437842</v>
      </c>
      <c r="I1795" s="51">
        <v>-437842</v>
      </c>
      <c r="J1795" s="51">
        <v>0</v>
      </c>
      <c r="K1795" s="51">
        <v>48509</v>
      </c>
      <c r="L1795" s="51">
        <v>-48509</v>
      </c>
      <c r="M1795" s="51">
        <v>0</v>
      </c>
      <c r="N1795" s="51">
        <v>0</v>
      </c>
    </row>
    <row r="1796" spans="1:14" outlineLevel="1" x14ac:dyDescent="0.35">
      <c r="A1796" s="53" t="s">
        <v>228</v>
      </c>
      <c r="B1796" s="66" t="s">
        <v>190</v>
      </c>
      <c r="C1796" s="51">
        <v>480898</v>
      </c>
      <c r="D1796" s="51">
        <v>-53444</v>
      </c>
      <c r="E1796" s="51">
        <v>0</v>
      </c>
      <c r="F1796" s="51">
        <v>0</v>
      </c>
      <c r="G1796" s="51">
        <v>0</v>
      </c>
      <c r="H1796" s="51">
        <v>427454</v>
      </c>
      <c r="I1796" s="51">
        <v>-427454</v>
      </c>
      <c r="J1796" s="51">
        <v>0</v>
      </c>
      <c r="K1796" s="51">
        <v>22731</v>
      </c>
      <c r="L1796" s="51">
        <v>-22731</v>
      </c>
      <c r="M1796" s="51">
        <v>0</v>
      </c>
      <c r="N1796" s="51">
        <v>0</v>
      </c>
    </row>
    <row r="1797" spans="1:14" outlineLevel="2" x14ac:dyDescent="0.35">
      <c r="A1797" s="53" t="s">
        <v>228</v>
      </c>
      <c r="B1797" s="66" t="s">
        <v>189</v>
      </c>
      <c r="C1797" s="51">
        <v>512004</v>
      </c>
      <c r="D1797" s="51">
        <v>-78175</v>
      </c>
      <c r="E1797" s="51">
        <v>0</v>
      </c>
      <c r="F1797" s="51">
        <v>0</v>
      </c>
      <c r="G1797" s="51">
        <v>0</v>
      </c>
      <c r="H1797" s="51">
        <v>433829</v>
      </c>
      <c r="I1797" s="51">
        <v>-433829</v>
      </c>
      <c r="J1797" s="51">
        <v>0</v>
      </c>
      <c r="K1797" s="51">
        <v>30507</v>
      </c>
      <c r="L1797" s="51">
        <v>-30507</v>
      </c>
      <c r="M1797" s="51">
        <v>0</v>
      </c>
      <c r="N1797" s="51">
        <v>0</v>
      </c>
    </row>
    <row r="1798" spans="1:14" outlineLevel="2" x14ac:dyDescent="0.35">
      <c r="A1798" s="53" t="s">
        <v>228</v>
      </c>
      <c r="B1798" s="66" t="s">
        <v>188</v>
      </c>
      <c r="C1798" s="51">
        <v>500793</v>
      </c>
      <c r="D1798" s="51">
        <v>-40890</v>
      </c>
      <c r="E1798" s="51">
        <v>0</v>
      </c>
      <c r="F1798" s="51">
        <v>0</v>
      </c>
      <c r="G1798" s="51">
        <v>0</v>
      </c>
      <c r="H1798" s="51">
        <v>459903</v>
      </c>
      <c r="I1798" s="51">
        <v>-459903</v>
      </c>
      <c r="J1798" s="51">
        <v>0</v>
      </c>
      <c r="K1798" s="51">
        <v>23183</v>
      </c>
      <c r="L1798" s="51">
        <v>-23183</v>
      </c>
      <c r="M1798" s="51">
        <v>0</v>
      </c>
      <c r="N1798" s="51">
        <v>0</v>
      </c>
    </row>
    <row r="1799" spans="1:14" outlineLevel="2" x14ac:dyDescent="0.35">
      <c r="A1799" s="53" t="s">
        <v>228</v>
      </c>
      <c r="B1799" s="66" t="s">
        <v>186</v>
      </c>
      <c r="C1799" s="51">
        <v>411584</v>
      </c>
      <c r="D1799" s="51">
        <v>-45587</v>
      </c>
      <c r="E1799" s="51">
        <v>0</v>
      </c>
      <c r="F1799" s="51">
        <v>0</v>
      </c>
      <c r="G1799" s="51">
        <v>0</v>
      </c>
      <c r="H1799" s="51">
        <v>365997</v>
      </c>
      <c r="I1799" s="51">
        <v>-365997</v>
      </c>
      <c r="J1799" s="51">
        <v>0</v>
      </c>
      <c r="K1799" s="51">
        <v>20643</v>
      </c>
      <c r="L1799" s="51">
        <v>-20643</v>
      </c>
      <c r="M1799" s="51">
        <v>0</v>
      </c>
      <c r="N1799" s="51">
        <v>0</v>
      </c>
    </row>
    <row r="1800" spans="1:14" outlineLevel="2" x14ac:dyDescent="0.35">
      <c r="A1800" s="53" t="s">
        <v>228</v>
      </c>
      <c r="B1800" s="66" t="s">
        <v>227</v>
      </c>
      <c r="C1800" s="51">
        <v>199482</v>
      </c>
      <c r="D1800" s="51">
        <v>-34006</v>
      </c>
      <c r="E1800" s="51">
        <v>0</v>
      </c>
      <c r="F1800" s="51">
        <v>0</v>
      </c>
      <c r="G1800" s="51">
        <v>0</v>
      </c>
      <c r="H1800" s="51">
        <v>165476</v>
      </c>
      <c r="I1800" s="51">
        <v>-165476</v>
      </c>
      <c r="J1800" s="51">
        <v>0</v>
      </c>
      <c r="K1800" s="51">
        <v>12308</v>
      </c>
      <c r="L1800" s="51">
        <v>-12308</v>
      </c>
      <c r="M1800" s="51">
        <v>0</v>
      </c>
      <c r="N1800" s="51">
        <v>0</v>
      </c>
    </row>
    <row r="1801" spans="1:14" ht="16" outlineLevel="1" thickBot="1" x14ac:dyDescent="0.4">
      <c r="A1801" s="50" t="s">
        <v>53</v>
      </c>
      <c r="B1801" s="67" t="s">
        <v>12</v>
      </c>
      <c r="C1801" s="48">
        <f>SUBTOTAL(109,Program120[(C)
Program
Costs])</f>
        <v>8168207</v>
      </c>
      <c r="D1801" s="48">
        <f>SUBTOTAL(109,Program120[(D)
Prior Period Adjustments])</f>
        <v>-378034</v>
      </c>
      <c r="E1801" s="48">
        <f>SUBTOTAL(109,Program120[(E)
Current Period Desk 
Reviews])</f>
        <v>0</v>
      </c>
      <c r="F1801" s="48">
        <f>SUBTOTAL(109,Program120[(F)
Current Period 
Final 
Audits])</f>
        <v>0</v>
      </c>
      <c r="G1801" s="48">
        <f>SUBTOTAL(109,Program120[(G)
Current Period 
Other Adjustments])</f>
        <v>0</v>
      </c>
      <c r="H1801" s="48">
        <f>SUBTOTAL(109,Program120[(H)
Net Program Costs
Sum (C through G)])</f>
        <v>7790173</v>
      </c>
      <c r="I1801" s="48">
        <f>SUBTOTAL(109,Program120[(I)
Payments
 and Offsets])</f>
        <v>-6673333</v>
      </c>
      <c r="J1801" s="48">
        <f>SUBTOTAL(109,Program120[(J)
Accounts Payable Balance
(H + I)])</f>
        <v>1116840</v>
      </c>
      <c r="K1801" s="48">
        <f>SUBTOTAL(109,Program120[(K)
Established 
Accounts Receivable])</f>
        <v>521882</v>
      </c>
      <c r="L1801" s="48">
        <f>SUBTOTAL(109,Program120[(L)
Recovered
 Accounts Receivable])</f>
        <v>-521882</v>
      </c>
      <c r="M1801" s="48">
        <f>SUBTOTAL(109,Program120[(M)
Accounts Receivable Balance
(K + L)])</f>
        <v>0</v>
      </c>
      <c r="N1801" s="48">
        <f>SUBTOTAL(109,Program120[(N)
Net Balance
(J minus M)])</f>
        <v>1116840</v>
      </c>
    </row>
    <row r="1802" spans="1:14" outlineLevel="1" x14ac:dyDescent="0.35">
      <c r="A1802" s="63" t="s">
        <v>33</v>
      </c>
      <c r="B1802" s="62"/>
      <c r="C1802" s="61"/>
      <c r="D1802" s="61"/>
      <c r="E1802" s="61"/>
      <c r="F1802" s="61"/>
      <c r="G1802" s="61"/>
      <c r="H1802" s="61"/>
      <c r="I1802" s="61"/>
      <c r="J1802" s="61"/>
      <c r="K1802" s="61"/>
      <c r="L1802" s="61"/>
      <c r="M1802" s="61"/>
      <c r="N1802" s="61"/>
    </row>
    <row r="1803" spans="1:14" ht="77.5" x14ac:dyDescent="0.35">
      <c r="A1803" s="60" t="s">
        <v>185</v>
      </c>
      <c r="B1803" s="59" t="s">
        <v>184</v>
      </c>
      <c r="C1803" s="58" t="s">
        <v>183</v>
      </c>
      <c r="D1803" s="58" t="s">
        <v>182</v>
      </c>
      <c r="E1803" s="56" t="s">
        <v>181</v>
      </c>
      <c r="F1803" s="56" t="s">
        <v>180</v>
      </c>
      <c r="G1803" s="56" t="s">
        <v>179</v>
      </c>
      <c r="H1803" s="57" t="s">
        <v>674</v>
      </c>
      <c r="I1803" s="55" t="s">
        <v>178</v>
      </c>
      <c r="J1803" s="55" t="s">
        <v>177</v>
      </c>
      <c r="K1803" s="56" t="s">
        <v>176</v>
      </c>
      <c r="L1803" s="55" t="s">
        <v>175</v>
      </c>
      <c r="M1803" s="55" t="s">
        <v>174</v>
      </c>
      <c r="N1803" s="54" t="s">
        <v>173</v>
      </c>
    </row>
    <row r="1804" spans="1:14" ht="31" x14ac:dyDescent="0.35">
      <c r="A1804" s="70" t="s">
        <v>224</v>
      </c>
      <c r="B1804" s="69" t="s">
        <v>194</v>
      </c>
      <c r="C1804" s="68">
        <v>1257564</v>
      </c>
      <c r="D1804" s="68">
        <v>-3821</v>
      </c>
      <c r="E1804" s="68">
        <v>0</v>
      </c>
      <c r="F1804" s="68">
        <v>0</v>
      </c>
      <c r="G1804" s="68">
        <v>0</v>
      </c>
      <c r="H1804" s="68">
        <v>1253743</v>
      </c>
      <c r="I1804" s="68">
        <v>-1253743</v>
      </c>
      <c r="J1804" s="68">
        <v>0</v>
      </c>
      <c r="K1804" s="68">
        <v>0</v>
      </c>
      <c r="L1804" s="68">
        <v>0</v>
      </c>
      <c r="M1804" s="68">
        <v>0</v>
      </c>
      <c r="N1804" s="68">
        <v>0</v>
      </c>
    </row>
    <row r="1805" spans="1:14" ht="31" outlineLevel="1" x14ac:dyDescent="0.35">
      <c r="A1805" s="70" t="s">
        <v>224</v>
      </c>
      <c r="B1805" s="69" t="s">
        <v>193</v>
      </c>
      <c r="C1805" s="68">
        <v>701796</v>
      </c>
      <c r="D1805" s="68">
        <v>-43892</v>
      </c>
      <c r="E1805" s="68">
        <v>0</v>
      </c>
      <c r="F1805" s="68">
        <v>0</v>
      </c>
      <c r="G1805" s="68">
        <v>0</v>
      </c>
      <c r="H1805" s="68">
        <v>657904</v>
      </c>
      <c r="I1805" s="68">
        <v>-657904</v>
      </c>
      <c r="J1805" s="68">
        <v>0</v>
      </c>
      <c r="K1805" s="68">
        <v>0</v>
      </c>
      <c r="L1805" s="68">
        <v>0</v>
      </c>
      <c r="M1805" s="68">
        <v>0</v>
      </c>
      <c r="N1805" s="68">
        <v>0</v>
      </c>
    </row>
    <row r="1806" spans="1:14" ht="31" x14ac:dyDescent="0.35">
      <c r="A1806" s="70" t="s">
        <v>224</v>
      </c>
      <c r="B1806" s="69" t="s">
        <v>188</v>
      </c>
      <c r="C1806" s="68">
        <v>1091302</v>
      </c>
      <c r="D1806" s="68">
        <v>-149581</v>
      </c>
      <c r="E1806" s="68">
        <v>0</v>
      </c>
      <c r="F1806" s="68">
        <v>0</v>
      </c>
      <c r="G1806" s="68">
        <v>0</v>
      </c>
      <c r="H1806" s="68">
        <v>941721</v>
      </c>
      <c r="I1806" s="68">
        <v>-941721</v>
      </c>
      <c r="J1806" s="68">
        <v>0</v>
      </c>
      <c r="K1806" s="68">
        <v>0</v>
      </c>
      <c r="L1806" s="68">
        <v>0</v>
      </c>
      <c r="M1806" s="68">
        <v>0</v>
      </c>
      <c r="N1806" s="68">
        <v>0</v>
      </c>
    </row>
    <row r="1807" spans="1:14" ht="31" x14ac:dyDescent="0.35">
      <c r="A1807" s="70" t="s">
        <v>224</v>
      </c>
      <c r="B1807" s="69" t="s">
        <v>186</v>
      </c>
      <c r="C1807" s="68">
        <v>7811783</v>
      </c>
      <c r="D1807" s="68">
        <v>-462684</v>
      </c>
      <c r="E1807" s="68">
        <v>0</v>
      </c>
      <c r="F1807" s="68">
        <v>0</v>
      </c>
      <c r="G1807" s="68">
        <v>0</v>
      </c>
      <c r="H1807" s="68">
        <v>7349099</v>
      </c>
      <c r="I1807" s="68">
        <v>-7349099</v>
      </c>
      <c r="J1807" s="68">
        <v>0</v>
      </c>
      <c r="K1807" s="68">
        <v>293279</v>
      </c>
      <c r="L1807" s="68">
        <v>-284557</v>
      </c>
      <c r="M1807" s="68">
        <v>8722</v>
      </c>
      <c r="N1807" s="68">
        <v>-8722</v>
      </c>
    </row>
    <row r="1808" spans="1:14" ht="31" x14ac:dyDescent="0.35">
      <c r="A1808" s="70" t="s">
        <v>224</v>
      </c>
      <c r="B1808" s="69" t="s">
        <v>227</v>
      </c>
      <c r="C1808" s="68">
        <v>0</v>
      </c>
      <c r="D1808" s="68">
        <v>10436</v>
      </c>
      <c r="E1808" s="68">
        <v>0</v>
      </c>
      <c r="F1808" s="68">
        <v>0</v>
      </c>
      <c r="G1808" s="68">
        <v>0</v>
      </c>
      <c r="H1808" s="68">
        <v>10436</v>
      </c>
      <c r="I1808" s="68">
        <v>-10436</v>
      </c>
      <c r="J1808" s="68">
        <v>0</v>
      </c>
      <c r="K1808" s="68">
        <v>692241</v>
      </c>
      <c r="L1808" s="68">
        <v>-692241</v>
      </c>
      <c r="M1808" s="68">
        <v>0</v>
      </c>
      <c r="N1808" s="68">
        <v>0</v>
      </c>
    </row>
    <row r="1809" spans="1:14" ht="31" x14ac:dyDescent="0.35">
      <c r="A1809" s="70" t="s">
        <v>224</v>
      </c>
      <c r="B1809" s="69" t="s">
        <v>226</v>
      </c>
      <c r="C1809" s="68">
        <v>0</v>
      </c>
      <c r="D1809" s="68">
        <v>10998</v>
      </c>
      <c r="E1809" s="68">
        <v>0</v>
      </c>
      <c r="F1809" s="68">
        <v>0</v>
      </c>
      <c r="G1809" s="68">
        <v>0</v>
      </c>
      <c r="H1809" s="68">
        <v>10998</v>
      </c>
      <c r="I1809" s="68">
        <v>-10998</v>
      </c>
      <c r="J1809" s="68">
        <v>0</v>
      </c>
      <c r="K1809" s="68">
        <v>43996</v>
      </c>
      <c r="L1809" s="68">
        <v>-43996</v>
      </c>
      <c r="M1809" s="68">
        <v>0</v>
      </c>
      <c r="N1809" s="68">
        <v>0</v>
      </c>
    </row>
    <row r="1810" spans="1:14" ht="31" outlineLevel="1" x14ac:dyDescent="0.35">
      <c r="A1810" s="70" t="s">
        <v>224</v>
      </c>
      <c r="B1810" s="69" t="s">
        <v>225</v>
      </c>
      <c r="C1810" s="68">
        <v>0</v>
      </c>
      <c r="D1810" s="68">
        <v>0</v>
      </c>
      <c r="E1810" s="68">
        <v>0</v>
      </c>
      <c r="F1810" s="68">
        <v>0</v>
      </c>
      <c r="G1810" s="68">
        <v>0</v>
      </c>
      <c r="H1810" s="68">
        <v>0</v>
      </c>
      <c r="I1810" s="68">
        <v>0</v>
      </c>
      <c r="J1810" s="68">
        <v>0</v>
      </c>
      <c r="K1810" s="68">
        <v>15839</v>
      </c>
      <c r="L1810" s="68">
        <v>-15839</v>
      </c>
      <c r="M1810" s="68">
        <v>0</v>
      </c>
      <c r="N1810" s="68">
        <v>0</v>
      </c>
    </row>
    <row r="1811" spans="1:14" ht="31" x14ac:dyDescent="0.35">
      <c r="A1811" s="70" t="s">
        <v>224</v>
      </c>
      <c r="B1811" s="69" t="s">
        <v>223</v>
      </c>
      <c r="C1811" s="68">
        <v>0</v>
      </c>
      <c r="D1811" s="68">
        <v>0</v>
      </c>
      <c r="E1811" s="68">
        <v>0</v>
      </c>
      <c r="F1811" s="68">
        <v>0</v>
      </c>
      <c r="G1811" s="68">
        <v>0</v>
      </c>
      <c r="H1811" s="68">
        <v>0</v>
      </c>
      <c r="I1811" s="68">
        <v>0</v>
      </c>
      <c r="J1811" s="68">
        <v>0</v>
      </c>
      <c r="K1811" s="68">
        <v>670</v>
      </c>
      <c r="L1811" s="68">
        <v>-670</v>
      </c>
      <c r="M1811" s="68">
        <v>0</v>
      </c>
      <c r="N1811" s="68">
        <v>0</v>
      </c>
    </row>
    <row r="1812" spans="1:14" ht="16" thickBot="1" x14ac:dyDescent="0.4">
      <c r="A1812" s="50" t="s">
        <v>52</v>
      </c>
      <c r="B1812" s="67" t="s">
        <v>12</v>
      </c>
      <c r="C1812" s="48">
        <f>SUBTOTAL(109,Program64[(C)
Program
Costs])</f>
        <v>10862445</v>
      </c>
      <c r="D1812" s="48">
        <f>SUBTOTAL(109,Program64[(D)
Prior Period Adjustments])</f>
        <v>-638544</v>
      </c>
      <c r="E1812" s="48">
        <f>SUBTOTAL(109,Program64[(E)
Current Period Desk 
Reviews])</f>
        <v>0</v>
      </c>
      <c r="F1812" s="48">
        <f>SUBTOTAL(109,Program64[(F)
Current Period 
Final 
Audits])</f>
        <v>0</v>
      </c>
      <c r="G1812" s="48">
        <f>SUBTOTAL(109,Program64[(G)
Current Period 
Other Adjustments])</f>
        <v>0</v>
      </c>
      <c r="H1812" s="48">
        <f>SUBTOTAL(109,Program64[(H)
Net Program Costs
Sum (C through G)])</f>
        <v>10223901</v>
      </c>
      <c r="I1812" s="48">
        <f>SUBTOTAL(109,Program64[(I)
Payments
 and Offsets])</f>
        <v>-10223901</v>
      </c>
      <c r="J1812" s="48">
        <f>SUBTOTAL(109,Program64[(J)
Accounts Payable Balance
(H + I)])</f>
        <v>0</v>
      </c>
      <c r="K1812" s="48">
        <f>SUBTOTAL(109,Program64[(K)
Established 
Accounts Receivable])</f>
        <v>1046025</v>
      </c>
      <c r="L1812" s="48">
        <f>SUBTOTAL(109,Program64[(L)
Recovered
 Accounts Receivable])</f>
        <v>-1037303</v>
      </c>
      <c r="M1812" s="48">
        <f>SUBTOTAL(109,Program64[(M)
Accounts Receivable Balance
(K + L)])</f>
        <v>8722</v>
      </c>
      <c r="N1812" s="48">
        <f>SUBTOTAL(109,Program64[(N)
Net Balance
(J minus M)])</f>
        <v>-8722</v>
      </c>
    </row>
    <row r="1813" spans="1:14" x14ac:dyDescent="0.35">
      <c r="A1813" s="63" t="s">
        <v>33</v>
      </c>
      <c r="B1813" s="62"/>
      <c r="C1813" s="61"/>
      <c r="D1813" s="61"/>
      <c r="E1813" s="61"/>
      <c r="F1813" s="61"/>
      <c r="G1813" s="61"/>
      <c r="H1813" s="61"/>
      <c r="I1813" s="61"/>
      <c r="J1813" s="61"/>
      <c r="K1813" s="61"/>
      <c r="L1813" s="61"/>
      <c r="M1813" s="61"/>
      <c r="N1813" s="61"/>
    </row>
    <row r="1814" spans="1:14" ht="77.5" x14ac:dyDescent="0.35">
      <c r="A1814" s="60" t="s">
        <v>185</v>
      </c>
      <c r="B1814" s="59" t="s">
        <v>184</v>
      </c>
      <c r="C1814" s="58" t="s">
        <v>183</v>
      </c>
      <c r="D1814" s="58" t="s">
        <v>182</v>
      </c>
      <c r="E1814" s="56" t="s">
        <v>181</v>
      </c>
      <c r="F1814" s="56" t="s">
        <v>180</v>
      </c>
      <c r="G1814" s="56" t="s">
        <v>179</v>
      </c>
      <c r="H1814" s="57" t="s">
        <v>674</v>
      </c>
      <c r="I1814" s="55" t="s">
        <v>178</v>
      </c>
      <c r="J1814" s="55" t="s">
        <v>177</v>
      </c>
      <c r="K1814" s="56" t="s">
        <v>176</v>
      </c>
      <c r="L1814" s="55" t="s">
        <v>175</v>
      </c>
      <c r="M1814" s="55" t="s">
        <v>174</v>
      </c>
      <c r="N1814" s="54" t="s">
        <v>173</v>
      </c>
    </row>
    <row r="1815" spans="1:14" x14ac:dyDescent="0.35">
      <c r="A1815" s="53" t="s">
        <v>222</v>
      </c>
      <c r="B1815" s="66" t="s">
        <v>188</v>
      </c>
      <c r="C1815" s="51">
        <v>2136</v>
      </c>
      <c r="D1815" s="51">
        <v>0</v>
      </c>
      <c r="E1815" s="51">
        <v>0</v>
      </c>
      <c r="F1815" s="51">
        <v>0</v>
      </c>
      <c r="G1815" s="51">
        <v>0</v>
      </c>
      <c r="H1815" s="51">
        <v>2136</v>
      </c>
      <c r="I1815" s="51">
        <v>-2136</v>
      </c>
      <c r="J1815" s="51">
        <v>0</v>
      </c>
      <c r="K1815" s="51">
        <v>0</v>
      </c>
      <c r="L1815" s="51">
        <v>0</v>
      </c>
      <c r="M1815" s="51">
        <v>0</v>
      </c>
      <c r="N1815" s="51">
        <v>0</v>
      </c>
    </row>
    <row r="1816" spans="1:14" x14ac:dyDescent="0.35">
      <c r="A1816" s="53" t="s">
        <v>222</v>
      </c>
      <c r="B1816" s="66" t="s">
        <v>186</v>
      </c>
      <c r="C1816" s="51">
        <v>18119</v>
      </c>
      <c r="D1816" s="51">
        <v>0</v>
      </c>
      <c r="E1816" s="51">
        <v>0</v>
      </c>
      <c r="F1816" s="51">
        <v>0</v>
      </c>
      <c r="G1816" s="51">
        <v>0</v>
      </c>
      <c r="H1816" s="51">
        <v>18119</v>
      </c>
      <c r="I1816" s="51">
        <v>-18119</v>
      </c>
      <c r="J1816" s="51">
        <v>0</v>
      </c>
      <c r="K1816" s="51">
        <v>0</v>
      </c>
      <c r="L1816" s="51">
        <v>0</v>
      </c>
      <c r="M1816" s="51">
        <v>0</v>
      </c>
      <c r="N1816" s="51">
        <v>0</v>
      </c>
    </row>
    <row r="1817" spans="1:14" ht="16" thickBot="1" x14ac:dyDescent="0.4">
      <c r="A1817" s="50" t="s">
        <v>51</v>
      </c>
      <c r="B1817" s="67" t="s">
        <v>12</v>
      </c>
      <c r="C1817" s="48">
        <f>SUBTOTAL(109,Program65[(C)
Program
Costs])</f>
        <v>20255</v>
      </c>
      <c r="D1817" s="48">
        <f>SUBTOTAL(109,Program65[(D)
Prior Period Adjustments])</f>
        <v>0</v>
      </c>
      <c r="E1817" s="48">
        <f>SUBTOTAL(109,Program65[(E)
Current Period Desk 
Reviews])</f>
        <v>0</v>
      </c>
      <c r="F1817" s="48">
        <f>SUBTOTAL(109,Program65[(F)
Current Period 
Final 
Audits])</f>
        <v>0</v>
      </c>
      <c r="G1817" s="48">
        <f>SUBTOTAL(109,Program65[(G)
Current Period 
Other Adjustments])</f>
        <v>0</v>
      </c>
      <c r="H1817" s="48">
        <f>SUBTOTAL(109,Program65[(H)
Net Program Costs
Sum (C through G)])</f>
        <v>20255</v>
      </c>
      <c r="I1817" s="48">
        <f>SUBTOTAL(109,Program65[(I)
Payments
 and Offsets])</f>
        <v>-20255</v>
      </c>
      <c r="J1817" s="48">
        <f>SUBTOTAL(109,Program65[(J)
Accounts Payable Balance
(H + I)])</f>
        <v>0</v>
      </c>
      <c r="K1817" s="48">
        <f>SUBTOTAL(109,Program65[(K)
Established 
Accounts Receivable])</f>
        <v>0</v>
      </c>
      <c r="L1817" s="48">
        <f>SUBTOTAL(109,Program65[(L)
Recovered
 Accounts Receivable])</f>
        <v>0</v>
      </c>
      <c r="M1817" s="48">
        <f>SUBTOTAL(109,Program65[(M)
Accounts Receivable Balance
(K + L)])</f>
        <v>0</v>
      </c>
      <c r="N1817" s="48">
        <f>SUBTOTAL(109,Program65[(N)
Net Balance
(J minus M)])</f>
        <v>0</v>
      </c>
    </row>
    <row r="1818" spans="1:14" x14ac:dyDescent="0.35">
      <c r="A1818" s="63" t="s">
        <v>33</v>
      </c>
      <c r="B1818" s="62"/>
      <c r="C1818" s="61"/>
      <c r="D1818" s="61"/>
      <c r="E1818" s="61"/>
      <c r="F1818" s="61"/>
      <c r="G1818" s="61"/>
      <c r="H1818" s="61"/>
      <c r="I1818" s="61"/>
      <c r="J1818" s="61"/>
      <c r="K1818" s="61"/>
      <c r="L1818" s="61"/>
      <c r="M1818" s="61"/>
      <c r="N1818" s="61"/>
    </row>
    <row r="1819" spans="1:14" ht="77.5" x14ac:dyDescent="0.35">
      <c r="A1819" s="60" t="s">
        <v>185</v>
      </c>
      <c r="B1819" s="59" t="s">
        <v>184</v>
      </c>
      <c r="C1819" s="58" t="s">
        <v>183</v>
      </c>
      <c r="D1819" s="58" t="s">
        <v>182</v>
      </c>
      <c r="E1819" s="56" t="s">
        <v>181</v>
      </c>
      <c r="F1819" s="56" t="s">
        <v>180</v>
      </c>
      <c r="G1819" s="56" t="s">
        <v>179</v>
      </c>
      <c r="H1819" s="57" t="s">
        <v>674</v>
      </c>
      <c r="I1819" s="55" t="s">
        <v>178</v>
      </c>
      <c r="J1819" s="55" t="s">
        <v>177</v>
      </c>
      <c r="K1819" s="56" t="s">
        <v>176</v>
      </c>
      <c r="L1819" s="55" t="s">
        <v>175</v>
      </c>
      <c r="M1819" s="55" t="s">
        <v>174</v>
      </c>
      <c r="N1819" s="54" t="s">
        <v>173</v>
      </c>
    </row>
    <row r="1820" spans="1:14" x14ac:dyDescent="0.35">
      <c r="A1820" s="53" t="s">
        <v>221</v>
      </c>
      <c r="B1820" s="66" t="s">
        <v>215</v>
      </c>
      <c r="C1820" s="51">
        <v>12770</v>
      </c>
      <c r="D1820" s="51">
        <v>0</v>
      </c>
      <c r="E1820" s="51">
        <v>0</v>
      </c>
      <c r="F1820" s="51">
        <v>0</v>
      </c>
      <c r="G1820" s="51">
        <v>0</v>
      </c>
      <c r="H1820" s="51">
        <v>12770</v>
      </c>
      <c r="I1820" s="51">
        <v>0</v>
      </c>
      <c r="J1820" s="51">
        <v>12770</v>
      </c>
      <c r="K1820" s="51">
        <v>0</v>
      </c>
      <c r="L1820" s="51">
        <v>0</v>
      </c>
      <c r="M1820" s="51">
        <v>0</v>
      </c>
      <c r="N1820" s="51">
        <v>12770</v>
      </c>
    </row>
    <row r="1821" spans="1:14" x14ac:dyDescent="0.35">
      <c r="A1821" s="53" t="s">
        <v>221</v>
      </c>
      <c r="B1821" s="66" t="s">
        <v>214</v>
      </c>
      <c r="C1821" s="51">
        <v>55019</v>
      </c>
      <c r="D1821" s="51">
        <v>0</v>
      </c>
      <c r="E1821" s="51">
        <v>0</v>
      </c>
      <c r="F1821" s="51">
        <v>0</v>
      </c>
      <c r="G1821" s="51">
        <v>0</v>
      </c>
      <c r="H1821" s="51">
        <v>55019</v>
      </c>
      <c r="I1821" s="51">
        <v>0</v>
      </c>
      <c r="J1821" s="51">
        <v>55019</v>
      </c>
      <c r="K1821" s="51">
        <v>0</v>
      </c>
      <c r="L1821" s="51">
        <v>0</v>
      </c>
      <c r="M1821" s="51">
        <v>0</v>
      </c>
      <c r="N1821" s="51">
        <v>55019</v>
      </c>
    </row>
    <row r="1822" spans="1:14" x14ac:dyDescent="0.35">
      <c r="A1822" s="53" t="s">
        <v>221</v>
      </c>
      <c r="B1822" s="66" t="s">
        <v>219</v>
      </c>
      <c r="C1822" s="51">
        <v>1354</v>
      </c>
      <c r="D1822" s="51">
        <v>0</v>
      </c>
      <c r="E1822" s="51">
        <v>0</v>
      </c>
      <c r="F1822" s="51">
        <v>0</v>
      </c>
      <c r="G1822" s="51">
        <v>0</v>
      </c>
      <c r="H1822" s="51">
        <v>1354</v>
      </c>
      <c r="I1822" s="51">
        <v>-1354</v>
      </c>
      <c r="J1822" s="51">
        <v>0</v>
      </c>
      <c r="K1822" s="51">
        <v>0</v>
      </c>
      <c r="L1822" s="51">
        <v>0</v>
      </c>
      <c r="M1822" s="51">
        <v>0</v>
      </c>
      <c r="N1822" s="51">
        <v>0</v>
      </c>
    </row>
    <row r="1823" spans="1:14" outlineLevel="1" x14ac:dyDescent="0.35">
      <c r="A1823" s="53" t="s">
        <v>221</v>
      </c>
      <c r="B1823" s="66" t="s">
        <v>218</v>
      </c>
      <c r="C1823" s="51">
        <v>58907</v>
      </c>
      <c r="D1823" s="51">
        <v>-58907</v>
      </c>
      <c r="E1823" s="51">
        <v>0</v>
      </c>
      <c r="F1823" s="51">
        <v>0</v>
      </c>
      <c r="G1823" s="51">
        <v>0</v>
      </c>
      <c r="H1823" s="51">
        <v>0</v>
      </c>
      <c r="I1823" s="51">
        <v>0</v>
      </c>
      <c r="J1823" s="51">
        <v>0</v>
      </c>
      <c r="K1823" s="51">
        <v>0</v>
      </c>
      <c r="L1823" s="51">
        <v>0</v>
      </c>
      <c r="M1823" s="51">
        <v>0</v>
      </c>
      <c r="N1823" s="51">
        <v>0</v>
      </c>
    </row>
    <row r="1824" spans="1:14" x14ac:dyDescent="0.35">
      <c r="A1824" s="53" t="s">
        <v>221</v>
      </c>
      <c r="B1824" s="66" t="s">
        <v>209</v>
      </c>
      <c r="C1824" s="51">
        <v>210066</v>
      </c>
      <c r="D1824" s="51">
        <v>-6001</v>
      </c>
      <c r="E1824" s="51">
        <v>0</v>
      </c>
      <c r="F1824" s="51">
        <v>0</v>
      </c>
      <c r="G1824" s="51">
        <v>0</v>
      </c>
      <c r="H1824" s="51">
        <v>204065</v>
      </c>
      <c r="I1824" s="51">
        <v>-204065</v>
      </c>
      <c r="J1824" s="51">
        <v>0</v>
      </c>
      <c r="K1824" s="51">
        <v>0</v>
      </c>
      <c r="L1824" s="51">
        <v>0</v>
      </c>
      <c r="M1824" s="51">
        <v>0</v>
      </c>
      <c r="N1824" s="51">
        <v>0</v>
      </c>
    </row>
    <row r="1825" spans="1:14" x14ac:dyDescent="0.35">
      <c r="A1825" s="53" t="s">
        <v>221</v>
      </c>
      <c r="B1825" s="66" t="s">
        <v>206</v>
      </c>
      <c r="C1825" s="51">
        <v>2786</v>
      </c>
      <c r="D1825" s="51">
        <v>0</v>
      </c>
      <c r="E1825" s="51">
        <v>0</v>
      </c>
      <c r="F1825" s="51">
        <v>0</v>
      </c>
      <c r="G1825" s="51">
        <v>0</v>
      </c>
      <c r="H1825" s="51">
        <v>2786</v>
      </c>
      <c r="I1825" s="51">
        <v>-2786</v>
      </c>
      <c r="J1825" s="51">
        <v>0</v>
      </c>
      <c r="K1825" s="51">
        <v>0</v>
      </c>
      <c r="L1825" s="51">
        <v>0</v>
      </c>
      <c r="M1825" s="51">
        <v>0</v>
      </c>
      <c r="N1825" s="51">
        <v>0</v>
      </c>
    </row>
    <row r="1826" spans="1:14" x14ac:dyDescent="0.35">
      <c r="A1826" s="53" t="s">
        <v>221</v>
      </c>
      <c r="B1826" s="66" t="s">
        <v>205</v>
      </c>
      <c r="C1826" s="51">
        <v>25437</v>
      </c>
      <c r="D1826" s="51">
        <v>0</v>
      </c>
      <c r="E1826" s="51">
        <v>0</v>
      </c>
      <c r="F1826" s="51">
        <v>0</v>
      </c>
      <c r="G1826" s="51">
        <v>0</v>
      </c>
      <c r="H1826" s="51">
        <v>25437</v>
      </c>
      <c r="I1826" s="51">
        <v>-25437</v>
      </c>
      <c r="J1826" s="51">
        <v>0</v>
      </c>
      <c r="K1826" s="51">
        <v>0</v>
      </c>
      <c r="L1826" s="51">
        <v>0</v>
      </c>
      <c r="M1826" s="51">
        <v>0</v>
      </c>
      <c r="N1826" s="51">
        <v>0</v>
      </c>
    </row>
    <row r="1827" spans="1:14" x14ac:dyDescent="0.35">
      <c r="A1827" s="53" t="s">
        <v>221</v>
      </c>
      <c r="B1827" s="66" t="s">
        <v>204</v>
      </c>
      <c r="C1827" s="51">
        <v>35050</v>
      </c>
      <c r="D1827" s="51">
        <v>0</v>
      </c>
      <c r="E1827" s="51">
        <v>0</v>
      </c>
      <c r="F1827" s="51">
        <v>0</v>
      </c>
      <c r="G1827" s="51">
        <v>0</v>
      </c>
      <c r="H1827" s="51">
        <v>35050</v>
      </c>
      <c r="I1827" s="51">
        <v>-35050</v>
      </c>
      <c r="J1827" s="51">
        <v>0</v>
      </c>
      <c r="K1827" s="51">
        <v>0</v>
      </c>
      <c r="L1827" s="51">
        <v>0</v>
      </c>
      <c r="M1827" s="51">
        <v>0</v>
      </c>
      <c r="N1827" s="51">
        <v>0</v>
      </c>
    </row>
    <row r="1828" spans="1:14" x14ac:dyDescent="0.35">
      <c r="A1828" s="53" t="s">
        <v>221</v>
      </c>
      <c r="B1828" s="66" t="s">
        <v>203</v>
      </c>
      <c r="C1828" s="51">
        <v>141972</v>
      </c>
      <c r="D1828" s="51">
        <v>-355</v>
      </c>
      <c r="E1828" s="51">
        <v>0</v>
      </c>
      <c r="F1828" s="51">
        <v>0</v>
      </c>
      <c r="G1828" s="51">
        <v>0</v>
      </c>
      <c r="H1828" s="51">
        <v>141617</v>
      </c>
      <c r="I1828" s="51">
        <v>-141617</v>
      </c>
      <c r="J1828" s="51">
        <v>0</v>
      </c>
      <c r="K1828" s="51">
        <v>0</v>
      </c>
      <c r="L1828" s="51">
        <v>0</v>
      </c>
      <c r="M1828" s="51">
        <v>0</v>
      </c>
      <c r="N1828" s="51">
        <v>0</v>
      </c>
    </row>
    <row r="1829" spans="1:14" x14ac:dyDescent="0.35">
      <c r="A1829" s="53" t="s">
        <v>221</v>
      </c>
      <c r="B1829" s="66" t="s">
        <v>202</v>
      </c>
      <c r="C1829" s="51">
        <v>24496</v>
      </c>
      <c r="D1829" s="51">
        <v>0</v>
      </c>
      <c r="E1829" s="51">
        <v>0</v>
      </c>
      <c r="F1829" s="51">
        <v>0</v>
      </c>
      <c r="G1829" s="51">
        <v>0</v>
      </c>
      <c r="H1829" s="51">
        <v>24496</v>
      </c>
      <c r="I1829" s="51">
        <v>-24496</v>
      </c>
      <c r="J1829" s="51">
        <v>0</v>
      </c>
      <c r="K1829" s="51">
        <v>1666</v>
      </c>
      <c r="L1829" s="51">
        <v>-1666</v>
      </c>
      <c r="M1829" s="51">
        <v>0</v>
      </c>
      <c r="N1829" s="51">
        <v>0</v>
      </c>
    </row>
    <row r="1830" spans="1:14" x14ac:dyDescent="0.35">
      <c r="A1830" s="53" t="s">
        <v>221</v>
      </c>
      <c r="B1830" s="66" t="s">
        <v>201</v>
      </c>
      <c r="C1830" s="51">
        <v>73135</v>
      </c>
      <c r="D1830" s="51">
        <v>0</v>
      </c>
      <c r="E1830" s="51">
        <v>0</v>
      </c>
      <c r="F1830" s="51">
        <v>0</v>
      </c>
      <c r="G1830" s="51">
        <v>0</v>
      </c>
      <c r="H1830" s="51">
        <v>73135</v>
      </c>
      <c r="I1830" s="51">
        <v>-73135</v>
      </c>
      <c r="J1830" s="51">
        <v>0</v>
      </c>
      <c r="K1830" s="51">
        <v>733</v>
      </c>
      <c r="L1830" s="51">
        <v>-733</v>
      </c>
      <c r="M1830" s="51">
        <v>0</v>
      </c>
      <c r="N1830" s="51">
        <v>0</v>
      </c>
    </row>
    <row r="1831" spans="1:14" x14ac:dyDescent="0.35">
      <c r="A1831" s="53" t="s">
        <v>221</v>
      </c>
      <c r="B1831" s="66" t="s">
        <v>200</v>
      </c>
      <c r="C1831" s="51">
        <v>2917</v>
      </c>
      <c r="D1831" s="51">
        <v>0</v>
      </c>
      <c r="E1831" s="51">
        <v>0</v>
      </c>
      <c r="F1831" s="51">
        <v>0</v>
      </c>
      <c r="G1831" s="51">
        <v>0</v>
      </c>
      <c r="H1831" s="51">
        <v>2917</v>
      </c>
      <c r="I1831" s="51">
        <v>-2917</v>
      </c>
      <c r="J1831" s="51">
        <v>0</v>
      </c>
      <c r="K1831" s="51">
        <v>0</v>
      </c>
      <c r="L1831" s="51">
        <v>0</v>
      </c>
      <c r="M1831" s="51">
        <v>0</v>
      </c>
      <c r="N1831" s="51">
        <v>0</v>
      </c>
    </row>
    <row r="1832" spans="1:14" x14ac:dyDescent="0.35">
      <c r="A1832" s="53" t="s">
        <v>221</v>
      </c>
      <c r="B1832" s="66" t="s">
        <v>199</v>
      </c>
      <c r="C1832" s="51">
        <v>2005</v>
      </c>
      <c r="D1832" s="51">
        <v>0</v>
      </c>
      <c r="E1832" s="51">
        <v>0</v>
      </c>
      <c r="F1832" s="51">
        <v>0</v>
      </c>
      <c r="G1832" s="51">
        <v>0</v>
      </c>
      <c r="H1832" s="51">
        <v>2005</v>
      </c>
      <c r="I1832" s="51">
        <v>-2005</v>
      </c>
      <c r="J1832" s="51">
        <v>0</v>
      </c>
      <c r="K1832" s="51">
        <v>0</v>
      </c>
      <c r="L1832" s="51">
        <v>0</v>
      </c>
      <c r="M1832" s="51">
        <v>0</v>
      </c>
      <c r="N1832" s="51">
        <v>0</v>
      </c>
    </row>
    <row r="1833" spans="1:14" x14ac:dyDescent="0.35">
      <c r="A1833" s="53" t="s">
        <v>221</v>
      </c>
      <c r="B1833" s="66" t="s">
        <v>198</v>
      </c>
      <c r="C1833" s="51">
        <v>23658</v>
      </c>
      <c r="D1833" s="51">
        <v>-487</v>
      </c>
      <c r="E1833" s="51">
        <v>0</v>
      </c>
      <c r="F1833" s="51">
        <v>0</v>
      </c>
      <c r="G1833" s="51">
        <v>0</v>
      </c>
      <c r="H1833" s="51">
        <v>23171</v>
      </c>
      <c r="I1833" s="51">
        <v>-23171</v>
      </c>
      <c r="J1833" s="51">
        <v>0</v>
      </c>
      <c r="K1833" s="51">
        <v>0</v>
      </c>
      <c r="L1833" s="51">
        <v>0</v>
      </c>
      <c r="M1833" s="51">
        <v>0</v>
      </c>
      <c r="N1833" s="51">
        <v>0</v>
      </c>
    </row>
    <row r="1834" spans="1:14" x14ac:dyDescent="0.35">
      <c r="A1834" s="53" t="s">
        <v>221</v>
      </c>
      <c r="B1834" s="66" t="s">
        <v>197</v>
      </c>
      <c r="C1834" s="51">
        <v>543</v>
      </c>
      <c r="D1834" s="51">
        <v>-543</v>
      </c>
      <c r="E1834" s="51">
        <v>0</v>
      </c>
      <c r="F1834" s="51">
        <v>0</v>
      </c>
      <c r="G1834" s="51">
        <v>0</v>
      </c>
      <c r="H1834" s="51">
        <v>0</v>
      </c>
      <c r="I1834" s="51">
        <v>0</v>
      </c>
      <c r="J1834" s="51">
        <v>0</v>
      </c>
      <c r="K1834" s="51">
        <v>500</v>
      </c>
      <c r="L1834" s="51">
        <v>-500</v>
      </c>
      <c r="M1834" s="51">
        <v>0</v>
      </c>
      <c r="N1834" s="51">
        <v>0</v>
      </c>
    </row>
    <row r="1835" spans="1:14" x14ac:dyDescent="0.35">
      <c r="A1835" s="53" t="s">
        <v>221</v>
      </c>
      <c r="B1835" s="66" t="s">
        <v>196</v>
      </c>
      <c r="C1835" s="51">
        <v>711</v>
      </c>
      <c r="D1835" s="51">
        <v>0</v>
      </c>
      <c r="E1835" s="51">
        <v>0</v>
      </c>
      <c r="F1835" s="51">
        <v>0</v>
      </c>
      <c r="G1835" s="51">
        <v>0</v>
      </c>
      <c r="H1835" s="51">
        <v>711</v>
      </c>
      <c r="I1835" s="51">
        <v>-711</v>
      </c>
      <c r="J1835" s="51">
        <v>0</v>
      </c>
      <c r="K1835" s="51">
        <v>5000</v>
      </c>
      <c r="L1835" s="51">
        <v>-5000</v>
      </c>
      <c r="M1835" s="51">
        <v>0</v>
      </c>
      <c r="N1835" s="51">
        <v>0</v>
      </c>
    </row>
    <row r="1836" spans="1:14" x14ac:dyDescent="0.35">
      <c r="A1836" s="53" t="s">
        <v>221</v>
      </c>
      <c r="B1836" s="66" t="s">
        <v>195</v>
      </c>
      <c r="C1836" s="51">
        <v>22901</v>
      </c>
      <c r="D1836" s="51">
        <v>0</v>
      </c>
      <c r="E1836" s="51">
        <v>0</v>
      </c>
      <c r="F1836" s="51">
        <v>0</v>
      </c>
      <c r="G1836" s="51">
        <v>0</v>
      </c>
      <c r="H1836" s="51">
        <v>22901</v>
      </c>
      <c r="I1836" s="51">
        <v>-22901</v>
      </c>
      <c r="J1836" s="51">
        <v>0</v>
      </c>
      <c r="K1836" s="51">
        <v>0</v>
      </c>
      <c r="L1836" s="51">
        <v>0</v>
      </c>
      <c r="M1836" s="51">
        <v>0</v>
      </c>
      <c r="N1836" s="51">
        <v>0</v>
      </c>
    </row>
    <row r="1837" spans="1:14" x14ac:dyDescent="0.35">
      <c r="A1837" s="53" t="s">
        <v>221</v>
      </c>
      <c r="B1837" s="66" t="s">
        <v>194</v>
      </c>
      <c r="C1837" s="51">
        <v>198873</v>
      </c>
      <c r="D1837" s="51">
        <v>0</v>
      </c>
      <c r="E1837" s="51">
        <v>0</v>
      </c>
      <c r="F1837" s="51">
        <v>0</v>
      </c>
      <c r="G1837" s="51">
        <v>0</v>
      </c>
      <c r="H1837" s="51">
        <v>198873</v>
      </c>
      <c r="I1837" s="51">
        <v>-198873</v>
      </c>
      <c r="J1837" s="51">
        <v>0</v>
      </c>
      <c r="K1837" s="51">
        <v>0</v>
      </c>
      <c r="L1837" s="51">
        <v>0</v>
      </c>
      <c r="M1837" s="51">
        <v>0</v>
      </c>
      <c r="N1837" s="51">
        <v>0</v>
      </c>
    </row>
    <row r="1838" spans="1:14" x14ac:dyDescent="0.35">
      <c r="A1838" s="53" t="s">
        <v>221</v>
      </c>
      <c r="B1838" s="66" t="s">
        <v>193</v>
      </c>
      <c r="C1838" s="51">
        <v>376078</v>
      </c>
      <c r="D1838" s="51">
        <v>-2078</v>
      </c>
      <c r="E1838" s="51">
        <v>0</v>
      </c>
      <c r="F1838" s="51">
        <v>0</v>
      </c>
      <c r="G1838" s="51">
        <v>0</v>
      </c>
      <c r="H1838" s="51">
        <v>374000</v>
      </c>
      <c r="I1838" s="51">
        <v>-374000</v>
      </c>
      <c r="J1838" s="51">
        <v>0</v>
      </c>
      <c r="K1838" s="51">
        <v>0</v>
      </c>
      <c r="L1838" s="51">
        <v>0</v>
      </c>
      <c r="M1838" s="51">
        <v>0</v>
      </c>
      <c r="N1838" s="51">
        <v>0</v>
      </c>
    </row>
    <row r="1839" spans="1:14" x14ac:dyDescent="0.35">
      <c r="A1839" s="53" t="s">
        <v>221</v>
      </c>
      <c r="B1839" s="66" t="s">
        <v>192</v>
      </c>
      <c r="C1839" s="51">
        <v>115660</v>
      </c>
      <c r="D1839" s="51">
        <v>-1000</v>
      </c>
      <c r="E1839" s="51">
        <v>0</v>
      </c>
      <c r="F1839" s="51">
        <v>0</v>
      </c>
      <c r="G1839" s="51">
        <v>0</v>
      </c>
      <c r="H1839" s="51">
        <v>114660</v>
      </c>
      <c r="I1839" s="51">
        <v>-114660</v>
      </c>
      <c r="J1839" s="51">
        <v>0</v>
      </c>
      <c r="K1839" s="51">
        <v>0</v>
      </c>
      <c r="L1839" s="51">
        <v>0</v>
      </c>
      <c r="M1839" s="51">
        <v>0</v>
      </c>
      <c r="N1839" s="51">
        <v>0</v>
      </c>
    </row>
    <row r="1840" spans="1:14" x14ac:dyDescent="0.35">
      <c r="A1840" s="53" t="s">
        <v>221</v>
      </c>
      <c r="B1840" s="66" t="s">
        <v>191</v>
      </c>
      <c r="C1840" s="51">
        <v>67614</v>
      </c>
      <c r="D1840" s="51">
        <v>0</v>
      </c>
      <c r="E1840" s="51">
        <v>0</v>
      </c>
      <c r="F1840" s="51">
        <v>0</v>
      </c>
      <c r="G1840" s="51">
        <v>0</v>
      </c>
      <c r="H1840" s="51">
        <v>67614</v>
      </c>
      <c r="I1840" s="51">
        <v>-67614</v>
      </c>
      <c r="J1840" s="51">
        <v>0</v>
      </c>
      <c r="K1840" s="51">
        <v>0</v>
      </c>
      <c r="L1840" s="51">
        <v>0</v>
      </c>
      <c r="M1840" s="51">
        <v>0</v>
      </c>
      <c r="N1840" s="51">
        <v>0</v>
      </c>
    </row>
    <row r="1841" spans="1:14" ht="16" thickBot="1" x14ac:dyDescent="0.4">
      <c r="A1841" s="50" t="s">
        <v>50</v>
      </c>
      <c r="B1841" s="67" t="s">
        <v>12</v>
      </c>
      <c r="C1841" s="48">
        <f>SUBTOTAL(109,Program163[(C)
Program
Costs])</f>
        <v>1451952</v>
      </c>
      <c r="D1841" s="48">
        <f>SUBTOTAL(109,Program163[(D)
Prior Period Adjustments])</f>
        <v>-69371</v>
      </c>
      <c r="E1841" s="48">
        <f>SUBTOTAL(109,Program163[(E)
Current Period Desk 
Reviews])</f>
        <v>0</v>
      </c>
      <c r="F1841" s="48">
        <f>SUBTOTAL(109,Program163[(F)
Current Period 
Final 
Audits])</f>
        <v>0</v>
      </c>
      <c r="G1841" s="48">
        <f>SUBTOTAL(109,Program163[(G)
Current Period 
Other Adjustments])</f>
        <v>0</v>
      </c>
      <c r="H1841" s="48">
        <f>SUBTOTAL(109,Program163[(H)
Net Program Costs
Sum (C through G)])</f>
        <v>1382581</v>
      </c>
      <c r="I1841" s="48">
        <f>SUBTOTAL(109,Program163[(I)
Payments
 and Offsets])</f>
        <v>-1314792</v>
      </c>
      <c r="J1841" s="48">
        <f>SUBTOTAL(109,Program163[(J)
Accounts Payable Balance
(H + I)])</f>
        <v>67789</v>
      </c>
      <c r="K1841" s="48">
        <f>SUBTOTAL(109,Program163[(K)
Established 
Accounts Receivable])</f>
        <v>7899</v>
      </c>
      <c r="L1841" s="48">
        <f>SUBTOTAL(109,Program163[(L)
Recovered
 Accounts Receivable])</f>
        <v>-7899</v>
      </c>
      <c r="M1841" s="48">
        <f>SUBTOTAL(109,Program163[(M)
Accounts Receivable Balance
(K + L)])</f>
        <v>0</v>
      </c>
      <c r="N1841" s="48">
        <f>SUBTOTAL(109,Program163[(N)
Net Balance
(J minus M)])</f>
        <v>67789</v>
      </c>
    </row>
    <row r="1842" spans="1:14" x14ac:dyDescent="0.35">
      <c r="A1842" s="63" t="s">
        <v>33</v>
      </c>
      <c r="B1842" s="62"/>
      <c r="C1842" s="61"/>
      <c r="D1842" s="61"/>
      <c r="E1842" s="61"/>
      <c r="F1842" s="61"/>
      <c r="G1842" s="61"/>
      <c r="H1842" s="61"/>
      <c r="I1842" s="61"/>
      <c r="J1842" s="61"/>
      <c r="K1842" s="61"/>
      <c r="L1842" s="61"/>
      <c r="M1842" s="61"/>
      <c r="N1842" s="61"/>
    </row>
    <row r="1843" spans="1:14" ht="77.5" x14ac:dyDescent="0.35">
      <c r="A1843" s="60" t="s">
        <v>185</v>
      </c>
      <c r="B1843" s="59" t="s">
        <v>184</v>
      </c>
      <c r="C1843" s="58" t="s">
        <v>183</v>
      </c>
      <c r="D1843" s="58" t="s">
        <v>182</v>
      </c>
      <c r="E1843" s="56" t="s">
        <v>181</v>
      </c>
      <c r="F1843" s="56" t="s">
        <v>180</v>
      </c>
      <c r="G1843" s="56" t="s">
        <v>179</v>
      </c>
      <c r="H1843" s="57" t="s">
        <v>674</v>
      </c>
      <c r="I1843" s="55" t="s">
        <v>178</v>
      </c>
      <c r="J1843" s="55" t="s">
        <v>177</v>
      </c>
      <c r="K1843" s="56" t="s">
        <v>176</v>
      </c>
      <c r="L1843" s="55" t="s">
        <v>175</v>
      </c>
      <c r="M1843" s="55" t="s">
        <v>174</v>
      </c>
      <c r="N1843" s="54" t="s">
        <v>173</v>
      </c>
    </row>
    <row r="1844" spans="1:14" x14ac:dyDescent="0.35">
      <c r="A1844" s="53" t="s">
        <v>217</v>
      </c>
      <c r="B1844" s="66" t="s">
        <v>215</v>
      </c>
      <c r="C1844" s="51">
        <v>232475</v>
      </c>
      <c r="D1844" s="51">
        <v>0</v>
      </c>
      <c r="E1844" s="51">
        <v>0</v>
      </c>
      <c r="F1844" s="51">
        <v>0</v>
      </c>
      <c r="G1844" s="51">
        <v>0</v>
      </c>
      <c r="H1844" s="51">
        <v>232475</v>
      </c>
      <c r="I1844" s="51">
        <v>0</v>
      </c>
      <c r="J1844" s="51">
        <v>232475</v>
      </c>
      <c r="K1844" s="51">
        <v>0</v>
      </c>
      <c r="L1844" s="51">
        <v>0</v>
      </c>
      <c r="M1844" s="51">
        <v>0</v>
      </c>
      <c r="N1844" s="51">
        <v>232475</v>
      </c>
    </row>
    <row r="1845" spans="1:14" x14ac:dyDescent="0.35">
      <c r="A1845" s="53" t="s">
        <v>217</v>
      </c>
      <c r="B1845" s="66" t="s">
        <v>214</v>
      </c>
      <c r="C1845" s="51">
        <v>215391</v>
      </c>
      <c r="D1845" s="51">
        <v>0</v>
      </c>
      <c r="E1845" s="51">
        <v>0</v>
      </c>
      <c r="F1845" s="51">
        <v>0</v>
      </c>
      <c r="G1845" s="51">
        <v>0</v>
      </c>
      <c r="H1845" s="51">
        <v>215391</v>
      </c>
      <c r="I1845" s="51">
        <v>-215391</v>
      </c>
      <c r="J1845" s="51">
        <v>0</v>
      </c>
      <c r="K1845" s="51">
        <v>0</v>
      </c>
      <c r="L1845" s="51">
        <v>0</v>
      </c>
      <c r="M1845" s="51">
        <v>0</v>
      </c>
      <c r="N1845" s="51">
        <v>0</v>
      </c>
    </row>
    <row r="1846" spans="1:14" outlineLevel="1" x14ac:dyDescent="0.35">
      <c r="A1846" s="53" t="s">
        <v>217</v>
      </c>
      <c r="B1846" s="66" t="s">
        <v>212</v>
      </c>
      <c r="C1846" s="51">
        <v>91359</v>
      </c>
      <c r="D1846" s="51">
        <v>0</v>
      </c>
      <c r="E1846" s="51">
        <v>0</v>
      </c>
      <c r="F1846" s="51">
        <v>0</v>
      </c>
      <c r="G1846" s="51">
        <v>0</v>
      </c>
      <c r="H1846" s="51">
        <v>91359</v>
      </c>
      <c r="I1846" s="51">
        <v>-91359</v>
      </c>
      <c r="J1846" s="51">
        <v>0</v>
      </c>
      <c r="K1846" s="51">
        <v>0</v>
      </c>
      <c r="L1846" s="51">
        <v>0</v>
      </c>
      <c r="M1846" s="51">
        <v>0</v>
      </c>
      <c r="N1846" s="51">
        <v>0</v>
      </c>
    </row>
    <row r="1847" spans="1:14" x14ac:dyDescent="0.35">
      <c r="A1847" s="53" t="s">
        <v>217</v>
      </c>
      <c r="B1847" s="66" t="s">
        <v>220</v>
      </c>
      <c r="C1847" s="51">
        <v>81410</v>
      </c>
      <c r="D1847" s="51">
        <v>0</v>
      </c>
      <c r="E1847" s="51">
        <v>0</v>
      </c>
      <c r="F1847" s="51">
        <v>0</v>
      </c>
      <c r="G1847" s="51">
        <v>0</v>
      </c>
      <c r="H1847" s="51">
        <v>81410</v>
      </c>
      <c r="I1847" s="51">
        <v>-81410</v>
      </c>
      <c r="J1847" s="51">
        <v>0</v>
      </c>
      <c r="K1847" s="51">
        <v>0</v>
      </c>
      <c r="L1847" s="51">
        <v>0</v>
      </c>
      <c r="M1847" s="51">
        <v>0</v>
      </c>
      <c r="N1847" s="51">
        <v>0</v>
      </c>
    </row>
    <row r="1848" spans="1:14" x14ac:dyDescent="0.35">
      <c r="A1848" s="53" t="s">
        <v>217</v>
      </c>
      <c r="B1848" s="66" t="s">
        <v>219</v>
      </c>
      <c r="C1848" s="51">
        <v>94466</v>
      </c>
      <c r="D1848" s="51">
        <v>0</v>
      </c>
      <c r="E1848" s="51">
        <v>0</v>
      </c>
      <c r="F1848" s="51">
        <v>0</v>
      </c>
      <c r="G1848" s="51">
        <v>0</v>
      </c>
      <c r="H1848" s="51">
        <v>94466</v>
      </c>
      <c r="I1848" s="51">
        <v>-94466</v>
      </c>
      <c r="J1848" s="51">
        <v>0</v>
      </c>
      <c r="K1848" s="51">
        <v>0</v>
      </c>
      <c r="L1848" s="51">
        <v>0</v>
      </c>
      <c r="M1848" s="51">
        <v>0</v>
      </c>
      <c r="N1848" s="51">
        <v>0</v>
      </c>
    </row>
    <row r="1849" spans="1:14" x14ac:dyDescent="0.35">
      <c r="A1849" s="53" t="s">
        <v>217</v>
      </c>
      <c r="B1849" s="66" t="s">
        <v>218</v>
      </c>
      <c r="C1849" s="51">
        <v>40871</v>
      </c>
      <c r="D1849" s="51">
        <v>0</v>
      </c>
      <c r="E1849" s="51">
        <v>0</v>
      </c>
      <c r="F1849" s="51">
        <v>0</v>
      </c>
      <c r="G1849" s="51">
        <v>0</v>
      </c>
      <c r="H1849" s="51">
        <v>40871</v>
      </c>
      <c r="I1849" s="51">
        <v>-40871</v>
      </c>
      <c r="J1849" s="51">
        <v>0</v>
      </c>
      <c r="K1849" s="51">
        <v>0</v>
      </c>
      <c r="L1849" s="51">
        <v>0</v>
      </c>
      <c r="M1849" s="51">
        <v>0</v>
      </c>
      <c r="N1849" s="51">
        <v>0</v>
      </c>
    </row>
    <row r="1850" spans="1:14" x14ac:dyDescent="0.35">
      <c r="A1850" s="53" t="s">
        <v>217</v>
      </c>
      <c r="B1850" s="66" t="s">
        <v>209</v>
      </c>
      <c r="C1850" s="51">
        <v>47966</v>
      </c>
      <c r="D1850" s="51">
        <v>0</v>
      </c>
      <c r="E1850" s="51">
        <v>0</v>
      </c>
      <c r="F1850" s="51">
        <v>0</v>
      </c>
      <c r="G1850" s="51">
        <v>0</v>
      </c>
      <c r="H1850" s="51">
        <v>47966</v>
      </c>
      <c r="I1850" s="51">
        <v>-47966</v>
      </c>
      <c r="J1850" s="51">
        <v>0</v>
      </c>
      <c r="K1850" s="51">
        <v>0</v>
      </c>
      <c r="L1850" s="51">
        <v>0</v>
      </c>
      <c r="M1850" s="51">
        <v>0</v>
      </c>
      <c r="N1850" s="51">
        <v>0</v>
      </c>
    </row>
    <row r="1851" spans="1:14" x14ac:dyDescent="0.35">
      <c r="A1851" s="53" t="s">
        <v>217</v>
      </c>
      <c r="B1851" s="66" t="s">
        <v>208</v>
      </c>
      <c r="C1851" s="51">
        <v>30332</v>
      </c>
      <c r="D1851" s="51">
        <v>0</v>
      </c>
      <c r="E1851" s="51">
        <v>0</v>
      </c>
      <c r="F1851" s="51">
        <v>0</v>
      </c>
      <c r="G1851" s="51">
        <v>0</v>
      </c>
      <c r="H1851" s="51">
        <v>30332</v>
      </c>
      <c r="I1851" s="51">
        <v>-30332</v>
      </c>
      <c r="J1851" s="51">
        <v>0</v>
      </c>
      <c r="K1851" s="51">
        <v>0</v>
      </c>
      <c r="L1851" s="51">
        <v>0</v>
      </c>
      <c r="M1851" s="51">
        <v>0</v>
      </c>
      <c r="N1851" s="51">
        <v>0</v>
      </c>
    </row>
    <row r="1852" spans="1:14" x14ac:dyDescent="0.35">
      <c r="A1852" s="53" t="s">
        <v>217</v>
      </c>
      <c r="B1852" s="66" t="s">
        <v>206</v>
      </c>
      <c r="C1852" s="51">
        <v>26446</v>
      </c>
      <c r="D1852" s="51">
        <v>0</v>
      </c>
      <c r="E1852" s="51">
        <v>0</v>
      </c>
      <c r="F1852" s="51">
        <v>0</v>
      </c>
      <c r="G1852" s="51">
        <v>0</v>
      </c>
      <c r="H1852" s="51">
        <v>26446</v>
      </c>
      <c r="I1852" s="51">
        <v>-26446</v>
      </c>
      <c r="J1852" s="51">
        <v>0</v>
      </c>
      <c r="K1852" s="51">
        <v>0</v>
      </c>
      <c r="L1852" s="51">
        <v>0</v>
      </c>
      <c r="M1852" s="51">
        <v>0</v>
      </c>
      <c r="N1852" s="51">
        <v>0</v>
      </c>
    </row>
    <row r="1853" spans="1:14" x14ac:dyDescent="0.35">
      <c r="A1853" s="53" t="s">
        <v>217</v>
      </c>
      <c r="B1853" s="66" t="s">
        <v>205</v>
      </c>
      <c r="C1853" s="51">
        <v>28290</v>
      </c>
      <c r="D1853" s="51">
        <v>0</v>
      </c>
      <c r="E1853" s="51">
        <v>0</v>
      </c>
      <c r="F1853" s="51">
        <v>0</v>
      </c>
      <c r="G1853" s="51">
        <v>0</v>
      </c>
      <c r="H1853" s="51">
        <v>28290</v>
      </c>
      <c r="I1853" s="51">
        <v>-28290</v>
      </c>
      <c r="J1853" s="51">
        <v>0</v>
      </c>
      <c r="K1853" s="51">
        <v>0</v>
      </c>
      <c r="L1853" s="51">
        <v>0</v>
      </c>
      <c r="M1853" s="51">
        <v>0</v>
      </c>
      <c r="N1853" s="51">
        <v>0</v>
      </c>
    </row>
    <row r="1854" spans="1:14" x14ac:dyDescent="0.35">
      <c r="A1854" s="53" t="s">
        <v>217</v>
      </c>
      <c r="B1854" s="66" t="s">
        <v>204</v>
      </c>
      <c r="C1854" s="51">
        <v>9332</v>
      </c>
      <c r="D1854" s="51">
        <v>0</v>
      </c>
      <c r="E1854" s="51">
        <v>0</v>
      </c>
      <c r="F1854" s="51">
        <v>0</v>
      </c>
      <c r="G1854" s="51">
        <v>0</v>
      </c>
      <c r="H1854" s="51">
        <v>9332</v>
      </c>
      <c r="I1854" s="51">
        <v>-9332</v>
      </c>
      <c r="J1854" s="51">
        <v>0</v>
      </c>
      <c r="K1854" s="51">
        <v>0</v>
      </c>
      <c r="L1854" s="51">
        <v>0</v>
      </c>
      <c r="M1854" s="51">
        <v>0</v>
      </c>
      <c r="N1854" s="51">
        <v>0</v>
      </c>
    </row>
    <row r="1855" spans="1:14" x14ac:dyDescent="0.35">
      <c r="A1855" s="53" t="s">
        <v>217</v>
      </c>
      <c r="B1855" s="66" t="s">
        <v>203</v>
      </c>
      <c r="C1855" s="51">
        <v>9090</v>
      </c>
      <c r="D1855" s="51">
        <v>0</v>
      </c>
      <c r="E1855" s="51">
        <v>0</v>
      </c>
      <c r="F1855" s="51">
        <v>0</v>
      </c>
      <c r="G1855" s="51">
        <v>0</v>
      </c>
      <c r="H1855" s="51">
        <v>9090</v>
      </c>
      <c r="I1855" s="51">
        <v>-9090</v>
      </c>
      <c r="J1855" s="51">
        <v>0</v>
      </c>
      <c r="K1855" s="51">
        <v>0</v>
      </c>
      <c r="L1855" s="51">
        <v>0</v>
      </c>
      <c r="M1855" s="51">
        <v>0</v>
      </c>
      <c r="N1855" s="51">
        <v>0</v>
      </c>
    </row>
    <row r="1856" spans="1:14" x14ac:dyDescent="0.35">
      <c r="A1856" s="53" t="s">
        <v>217</v>
      </c>
      <c r="B1856" s="66" t="s">
        <v>202</v>
      </c>
      <c r="C1856" s="51">
        <v>7701</v>
      </c>
      <c r="D1856" s="51">
        <v>0</v>
      </c>
      <c r="E1856" s="51">
        <v>0</v>
      </c>
      <c r="F1856" s="51">
        <v>0</v>
      </c>
      <c r="G1856" s="51">
        <v>0</v>
      </c>
      <c r="H1856" s="51">
        <v>7701</v>
      </c>
      <c r="I1856" s="51">
        <v>-7701</v>
      </c>
      <c r="J1856" s="51">
        <v>0</v>
      </c>
      <c r="K1856" s="51">
        <v>0</v>
      </c>
      <c r="L1856" s="51">
        <v>0</v>
      </c>
      <c r="M1856" s="51">
        <v>0</v>
      </c>
      <c r="N1856" s="51">
        <v>0</v>
      </c>
    </row>
    <row r="1857" spans="1:14" x14ac:dyDescent="0.35">
      <c r="A1857" s="53" t="s">
        <v>217</v>
      </c>
      <c r="B1857" s="66" t="s">
        <v>201</v>
      </c>
      <c r="C1857" s="51">
        <v>7168</v>
      </c>
      <c r="D1857" s="51">
        <v>0</v>
      </c>
      <c r="E1857" s="51">
        <v>0</v>
      </c>
      <c r="F1857" s="51">
        <v>0</v>
      </c>
      <c r="G1857" s="51">
        <v>0</v>
      </c>
      <c r="H1857" s="51">
        <v>7168</v>
      </c>
      <c r="I1857" s="51">
        <v>-7168</v>
      </c>
      <c r="J1857" s="51">
        <v>0</v>
      </c>
      <c r="K1857" s="51">
        <v>0</v>
      </c>
      <c r="L1857" s="51">
        <v>0</v>
      </c>
      <c r="M1857" s="51">
        <v>0</v>
      </c>
      <c r="N1857" s="51">
        <v>0</v>
      </c>
    </row>
    <row r="1858" spans="1:14" x14ac:dyDescent="0.35">
      <c r="A1858" s="53" t="s">
        <v>217</v>
      </c>
      <c r="B1858" s="66" t="s">
        <v>200</v>
      </c>
      <c r="C1858" s="51">
        <v>6834</v>
      </c>
      <c r="D1858" s="51">
        <v>0</v>
      </c>
      <c r="E1858" s="51">
        <v>0</v>
      </c>
      <c r="F1858" s="51">
        <v>0</v>
      </c>
      <c r="G1858" s="51">
        <v>0</v>
      </c>
      <c r="H1858" s="51">
        <v>6834</v>
      </c>
      <c r="I1858" s="51">
        <v>-6834</v>
      </c>
      <c r="J1858" s="51">
        <v>0</v>
      </c>
      <c r="K1858" s="51">
        <v>0</v>
      </c>
      <c r="L1858" s="51">
        <v>0</v>
      </c>
      <c r="M1858" s="51">
        <v>0</v>
      </c>
      <c r="N1858" s="51">
        <v>0</v>
      </c>
    </row>
    <row r="1859" spans="1:14" x14ac:dyDescent="0.35">
      <c r="A1859" s="53" t="s">
        <v>217</v>
      </c>
      <c r="B1859" s="66" t="s">
        <v>199</v>
      </c>
      <c r="C1859" s="51">
        <v>6188</v>
      </c>
      <c r="D1859" s="51">
        <v>0</v>
      </c>
      <c r="E1859" s="51">
        <v>0</v>
      </c>
      <c r="F1859" s="51">
        <v>0</v>
      </c>
      <c r="G1859" s="51">
        <v>0</v>
      </c>
      <c r="H1859" s="51">
        <v>6188</v>
      </c>
      <c r="I1859" s="51">
        <v>-6188</v>
      </c>
      <c r="J1859" s="51">
        <v>0</v>
      </c>
      <c r="K1859" s="51">
        <v>0</v>
      </c>
      <c r="L1859" s="51">
        <v>0</v>
      </c>
      <c r="M1859" s="51">
        <v>0</v>
      </c>
      <c r="N1859" s="51">
        <v>0</v>
      </c>
    </row>
    <row r="1860" spans="1:14" x14ac:dyDescent="0.35">
      <c r="A1860" s="53" t="s">
        <v>217</v>
      </c>
      <c r="B1860" s="66" t="s">
        <v>198</v>
      </c>
      <c r="C1860" s="51">
        <v>1474</v>
      </c>
      <c r="D1860" s="51">
        <v>0</v>
      </c>
      <c r="E1860" s="51">
        <v>0</v>
      </c>
      <c r="F1860" s="51">
        <v>0</v>
      </c>
      <c r="G1860" s="51">
        <v>0</v>
      </c>
      <c r="H1860" s="51">
        <v>1474</v>
      </c>
      <c r="I1860" s="51">
        <v>-1474</v>
      </c>
      <c r="J1860" s="51">
        <v>0</v>
      </c>
      <c r="K1860" s="51">
        <v>0</v>
      </c>
      <c r="L1860" s="51">
        <v>0</v>
      </c>
      <c r="M1860" s="51">
        <v>0</v>
      </c>
      <c r="N1860" s="51">
        <v>0</v>
      </c>
    </row>
    <row r="1861" spans="1:14" ht="16" thickBot="1" x14ac:dyDescent="0.4">
      <c r="A1861" s="50" t="s">
        <v>49</v>
      </c>
      <c r="B1861" s="67" t="s">
        <v>12</v>
      </c>
      <c r="C1861" s="48">
        <f>SUBTOTAL(109,Program345[(C)
Program
Costs])</f>
        <v>936793</v>
      </c>
      <c r="D1861" s="48">
        <f>SUBTOTAL(109,Program345[(D)
Prior Period Adjustments])</f>
        <v>0</v>
      </c>
      <c r="E1861" s="48">
        <f>SUBTOTAL(109,Program345[(E)
Current Period Desk 
Reviews])</f>
        <v>0</v>
      </c>
      <c r="F1861" s="48">
        <f>SUBTOTAL(109,Program345[(F)
Current Period 
Final 
Audits])</f>
        <v>0</v>
      </c>
      <c r="G1861" s="48">
        <f>SUBTOTAL(109,Program345[(G)
Current Period 
Other Adjustments])</f>
        <v>0</v>
      </c>
      <c r="H1861" s="48">
        <f>SUBTOTAL(109,Program345[(H)
Net Program Costs
Sum (C through G)])</f>
        <v>936793</v>
      </c>
      <c r="I1861" s="48">
        <f>SUBTOTAL(109,Program345[(I)
Payments
 and Offsets])</f>
        <v>-704318</v>
      </c>
      <c r="J1861" s="48">
        <f>SUBTOTAL(109,Program345[(J)
Accounts Payable Balance
(H + I)])</f>
        <v>232475</v>
      </c>
      <c r="K1861" s="48">
        <f>SUBTOTAL(109,Program345[(K)
Established 
Accounts Receivable])</f>
        <v>0</v>
      </c>
      <c r="L1861" s="48">
        <f>SUBTOTAL(109,Program345[(L)
Recovered
 Accounts Receivable])</f>
        <v>0</v>
      </c>
      <c r="M1861" s="48">
        <f>SUBTOTAL(109,Program345[(M)
Accounts Receivable Balance
(K + L)])</f>
        <v>0</v>
      </c>
      <c r="N1861" s="48">
        <f>SUBTOTAL(109,Program345[(N)
Net Balance
(J minus M)])</f>
        <v>232475</v>
      </c>
    </row>
    <row r="1862" spans="1:14" x14ac:dyDescent="0.35">
      <c r="A1862" s="63" t="s">
        <v>33</v>
      </c>
      <c r="B1862" s="62"/>
      <c r="C1862" s="61"/>
      <c r="D1862" s="61"/>
      <c r="E1862" s="61"/>
      <c r="F1862" s="61"/>
      <c r="G1862" s="61"/>
      <c r="H1862" s="61"/>
      <c r="I1862" s="61"/>
      <c r="J1862" s="61"/>
      <c r="K1862" s="61"/>
      <c r="L1862" s="61"/>
      <c r="M1862" s="61"/>
      <c r="N1862" s="61"/>
    </row>
    <row r="1863" spans="1:14" ht="77.5" x14ac:dyDescent="0.35">
      <c r="A1863" s="60" t="s">
        <v>185</v>
      </c>
      <c r="B1863" s="59" t="s">
        <v>184</v>
      </c>
      <c r="C1863" s="58" t="s">
        <v>183</v>
      </c>
      <c r="D1863" s="58" t="s">
        <v>182</v>
      </c>
      <c r="E1863" s="56" t="s">
        <v>181</v>
      </c>
      <c r="F1863" s="56" t="s">
        <v>180</v>
      </c>
      <c r="G1863" s="56" t="s">
        <v>179</v>
      </c>
      <c r="H1863" s="57" t="s">
        <v>674</v>
      </c>
      <c r="I1863" s="55" t="s">
        <v>178</v>
      </c>
      <c r="J1863" s="55" t="s">
        <v>177</v>
      </c>
      <c r="K1863" s="56" t="s">
        <v>176</v>
      </c>
      <c r="L1863" s="55" t="s">
        <v>175</v>
      </c>
      <c r="M1863" s="55" t="s">
        <v>174</v>
      </c>
      <c r="N1863" s="54" t="s">
        <v>173</v>
      </c>
    </row>
    <row r="1864" spans="1:14" x14ac:dyDescent="0.35">
      <c r="A1864" s="53" t="s">
        <v>216</v>
      </c>
      <c r="B1864" s="66" t="s">
        <v>195</v>
      </c>
      <c r="C1864" s="51">
        <v>26670</v>
      </c>
      <c r="D1864" s="51">
        <v>0</v>
      </c>
      <c r="E1864" s="51">
        <v>0</v>
      </c>
      <c r="F1864" s="51">
        <v>0</v>
      </c>
      <c r="G1864" s="51">
        <v>0</v>
      </c>
      <c r="H1864" s="51">
        <v>26670</v>
      </c>
      <c r="I1864" s="51">
        <v>-26670</v>
      </c>
      <c r="J1864" s="51">
        <v>0</v>
      </c>
      <c r="K1864" s="51">
        <v>13014</v>
      </c>
      <c r="L1864" s="51">
        <v>-13014</v>
      </c>
      <c r="M1864" s="51">
        <v>0</v>
      </c>
      <c r="N1864" s="51">
        <v>0</v>
      </c>
    </row>
    <row r="1865" spans="1:14" x14ac:dyDescent="0.35">
      <c r="A1865" s="53" t="s">
        <v>216</v>
      </c>
      <c r="B1865" s="66" t="s">
        <v>194</v>
      </c>
      <c r="C1865" s="51">
        <v>76456</v>
      </c>
      <c r="D1865" s="51">
        <v>-462</v>
      </c>
      <c r="E1865" s="51">
        <v>0</v>
      </c>
      <c r="F1865" s="51">
        <v>0</v>
      </c>
      <c r="G1865" s="51">
        <v>0</v>
      </c>
      <c r="H1865" s="51">
        <v>75994</v>
      </c>
      <c r="I1865" s="51">
        <v>-75994</v>
      </c>
      <c r="J1865" s="51">
        <v>0</v>
      </c>
      <c r="K1865" s="51">
        <v>280</v>
      </c>
      <c r="L1865" s="51">
        <v>-280</v>
      </c>
      <c r="M1865" s="51">
        <v>0</v>
      </c>
      <c r="N1865" s="51">
        <v>0</v>
      </c>
    </row>
    <row r="1866" spans="1:14" x14ac:dyDescent="0.35">
      <c r="A1866" s="53" t="s">
        <v>216</v>
      </c>
      <c r="B1866" s="66" t="s">
        <v>193</v>
      </c>
      <c r="C1866" s="51">
        <v>173723</v>
      </c>
      <c r="D1866" s="51">
        <v>0</v>
      </c>
      <c r="E1866" s="51">
        <v>0</v>
      </c>
      <c r="F1866" s="51">
        <v>0</v>
      </c>
      <c r="G1866" s="51">
        <v>0</v>
      </c>
      <c r="H1866" s="51">
        <v>173723</v>
      </c>
      <c r="I1866" s="51">
        <v>-173723</v>
      </c>
      <c r="J1866" s="51">
        <v>0</v>
      </c>
      <c r="K1866" s="51">
        <v>0</v>
      </c>
      <c r="L1866" s="51">
        <v>0</v>
      </c>
      <c r="M1866" s="51">
        <v>0</v>
      </c>
      <c r="N1866" s="51">
        <v>0</v>
      </c>
    </row>
    <row r="1867" spans="1:14" x14ac:dyDescent="0.35">
      <c r="A1867" s="53" t="s">
        <v>216</v>
      </c>
      <c r="B1867" s="66" t="s">
        <v>192</v>
      </c>
      <c r="C1867" s="51">
        <v>127362</v>
      </c>
      <c r="D1867" s="51">
        <v>-248</v>
      </c>
      <c r="E1867" s="51">
        <v>0</v>
      </c>
      <c r="F1867" s="51">
        <v>0</v>
      </c>
      <c r="G1867" s="51">
        <v>0</v>
      </c>
      <c r="H1867" s="51">
        <v>127114</v>
      </c>
      <c r="I1867" s="51">
        <v>-127114</v>
      </c>
      <c r="J1867" s="51">
        <v>0</v>
      </c>
      <c r="K1867" s="51">
        <v>0</v>
      </c>
      <c r="L1867" s="51">
        <v>0</v>
      </c>
      <c r="M1867" s="51">
        <v>0</v>
      </c>
      <c r="N1867" s="51">
        <v>0</v>
      </c>
    </row>
    <row r="1868" spans="1:14" x14ac:dyDescent="0.35">
      <c r="A1868" s="53" t="s">
        <v>216</v>
      </c>
      <c r="B1868" s="66" t="s">
        <v>191</v>
      </c>
      <c r="C1868" s="51">
        <v>30587</v>
      </c>
      <c r="D1868" s="51">
        <v>0</v>
      </c>
      <c r="E1868" s="51">
        <v>0</v>
      </c>
      <c r="F1868" s="51">
        <v>0</v>
      </c>
      <c r="G1868" s="51">
        <v>0</v>
      </c>
      <c r="H1868" s="51">
        <v>30587</v>
      </c>
      <c r="I1868" s="51">
        <v>-30587</v>
      </c>
      <c r="J1868" s="51">
        <v>0</v>
      </c>
      <c r="K1868" s="51">
        <v>0</v>
      </c>
      <c r="L1868" s="51">
        <v>0</v>
      </c>
      <c r="M1868" s="51">
        <v>0</v>
      </c>
      <c r="N1868" s="51">
        <v>0</v>
      </c>
    </row>
    <row r="1869" spans="1:14" x14ac:dyDescent="0.35">
      <c r="A1869" s="53" t="s">
        <v>216</v>
      </c>
      <c r="B1869" s="66" t="s">
        <v>190</v>
      </c>
      <c r="C1869" s="51">
        <v>198412</v>
      </c>
      <c r="D1869" s="51">
        <v>0</v>
      </c>
      <c r="E1869" s="51">
        <v>0</v>
      </c>
      <c r="F1869" s="51">
        <v>0</v>
      </c>
      <c r="G1869" s="51">
        <v>0</v>
      </c>
      <c r="H1869" s="51">
        <v>198412</v>
      </c>
      <c r="I1869" s="51">
        <v>-198412</v>
      </c>
      <c r="J1869" s="51">
        <v>0</v>
      </c>
      <c r="K1869" s="51">
        <v>0</v>
      </c>
      <c r="L1869" s="51">
        <v>0</v>
      </c>
      <c r="M1869" s="51">
        <v>0</v>
      </c>
      <c r="N1869" s="51">
        <v>0</v>
      </c>
    </row>
    <row r="1870" spans="1:14" ht="16" thickBot="1" x14ac:dyDescent="0.4">
      <c r="A1870" s="50" t="s">
        <v>48</v>
      </c>
      <c r="B1870" s="67" t="s">
        <v>12</v>
      </c>
      <c r="C1870" s="48">
        <f>SUBTOTAL(109,Program174[(C)
Program
Costs])</f>
        <v>633210</v>
      </c>
      <c r="D1870" s="48">
        <f>SUBTOTAL(109,Program174[(D)
Prior Period Adjustments])</f>
        <v>-710</v>
      </c>
      <c r="E1870" s="48">
        <f>SUBTOTAL(109,Program174[(E)
Current Period Desk 
Reviews])</f>
        <v>0</v>
      </c>
      <c r="F1870" s="48">
        <f>SUBTOTAL(109,Program174[(F)
Current Period 
Final 
Audits])</f>
        <v>0</v>
      </c>
      <c r="G1870" s="48">
        <f>SUBTOTAL(109,Program174[(G)
Current Period 
Other Adjustments])</f>
        <v>0</v>
      </c>
      <c r="H1870" s="48">
        <f>SUBTOTAL(109,Program174[(H)
Net Program Costs
Sum (C through G)])</f>
        <v>632500</v>
      </c>
      <c r="I1870" s="48">
        <f>SUBTOTAL(109,Program174[(I)
Payments
 and Offsets])</f>
        <v>-632500</v>
      </c>
      <c r="J1870" s="48">
        <f>SUBTOTAL(109,Program174[(J)
Accounts Payable Balance
(H + I)])</f>
        <v>0</v>
      </c>
      <c r="K1870" s="48">
        <f>SUBTOTAL(109,Program174[(K)
Established 
Accounts Receivable])</f>
        <v>13294</v>
      </c>
      <c r="L1870" s="48">
        <f>SUBTOTAL(109,Program174[(L)
Recovered
 Accounts Receivable])</f>
        <v>-13294</v>
      </c>
      <c r="M1870" s="48">
        <f>SUBTOTAL(109,Program174[(M)
Accounts Receivable Balance
(K + L)])</f>
        <v>0</v>
      </c>
      <c r="N1870" s="48">
        <f>SUBTOTAL(109,Program174[(N)
Net Balance
(J minus M)])</f>
        <v>0</v>
      </c>
    </row>
    <row r="1871" spans="1:14" x14ac:dyDescent="0.35">
      <c r="A1871" s="63" t="s">
        <v>33</v>
      </c>
      <c r="B1871" s="62"/>
      <c r="C1871" s="61"/>
      <c r="D1871" s="61"/>
      <c r="E1871" s="61"/>
      <c r="F1871" s="61"/>
      <c r="G1871" s="61"/>
      <c r="H1871" s="61"/>
      <c r="I1871" s="61"/>
      <c r="J1871" s="61"/>
      <c r="K1871" s="61"/>
      <c r="L1871" s="61"/>
      <c r="M1871" s="61"/>
      <c r="N1871" s="61"/>
    </row>
    <row r="1872" spans="1:14" ht="77.5" x14ac:dyDescent="0.35">
      <c r="A1872" s="60" t="s">
        <v>185</v>
      </c>
      <c r="B1872" s="59" t="s">
        <v>184</v>
      </c>
      <c r="C1872" s="58" t="s">
        <v>183</v>
      </c>
      <c r="D1872" s="58" t="s">
        <v>182</v>
      </c>
      <c r="E1872" s="56" t="s">
        <v>181</v>
      </c>
      <c r="F1872" s="56" t="s">
        <v>180</v>
      </c>
      <c r="G1872" s="56" t="s">
        <v>179</v>
      </c>
      <c r="H1872" s="57" t="s">
        <v>674</v>
      </c>
      <c r="I1872" s="55" t="s">
        <v>178</v>
      </c>
      <c r="J1872" s="55" t="s">
        <v>177</v>
      </c>
      <c r="K1872" s="56" t="s">
        <v>176</v>
      </c>
      <c r="L1872" s="55" t="s">
        <v>175</v>
      </c>
      <c r="M1872" s="55" t="s">
        <v>174</v>
      </c>
      <c r="N1872" s="54" t="s">
        <v>173</v>
      </c>
    </row>
    <row r="1873" spans="1:14" ht="31" x14ac:dyDescent="0.35">
      <c r="A1873" s="70" t="s">
        <v>213</v>
      </c>
      <c r="B1873" s="69" t="s">
        <v>215</v>
      </c>
      <c r="C1873" s="68">
        <v>1288386</v>
      </c>
      <c r="D1873" s="68">
        <v>0</v>
      </c>
      <c r="E1873" s="68">
        <v>0</v>
      </c>
      <c r="F1873" s="68">
        <v>0</v>
      </c>
      <c r="G1873" s="68">
        <v>0</v>
      </c>
      <c r="H1873" s="68">
        <v>1288386</v>
      </c>
      <c r="I1873" s="68">
        <v>0</v>
      </c>
      <c r="J1873" s="68">
        <v>1288386</v>
      </c>
      <c r="K1873" s="68">
        <v>0</v>
      </c>
      <c r="L1873" s="68">
        <v>0</v>
      </c>
      <c r="M1873" s="68">
        <v>0</v>
      </c>
      <c r="N1873" s="68">
        <v>1288386</v>
      </c>
    </row>
    <row r="1874" spans="1:14" ht="31" x14ac:dyDescent="0.35">
      <c r="A1874" s="70" t="s">
        <v>213</v>
      </c>
      <c r="B1874" s="69" t="s">
        <v>214</v>
      </c>
      <c r="C1874" s="68">
        <v>1299977</v>
      </c>
      <c r="D1874" s="68">
        <v>0</v>
      </c>
      <c r="E1874" s="68">
        <v>0</v>
      </c>
      <c r="F1874" s="68">
        <v>0</v>
      </c>
      <c r="G1874" s="68">
        <v>-9445</v>
      </c>
      <c r="H1874" s="68">
        <v>1290532</v>
      </c>
      <c r="I1874" s="68">
        <v>0</v>
      </c>
      <c r="J1874" s="68">
        <v>1290532</v>
      </c>
      <c r="K1874" s="68">
        <v>0</v>
      </c>
      <c r="L1874" s="68">
        <v>0</v>
      </c>
      <c r="M1874" s="68">
        <v>0</v>
      </c>
      <c r="N1874" s="68">
        <v>1290532</v>
      </c>
    </row>
    <row r="1875" spans="1:14" ht="31" x14ac:dyDescent="0.35">
      <c r="A1875" s="70" t="s">
        <v>213</v>
      </c>
      <c r="B1875" s="69" t="s">
        <v>212</v>
      </c>
      <c r="C1875" s="68">
        <v>1214859</v>
      </c>
      <c r="D1875" s="68">
        <v>0</v>
      </c>
      <c r="E1875" s="68">
        <v>0</v>
      </c>
      <c r="F1875" s="68">
        <v>0</v>
      </c>
      <c r="G1875" s="68">
        <v>-6988</v>
      </c>
      <c r="H1875" s="68">
        <v>1207871</v>
      </c>
      <c r="I1875" s="68">
        <v>0</v>
      </c>
      <c r="J1875" s="68">
        <v>1207871</v>
      </c>
      <c r="K1875" s="68">
        <v>0</v>
      </c>
      <c r="L1875" s="68">
        <v>0</v>
      </c>
      <c r="M1875" s="68">
        <v>0</v>
      </c>
      <c r="N1875" s="68">
        <v>1207871</v>
      </c>
    </row>
    <row r="1876" spans="1:14" x14ac:dyDescent="0.35">
      <c r="A1876" s="65" t="s">
        <v>47</v>
      </c>
      <c r="B1876" s="64" t="s">
        <v>12</v>
      </c>
      <c r="C1876" s="42">
        <f>SUBTOTAL(109,Program372[(C)
Program
Costs])</f>
        <v>3803222</v>
      </c>
      <c r="D1876" s="42">
        <f>SUBTOTAL(109,Program372[(D)
Prior Period Adjustments])</f>
        <v>0</v>
      </c>
      <c r="E1876" s="42">
        <f>SUBTOTAL(109,Program372[(E)
Current Period Desk 
Reviews])</f>
        <v>0</v>
      </c>
      <c r="F1876" s="42">
        <f>SUBTOTAL(109,Program372[(F)
Current Period 
Final 
Audits])</f>
        <v>0</v>
      </c>
      <c r="G1876" s="42">
        <f>SUBTOTAL(109,Program372[(G)
Current Period 
Other Adjustments])</f>
        <v>-16433</v>
      </c>
      <c r="H1876" s="42">
        <f>SUBTOTAL(109,Program372[(H)
Net Program Costs
Sum (C through G)])</f>
        <v>3786789</v>
      </c>
      <c r="I1876" s="42">
        <f>SUBTOTAL(109,Program372[(I)
Payments
 and Offsets])</f>
        <v>0</v>
      </c>
      <c r="J1876" s="42">
        <f>SUBTOTAL(109,Program372[(J)
Accounts Payable Balance
(H + I)])</f>
        <v>3786789</v>
      </c>
      <c r="K1876" s="42">
        <f>SUBTOTAL(109,Program372[(K)
Established 
Accounts Receivable])</f>
        <v>0</v>
      </c>
      <c r="L1876" s="42">
        <f>SUBTOTAL(109,Program372[(L)
Recovered
 Accounts Receivable])</f>
        <v>0</v>
      </c>
      <c r="M1876" s="42">
        <f>SUBTOTAL(109,Program372[(M)
Accounts Receivable Balance
(K + L)])</f>
        <v>0</v>
      </c>
      <c r="N1876" s="42">
        <f>SUBTOTAL(109,Program372[(N)
Net Balance
(J minus M)])</f>
        <v>3786789</v>
      </c>
    </row>
    <row r="1877" spans="1:14" x14ac:dyDescent="0.35">
      <c r="A1877" s="63" t="s">
        <v>33</v>
      </c>
      <c r="B1877" s="62"/>
      <c r="C1877" s="61"/>
      <c r="D1877" s="61"/>
      <c r="E1877" s="61"/>
      <c r="F1877" s="61"/>
      <c r="G1877" s="61"/>
      <c r="H1877" s="61"/>
      <c r="I1877" s="61"/>
      <c r="J1877" s="61"/>
      <c r="K1877" s="61"/>
      <c r="L1877" s="61"/>
      <c r="M1877" s="61"/>
      <c r="N1877" s="61"/>
    </row>
    <row r="1878" spans="1:14" ht="77.5" x14ac:dyDescent="0.35">
      <c r="A1878" s="60" t="s">
        <v>185</v>
      </c>
      <c r="B1878" s="59" t="s">
        <v>184</v>
      </c>
      <c r="C1878" s="58" t="s">
        <v>183</v>
      </c>
      <c r="D1878" s="58" t="s">
        <v>182</v>
      </c>
      <c r="E1878" s="56" t="s">
        <v>181</v>
      </c>
      <c r="F1878" s="56" t="s">
        <v>180</v>
      </c>
      <c r="G1878" s="56" t="s">
        <v>179</v>
      </c>
      <c r="H1878" s="57" t="s">
        <v>674</v>
      </c>
      <c r="I1878" s="55" t="s">
        <v>178</v>
      </c>
      <c r="J1878" s="55" t="s">
        <v>177</v>
      </c>
      <c r="K1878" s="56" t="s">
        <v>176</v>
      </c>
      <c r="L1878" s="55" t="s">
        <v>175</v>
      </c>
      <c r="M1878" s="55" t="s">
        <v>174</v>
      </c>
      <c r="N1878" s="54" t="s">
        <v>173</v>
      </c>
    </row>
    <row r="1879" spans="1:14" x14ac:dyDescent="0.35">
      <c r="A1879" s="53" t="s">
        <v>211</v>
      </c>
      <c r="B1879" s="66" t="s">
        <v>198</v>
      </c>
      <c r="C1879" s="51">
        <v>177184</v>
      </c>
      <c r="D1879" s="51">
        <v>0</v>
      </c>
      <c r="E1879" s="51">
        <v>0</v>
      </c>
      <c r="F1879" s="51">
        <v>0</v>
      </c>
      <c r="G1879" s="51">
        <v>0</v>
      </c>
      <c r="H1879" s="51">
        <v>177184</v>
      </c>
      <c r="I1879" s="51">
        <v>-177184</v>
      </c>
      <c r="J1879" s="51">
        <v>0</v>
      </c>
      <c r="K1879" s="51">
        <v>0</v>
      </c>
      <c r="L1879" s="51">
        <v>0</v>
      </c>
      <c r="M1879" s="51">
        <v>0</v>
      </c>
      <c r="N1879" s="51">
        <v>0</v>
      </c>
    </row>
    <row r="1880" spans="1:14" x14ac:dyDescent="0.35">
      <c r="A1880" s="53" t="s">
        <v>211</v>
      </c>
      <c r="B1880" s="66" t="s">
        <v>197</v>
      </c>
      <c r="C1880" s="51">
        <v>97483</v>
      </c>
      <c r="D1880" s="51">
        <v>-390</v>
      </c>
      <c r="E1880" s="51">
        <v>0</v>
      </c>
      <c r="F1880" s="51">
        <v>0</v>
      </c>
      <c r="G1880" s="51">
        <v>0</v>
      </c>
      <c r="H1880" s="51">
        <v>97093</v>
      </c>
      <c r="I1880" s="51">
        <v>-97093</v>
      </c>
      <c r="J1880" s="51">
        <v>0</v>
      </c>
      <c r="K1880" s="51">
        <v>2132</v>
      </c>
      <c r="L1880" s="51">
        <v>-2132</v>
      </c>
      <c r="M1880" s="51">
        <v>0</v>
      </c>
      <c r="N1880" s="51">
        <v>0</v>
      </c>
    </row>
    <row r="1881" spans="1:14" x14ac:dyDescent="0.35">
      <c r="A1881" s="53" t="s">
        <v>211</v>
      </c>
      <c r="B1881" s="66" t="s">
        <v>196</v>
      </c>
      <c r="C1881" s="51">
        <v>104440</v>
      </c>
      <c r="D1881" s="51">
        <v>-1205</v>
      </c>
      <c r="E1881" s="51">
        <v>0</v>
      </c>
      <c r="F1881" s="51">
        <v>0</v>
      </c>
      <c r="G1881" s="51">
        <v>0</v>
      </c>
      <c r="H1881" s="51">
        <v>103235</v>
      </c>
      <c r="I1881" s="51">
        <v>-103235</v>
      </c>
      <c r="J1881" s="51">
        <v>0</v>
      </c>
      <c r="K1881" s="51">
        <v>18500</v>
      </c>
      <c r="L1881" s="51">
        <v>-18500</v>
      </c>
      <c r="M1881" s="51">
        <v>0</v>
      </c>
      <c r="N1881" s="51">
        <v>0</v>
      </c>
    </row>
    <row r="1882" spans="1:14" x14ac:dyDescent="0.35">
      <c r="A1882" s="53" t="s">
        <v>211</v>
      </c>
      <c r="B1882" s="66" t="s">
        <v>195</v>
      </c>
      <c r="C1882" s="51">
        <v>212634</v>
      </c>
      <c r="D1882" s="51">
        <v>-1000</v>
      </c>
      <c r="E1882" s="51">
        <v>0</v>
      </c>
      <c r="F1882" s="51">
        <v>0</v>
      </c>
      <c r="G1882" s="51">
        <v>0</v>
      </c>
      <c r="H1882" s="51">
        <v>211634</v>
      </c>
      <c r="I1882" s="51">
        <v>-211634</v>
      </c>
      <c r="J1882" s="51">
        <v>0</v>
      </c>
      <c r="K1882" s="51">
        <v>1320</v>
      </c>
      <c r="L1882" s="51">
        <v>-1320</v>
      </c>
      <c r="M1882" s="51">
        <v>0</v>
      </c>
      <c r="N1882" s="51">
        <v>0</v>
      </c>
    </row>
    <row r="1883" spans="1:14" x14ac:dyDescent="0.35">
      <c r="A1883" s="53" t="s">
        <v>211</v>
      </c>
      <c r="B1883" s="66" t="s">
        <v>194</v>
      </c>
      <c r="C1883" s="51">
        <v>110222</v>
      </c>
      <c r="D1883" s="51">
        <v>-1328</v>
      </c>
      <c r="E1883" s="51">
        <v>0</v>
      </c>
      <c r="F1883" s="51">
        <v>0</v>
      </c>
      <c r="G1883" s="51">
        <v>0</v>
      </c>
      <c r="H1883" s="51">
        <v>108894</v>
      </c>
      <c r="I1883" s="51">
        <v>-108894</v>
      </c>
      <c r="J1883" s="51">
        <v>0</v>
      </c>
      <c r="K1883" s="51">
        <v>0</v>
      </c>
      <c r="L1883" s="51">
        <v>0</v>
      </c>
      <c r="M1883" s="51">
        <v>0</v>
      </c>
      <c r="N1883" s="51">
        <v>0</v>
      </c>
    </row>
    <row r="1884" spans="1:14" x14ac:dyDescent="0.35">
      <c r="A1884" s="53" t="s">
        <v>211</v>
      </c>
      <c r="B1884" s="66" t="s">
        <v>193</v>
      </c>
      <c r="C1884" s="51">
        <v>119409</v>
      </c>
      <c r="D1884" s="51">
        <v>-1092</v>
      </c>
      <c r="E1884" s="51">
        <v>0</v>
      </c>
      <c r="F1884" s="51">
        <v>0</v>
      </c>
      <c r="G1884" s="51">
        <v>0</v>
      </c>
      <c r="H1884" s="51">
        <v>118317</v>
      </c>
      <c r="I1884" s="51">
        <v>-118317</v>
      </c>
      <c r="J1884" s="51">
        <v>0</v>
      </c>
      <c r="K1884" s="51">
        <v>0</v>
      </c>
      <c r="L1884" s="51">
        <v>0</v>
      </c>
      <c r="M1884" s="51">
        <v>0</v>
      </c>
      <c r="N1884" s="51">
        <v>0</v>
      </c>
    </row>
    <row r="1885" spans="1:14" x14ac:dyDescent="0.35">
      <c r="A1885" s="53" t="s">
        <v>211</v>
      </c>
      <c r="B1885" s="66" t="s">
        <v>192</v>
      </c>
      <c r="C1885" s="51">
        <v>221934</v>
      </c>
      <c r="D1885" s="51">
        <v>-1174</v>
      </c>
      <c r="E1885" s="51">
        <v>0</v>
      </c>
      <c r="F1885" s="51">
        <v>0</v>
      </c>
      <c r="G1885" s="51">
        <v>0</v>
      </c>
      <c r="H1885" s="51">
        <v>220760</v>
      </c>
      <c r="I1885" s="51">
        <v>-220760</v>
      </c>
      <c r="J1885" s="51">
        <v>0</v>
      </c>
      <c r="K1885" s="51">
        <v>0</v>
      </c>
      <c r="L1885" s="51">
        <v>0</v>
      </c>
      <c r="M1885" s="51">
        <v>0</v>
      </c>
      <c r="N1885" s="51">
        <v>0</v>
      </c>
    </row>
    <row r="1886" spans="1:14" ht="16" thickBot="1" x14ac:dyDescent="0.4">
      <c r="A1886" s="50" t="s">
        <v>46</v>
      </c>
      <c r="B1886" s="67" t="s">
        <v>12</v>
      </c>
      <c r="C1886" s="48">
        <f>SUBTOTAL(109,Program181[(C)
Program
Costs])</f>
        <v>1043306</v>
      </c>
      <c r="D1886" s="48">
        <f>SUBTOTAL(109,Program181[(D)
Prior Period Adjustments])</f>
        <v>-6189</v>
      </c>
      <c r="E1886" s="48">
        <f>SUBTOTAL(109,Program181[(E)
Current Period Desk 
Reviews])</f>
        <v>0</v>
      </c>
      <c r="F1886" s="48">
        <f>SUBTOTAL(109,Program181[(F)
Current Period 
Final 
Audits])</f>
        <v>0</v>
      </c>
      <c r="G1886" s="48">
        <f>SUBTOTAL(109,Program181[(G)
Current Period 
Other Adjustments])</f>
        <v>0</v>
      </c>
      <c r="H1886" s="48">
        <f>SUBTOTAL(109,Program181[(H)
Net Program Costs
Sum (C through G)])</f>
        <v>1037117</v>
      </c>
      <c r="I1886" s="48">
        <f>SUBTOTAL(109,Program181[(I)
Payments
 and Offsets])</f>
        <v>-1037117</v>
      </c>
      <c r="J1886" s="48">
        <f>SUBTOTAL(109,Program181[(J)
Accounts Payable Balance
(H + I)])</f>
        <v>0</v>
      </c>
      <c r="K1886" s="48">
        <f>SUBTOTAL(109,Program181[(K)
Established 
Accounts Receivable])</f>
        <v>21952</v>
      </c>
      <c r="L1886" s="48">
        <f>SUBTOTAL(109,Program181[(L)
Recovered
 Accounts Receivable])</f>
        <v>-21952</v>
      </c>
      <c r="M1886" s="48">
        <f>SUBTOTAL(109,Program181[(M)
Accounts Receivable Balance
(K + L)])</f>
        <v>0</v>
      </c>
      <c r="N1886" s="48">
        <f>SUBTOTAL(109,Program181[(N)
Net Balance
(J minus M)])</f>
        <v>0</v>
      </c>
    </row>
    <row r="1887" spans="1:14" x14ac:dyDescent="0.35">
      <c r="A1887" s="63" t="s">
        <v>33</v>
      </c>
      <c r="B1887" s="62"/>
      <c r="C1887" s="61"/>
      <c r="D1887" s="61"/>
      <c r="E1887" s="61"/>
      <c r="F1887" s="61"/>
      <c r="G1887" s="61"/>
      <c r="H1887" s="61"/>
      <c r="I1887" s="61"/>
      <c r="J1887" s="61"/>
      <c r="K1887" s="61"/>
      <c r="L1887" s="61"/>
      <c r="M1887" s="61"/>
      <c r="N1887" s="61"/>
    </row>
    <row r="1888" spans="1:14" ht="77.5" x14ac:dyDescent="0.35">
      <c r="A1888" s="60" t="s">
        <v>185</v>
      </c>
      <c r="B1888" s="59" t="s">
        <v>184</v>
      </c>
      <c r="C1888" s="58" t="s">
        <v>183</v>
      </c>
      <c r="D1888" s="58" t="s">
        <v>182</v>
      </c>
      <c r="E1888" s="56" t="s">
        <v>181</v>
      </c>
      <c r="F1888" s="56" t="s">
        <v>180</v>
      </c>
      <c r="G1888" s="56" t="s">
        <v>179</v>
      </c>
      <c r="H1888" s="57" t="s">
        <v>674</v>
      </c>
      <c r="I1888" s="55" t="s">
        <v>178</v>
      </c>
      <c r="J1888" s="55" t="s">
        <v>177</v>
      </c>
      <c r="K1888" s="56" t="s">
        <v>176</v>
      </c>
      <c r="L1888" s="55" t="s">
        <v>175</v>
      </c>
      <c r="M1888" s="55" t="s">
        <v>174</v>
      </c>
      <c r="N1888" s="54" t="s">
        <v>173</v>
      </c>
    </row>
    <row r="1889" spans="1:14" x14ac:dyDescent="0.35">
      <c r="A1889" s="53" t="s">
        <v>210</v>
      </c>
      <c r="B1889" s="66" t="s">
        <v>194</v>
      </c>
      <c r="C1889" s="51">
        <v>95889</v>
      </c>
      <c r="D1889" s="51">
        <v>0</v>
      </c>
      <c r="E1889" s="51">
        <v>0</v>
      </c>
      <c r="F1889" s="51">
        <v>0</v>
      </c>
      <c r="G1889" s="51">
        <v>0</v>
      </c>
      <c r="H1889" s="51">
        <v>95889</v>
      </c>
      <c r="I1889" s="51">
        <v>-95889</v>
      </c>
      <c r="J1889" s="51">
        <v>0</v>
      </c>
      <c r="K1889" s="51">
        <v>0</v>
      </c>
      <c r="L1889" s="51">
        <v>0</v>
      </c>
      <c r="M1889" s="51">
        <v>0</v>
      </c>
      <c r="N1889" s="51">
        <v>0</v>
      </c>
    </row>
    <row r="1890" spans="1:14" x14ac:dyDescent="0.35">
      <c r="A1890" s="53" t="s">
        <v>210</v>
      </c>
      <c r="B1890" s="66" t="s">
        <v>193</v>
      </c>
      <c r="C1890" s="51">
        <v>87631</v>
      </c>
      <c r="D1890" s="51">
        <v>-1000</v>
      </c>
      <c r="E1890" s="51">
        <v>0</v>
      </c>
      <c r="F1890" s="51">
        <v>0</v>
      </c>
      <c r="G1890" s="51">
        <v>0</v>
      </c>
      <c r="H1890" s="51">
        <v>86631</v>
      </c>
      <c r="I1890" s="51">
        <v>-86631</v>
      </c>
      <c r="J1890" s="51">
        <v>0</v>
      </c>
      <c r="K1890" s="51">
        <v>0</v>
      </c>
      <c r="L1890" s="51">
        <v>0</v>
      </c>
      <c r="M1890" s="51">
        <v>0</v>
      </c>
      <c r="N1890" s="51">
        <v>0</v>
      </c>
    </row>
    <row r="1891" spans="1:14" x14ac:dyDescent="0.35">
      <c r="A1891" s="53" t="s">
        <v>210</v>
      </c>
      <c r="B1891" s="66" t="s">
        <v>188</v>
      </c>
      <c r="C1891" s="51">
        <v>267601</v>
      </c>
      <c r="D1891" s="51">
        <v>-468</v>
      </c>
      <c r="E1891" s="51">
        <v>0</v>
      </c>
      <c r="F1891" s="51">
        <v>0</v>
      </c>
      <c r="G1891" s="51">
        <v>0</v>
      </c>
      <c r="H1891" s="51">
        <v>267133</v>
      </c>
      <c r="I1891" s="51">
        <v>-267133</v>
      </c>
      <c r="J1891" s="51">
        <v>0</v>
      </c>
      <c r="K1891" s="51">
        <v>0</v>
      </c>
      <c r="L1891" s="51">
        <v>0</v>
      </c>
      <c r="M1891" s="51">
        <v>0</v>
      </c>
      <c r="N1891" s="51">
        <v>0</v>
      </c>
    </row>
    <row r="1892" spans="1:14" ht="16" thickBot="1" x14ac:dyDescent="0.4">
      <c r="A1892" s="50" t="s">
        <v>45</v>
      </c>
      <c r="B1892" s="67" t="s">
        <v>12</v>
      </c>
      <c r="C1892" s="48">
        <f>SUBTOTAL(109,Program71[(C)
Program
Costs])</f>
        <v>451121</v>
      </c>
      <c r="D1892" s="48">
        <f>SUBTOTAL(109,Program71[(D)
Prior Period Adjustments])</f>
        <v>-1468</v>
      </c>
      <c r="E1892" s="48">
        <f>SUBTOTAL(109,Program71[(E)
Current Period Desk 
Reviews])</f>
        <v>0</v>
      </c>
      <c r="F1892" s="48">
        <f>SUBTOTAL(109,Program71[(F)
Current Period 
Final 
Audits])</f>
        <v>0</v>
      </c>
      <c r="G1892" s="48">
        <f>SUBTOTAL(109,Program71[(G)
Current Period 
Other Adjustments])</f>
        <v>0</v>
      </c>
      <c r="H1892" s="48">
        <f>SUBTOTAL(109,Program71[(H)
Net Program Costs
Sum (C through G)])</f>
        <v>449653</v>
      </c>
      <c r="I1892" s="48">
        <f>SUBTOTAL(109,Program71[(I)
Payments
 and Offsets])</f>
        <v>-449653</v>
      </c>
      <c r="J1892" s="48">
        <f>SUBTOTAL(109,Program71[(J)
Accounts Payable Balance
(H + I)])</f>
        <v>0</v>
      </c>
      <c r="K1892" s="48">
        <f>SUBTOTAL(109,Program71[(K)
Established 
Accounts Receivable])</f>
        <v>0</v>
      </c>
      <c r="L1892" s="48">
        <f>SUBTOTAL(105,Program71[(L)
Recovered
 Accounts Receivable])</f>
        <v>0</v>
      </c>
      <c r="M1892" s="48">
        <f>SUBTOTAL(109,Program71[(M)
Accounts Receivable Balance
(K + L)])</f>
        <v>0</v>
      </c>
      <c r="N1892" s="48">
        <f>SUBTOTAL(109,Program71[(N)
Net Balance
(J minus M)])</f>
        <v>0</v>
      </c>
    </row>
    <row r="1893" spans="1:14" x14ac:dyDescent="0.35">
      <c r="A1893" s="63" t="s">
        <v>33</v>
      </c>
      <c r="B1893" s="62"/>
      <c r="C1893" s="61"/>
      <c r="D1893" s="61"/>
      <c r="E1893" s="61"/>
      <c r="F1893" s="61"/>
      <c r="G1893" s="61"/>
      <c r="H1893" s="61"/>
      <c r="I1893" s="61"/>
      <c r="J1893" s="61"/>
      <c r="K1893" s="61"/>
      <c r="L1893" s="61"/>
      <c r="M1893" s="61"/>
      <c r="N1893" s="61"/>
    </row>
    <row r="1894" spans="1:14" ht="77.5" x14ac:dyDescent="0.35">
      <c r="A1894" s="60" t="s">
        <v>185</v>
      </c>
      <c r="B1894" s="59" t="s">
        <v>184</v>
      </c>
      <c r="C1894" s="58" t="s">
        <v>183</v>
      </c>
      <c r="D1894" s="58" t="s">
        <v>182</v>
      </c>
      <c r="E1894" s="56" t="s">
        <v>181</v>
      </c>
      <c r="F1894" s="56" t="s">
        <v>180</v>
      </c>
      <c r="G1894" s="56" t="s">
        <v>179</v>
      </c>
      <c r="H1894" s="57" t="s">
        <v>674</v>
      </c>
      <c r="I1894" s="55" t="s">
        <v>178</v>
      </c>
      <c r="J1894" s="55" t="s">
        <v>177</v>
      </c>
      <c r="K1894" s="56" t="s">
        <v>176</v>
      </c>
      <c r="L1894" s="55" t="s">
        <v>175</v>
      </c>
      <c r="M1894" s="55" t="s">
        <v>174</v>
      </c>
      <c r="N1894" s="54" t="s">
        <v>173</v>
      </c>
    </row>
    <row r="1895" spans="1:14" x14ac:dyDescent="0.35">
      <c r="A1895" s="53" t="s">
        <v>207</v>
      </c>
      <c r="B1895" s="66" t="s">
        <v>209</v>
      </c>
      <c r="C1895" s="51">
        <v>2510091</v>
      </c>
      <c r="D1895" s="51">
        <v>-10000</v>
      </c>
      <c r="E1895" s="51">
        <v>0</v>
      </c>
      <c r="F1895" s="51">
        <v>0</v>
      </c>
      <c r="G1895" s="51">
        <v>0</v>
      </c>
      <c r="H1895" s="51">
        <v>2500091</v>
      </c>
      <c r="I1895" s="51">
        <v>0</v>
      </c>
      <c r="J1895" s="51">
        <v>2500091</v>
      </c>
      <c r="K1895" s="51">
        <v>0</v>
      </c>
      <c r="L1895" s="51">
        <v>0</v>
      </c>
      <c r="M1895" s="51">
        <v>0</v>
      </c>
      <c r="N1895" s="51">
        <v>2500091</v>
      </c>
    </row>
    <row r="1896" spans="1:14" x14ac:dyDescent="0.35">
      <c r="A1896" s="53" t="s">
        <v>207</v>
      </c>
      <c r="B1896" s="66" t="s">
        <v>208</v>
      </c>
      <c r="C1896" s="51">
        <v>658320</v>
      </c>
      <c r="D1896" s="51">
        <v>-8995</v>
      </c>
      <c r="E1896" s="51">
        <v>0</v>
      </c>
      <c r="F1896" s="51">
        <v>0</v>
      </c>
      <c r="G1896" s="51">
        <v>0</v>
      </c>
      <c r="H1896" s="51">
        <v>649325</v>
      </c>
      <c r="I1896" s="51">
        <v>0</v>
      </c>
      <c r="J1896" s="51">
        <v>649325</v>
      </c>
      <c r="K1896" s="51">
        <v>0</v>
      </c>
      <c r="L1896" s="51">
        <v>0</v>
      </c>
      <c r="M1896" s="51">
        <v>0</v>
      </c>
      <c r="N1896" s="51">
        <v>649325</v>
      </c>
    </row>
    <row r="1897" spans="1:14" x14ac:dyDescent="0.35">
      <c r="A1897" s="53" t="s">
        <v>207</v>
      </c>
      <c r="B1897" s="66" t="s">
        <v>206</v>
      </c>
      <c r="C1897" s="51">
        <v>1492595</v>
      </c>
      <c r="D1897" s="51">
        <v>-8138</v>
      </c>
      <c r="E1897" s="51">
        <v>0</v>
      </c>
      <c r="F1897" s="51">
        <v>0</v>
      </c>
      <c r="G1897" s="51">
        <v>0</v>
      </c>
      <c r="H1897" s="51">
        <v>1484457</v>
      </c>
      <c r="I1897" s="51">
        <v>0</v>
      </c>
      <c r="J1897" s="51">
        <v>1484457</v>
      </c>
      <c r="K1897" s="51">
        <v>0</v>
      </c>
      <c r="L1897" s="51">
        <v>0</v>
      </c>
      <c r="M1897" s="51">
        <v>0</v>
      </c>
      <c r="N1897" s="51">
        <v>1484457</v>
      </c>
    </row>
    <row r="1898" spans="1:14" x14ac:dyDescent="0.35">
      <c r="A1898" s="53" t="s">
        <v>207</v>
      </c>
      <c r="B1898" s="66" t="s">
        <v>205</v>
      </c>
      <c r="C1898" s="51">
        <v>476952</v>
      </c>
      <c r="D1898" s="51">
        <v>-9141</v>
      </c>
      <c r="E1898" s="51">
        <v>0</v>
      </c>
      <c r="F1898" s="51">
        <v>0</v>
      </c>
      <c r="G1898" s="51">
        <v>0</v>
      </c>
      <c r="H1898" s="51">
        <v>467811</v>
      </c>
      <c r="I1898" s="51">
        <v>0</v>
      </c>
      <c r="J1898" s="51">
        <v>467811</v>
      </c>
      <c r="K1898" s="51">
        <v>0</v>
      </c>
      <c r="L1898" s="51">
        <v>0</v>
      </c>
      <c r="M1898" s="51">
        <v>0</v>
      </c>
      <c r="N1898" s="51">
        <v>467811</v>
      </c>
    </row>
    <row r="1899" spans="1:14" x14ac:dyDescent="0.35">
      <c r="A1899" s="53" t="s">
        <v>207</v>
      </c>
      <c r="B1899" s="66" t="s">
        <v>204</v>
      </c>
      <c r="C1899" s="51">
        <v>1368505</v>
      </c>
      <c r="D1899" s="51">
        <v>-7139</v>
      </c>
      <c r="E1899" s="51">
        <v>0</v>
      </c>
      <c r="F1899" s="51">
        <v>0</v>
      </c>
      <c r="G1899" s="51">
        <v>0</v>
      </c>
      <c r="H1899" s="51">
        <v>1361366</v>
      </c>
      <c r="I1899" s="51">
        <v>0</v>
      </c>
      <c r="J1899" s="51">
        <v>1361366</v>
      </c>
      <c r="K1899" s="51">
        <v>0</v>
      </c>
      <c r="L1899" s="51">
        <v>0</v>
      </c>
      <c r="M1899" s="51">
        <v>0</v>
      </c>
      <c r="N1899" s="51">
        <v>1361366</v>
      </c>
    </row>
    <row r="1900" spans="1:14" x14ac:dyDescent="0.35">
      <c r="A1900" s="53" t="s">
        <v>207</v>
      </c>
      <c r="B1900" s="66" t="s">
        <v>203</v>
      </c>
      <c r="C1900" s="51">
        <v>433116</v>
      </c>
      <c r="D1900" s="51">
        <v>-14126</v>
      </c>
      <c r="E1900" s="51">
        <v>0</v>
      </c>
      <c r="F1900" s="51">
        <v>0</v>
      </c>
      <c r="G1900" s="51">
        <v>0</v>
      </c>
      <c r="H1900" s="51">
        <v>418990</v>
      </c>
      <c r="I1900" s="51">
        <v>0</v>
      </c>
      <c r="J1900" s="51">
        <v>418990</v>
      </c>
      <c r="K1900" s="51">
        <v>0</v>
      </c>
      <c r="L1900" s="51">
        <v>0</v>
      </c>
      <c r="M1900" s="51">
        <v>0</v>
      </c>
      <c r="N1900" s="51">
        <v>418990</v>
      </c>
    </row>
    <row r="1901" spans="1:14" x14ac:dyDescent="0.35">
      <c r="A1901" s="53" t="s">
        <v>207</v>
      </c>
      <c r="B1901" s="66" t="s">
        <v>202</v>
      </c>
      <c r="C1901" s="51">
        <v>700423</v>
      </c>
      <c r="D1901" s="51">
        <v>-4860</v>
      </c>
      <c r="E1901" s="51">
        <v>0</v>
      </c>
      <c r="F1901" s="51">
        <v>0</v>
      </c>
      <c r="G1901" s="51">
        <v>0</v>
      </c>
      <c r="H1901" s="51">
        <v>695563</v>
      </c>
      <c r="I1901" s="51">
        <v>0</v>
      </c>
      <c r="J1901" s="51">
        <v>695563</v>
      </c>
      <c r="K1901" s="51">
        <v>0</v>
      </c>
      <c r="L1901" s="51">
        <v>0</v>
      </c>
      <c r="M1901" s="51">
        <v>0</v>
      </c>
      <c r="N1901" s="51">
        <v>695563</v>
      </c>
    </row>
    <row r="1902" spans="1:14" x14ac:dyDescent="0.35">
      <c r="A1902" s="53" t="s">
        <v>207</v>
      </c>
      <c r="B1902" s="66" t="s">
        <v>201</v>
      </c>
      <c r="C1902" s="51">
        <v>431940</v>
      </c>
      <c r="D1902" s="51">
        <v>-4462</v>
      </c>
      <c r="E1902" s="51">
        <v>0</v>
      </c>
      <c r="F1902" s="51">
        <v>0</v>
      </c>
      <c r="G1902" s="51">
        <v>0</v>
      </c>
      <c r="H1902" s="51">
        <v>427478</v>
      </c>
      <c r="I1902" s="51">
        <v>0</v>
      </c>
      <c r="J1902" s="51">
        <v>427478</v>
      </c>
      <c r="K1902" s="51">
        <v>0</v>
      </c>
      <c r="L1902" s="51">
        <v>0</v>
      </c>
      <c r="M1902" s="51">
        <v>0</v>
      </c>
      <c r="N1902" s="51">
        <v>427478</v>
      </c>
    </row>
    <row r="1903" spans="1:14" x14ac:dyDescent="0.35">
      <c r="A1903" s="53" t="s">
        <v>207</v>
      </c>
      <c r="B1903" s="66" t="s">
        <v>200</v>
      </c>
      <c r="C1903" s="51">
        <v>1092490</v>
      </c>
      <c r="D1903" s="51">
        <v>-4355</v>
      </c>
      <c r="E1903" s="51">
        <v>0</v>
      </c>
      <c r="F1903" s="51">
        <v>0</v>
      </c>
      <c r="G1903" s="51">
        <v>0</v>
      </c>
      <c r="H1903" s="51">
        <v>1088135</v>
      </c>
      <c r="I1903" s="51">
        <v>0</v>
      </c>
      <c r="J1903" s="51">
        <v>1088135</v>
      </c>
      <c r="K1903" s="51">
        <v>0</v>
      </c>
      <c r="L1903" s="51">
        <v>0</v>
      </c>
      <c r="M1903" s="51">
        <v>0</v>
      </c>
      <c r="N1903" s="51">
        <v>1088135</v>
      </c>
    </row>
    <row r="1904" spans="1:14" x14ac:dyDescent="0.35">
      <c r="A1904" s="53" t="s">
        <v>207</v>
      </c>
      <c r="B1904" s="66" t="s">
        <v>199</v>
      </c>
      <c r="C1904" s="51">
        <v>528888</v>
      </c>
      <c r="D1904" s="51">
        <v>-14628</v>
      </c>
      <c r="E1904" s="51">
        <v>0</v>
      </c>
      <c r="F1904" s="51">
        <v>0</v>
      </c>
      <c r="G1904" s="51">
        <v>0</v>
      </c>
      <c r="H1904" s="51">
        <v>514260</v>
      </c>
      <c r="I1904" s="51">
        <v>0</v>
      </c>
      <c r="J1904" s="51">
        <v>514260</v>
      </c>
      <c r="K1904" s="51">
        <v>0</v>
      </c>
      <c r="L1904" s="51">
        <v>0</v>
      </c>
      <c r="M1904" s="51">
        <v>0</v>
      </c>
      <c r="N1904" s="51">
        <v>514260</v>
      </c>
    </row>
    <row r="1905" spans="1:14" x14ac:dyDescent="0.35">
      <c r="A1905" s="53" t="s">
        <v>207</v>
      </c>
      <c r="B1905" s="66" t="s">
        <v>198</v>
      </c>
      <c r="C1905" s="51">
        <v>470986</v>
      </c>
      <c r="D1905" s="51">
        <v>-3071</v>
      </c>
      <c r="E1905" s="51">
        <v>0</v>
      </c>
      <c r="F1905" s="51">
        <v>0</v>
      </c>
      <c r="G1905" s="51">
        <v>0</v>
      </c>
      <c r="H1905" s="51">
        <v>467915</v>
      </c>
      <c r="I1905" s="51">
        <v>0</v>
      </c>
      <c r="J1905" s="51">
        <v>467915</v>
      </c>
      <c r="K1905" s="51">
        <v>0</v>
      </c>
      <c r="L1905" s="51">
        <v>0</v>
      </c>
      <c r="M1905" s="51">
        <v>0</v>
      </c>
      <c r="N1905" s="51">
        <v>467915</v>
      </c>
    </row>
    <row r="1906" spans="1:14" ht="16" thickBot="1" x14ac:dyDescent="0.4">
      <c r="A1906" s="50" t="s">
        <v>44</v>
      </c>
      <c r="B1906" s="67" t="s">
        <v>12</v>
      </c>
      <c r="C1906" s="48">
        <f>SUBTOTAL(109,Program331[(C)
Program
Costs])</f>
        <v>10164306</v>
      </c>
      <c r="D1906" s="48">
        <f>SUBTOTAL(109,Program331[(D)
Prior Period Adjustments])</f>
        <v>-88915</v>
      </c>
      <c r="E1906" s="48">
        <f>SUBTOTAL(109,Program331[(E)
Current Period Desk 
Reviews])</f>
        <v>0</v>
      </c>
      <c r="F1906" s="48">
        <f>SUBTOTAL(109,Program331[(F)
Current Period 
Final 
Audits])</f>
        <v>0</v>
      </c>
      <c r="G1906" s="48">
        <f>SUBTOTAL(109,Program331[(G)
Current Period 
Other Adjustments])</f>
        <v>0</v>
      </c>
      <c r="H1906" s="48">
        <f>SUBTOTAL(109,Program331[(H)
Net Program Costs
Sum (C through G)])</f>
        <v>10075391</v>
      </c>
      <c r="I1906" s="48">
        <f>SUBTOTAL(109,Program331[(I)
Payments
 and Offsets])</f>
        <v>0</v>
      </c>
      <c r="J1906" s="48">
        <f>SUBTOTAL(109,Program331[(J)
Accounts Payable Balance
(H + I)])</f>
        <v>10075391</v>
      </c>
      <c r="K1906" s="48">
        <f>SUBTOTAL(109,Program331[(K)
Established 
Accounts Receivable])</f>
        <v>0</v>
      </c>
      <c r="L1906" s="48">
        <f>SUBTOTAL(109,Program331[(L)
Recovered
 Accounts Receivable])</f>
        <v>0</v>
      </c>
      <c r="M1906" s="48">
        <f>SUBTOTAL(109,Program331[(M)
Accounts Receivable Balance
(K + L)])</f>
        <v>0</v>
      </c>
      <c r="N1906" s="48">
        <f>SUBTOTAL(109,Program331[(N)
Net Balance
(J minus M)])</f>
        <v>10075391</v>
      </c>
    </row>
    <row r="1907" spans="1:14" x14ac:dyDescent="0.35">
      <c r="A1907" s="63" t="s">
        <v>33</v>
      </c>
      <c r="B1907" s="62"/>
      <c r="C1907" s="61"/>
      <c r="D1907" s="61"/>
      <c r="E1907" s="61"/>
      <c r="F1907" s="61"/>
      <c r="G1907" s="61"/>
      <c r="H1907" s="61"/>
      <c r="I1907" s="61"/>
      <c r="J1907" s="61"/>
      <c r="K1907" s="61"/>
      <c r="L1907" s="61"/>
      <c r="M1907" s="61"/>
      <c r="N1907" s="61"/>
    </row>
    <row r="1908" spans="1:14" ht="77.5" x14ac:dyDescent="0.35">
      <c r="A1908" s="60" t="s">
        <v>185</v>
      </c>
      <c r="B1908" s="59" t="s">
        <v>184</v>
      </c>
      <c r="C1908" s="58" t="s">
        <v>183</v>
      </c>
      <c r="D1908" s="58" t="s">
        <v>182</v>
      </c>
      <c r="E1908" s="56" t="s">
        <v>181</v>
      </c>
      <c r="F1908" s="56" t="s">
        <v>180</v>
      </c>
      <c r="G1908" s="56" t="s">
        <v>179</v>
      </c>
      <c r="H1908" s="57" t="s">
        <v>674</v>
      </c>
      <c r="I1908" s="55" t="s">
        <v>178</v>
      </c>
      <c r="J1908" s="55" t="s">
        <v>177</v>
      </c>
      <c r="K1908" s="56" t="s">
        <v>176</v>
      </c>
      <c r="L1908" s="55" t="s">
        <v>175</v>
      </c>
      <c r="M1908" s="55" t="s">
        <v>174</v>
      </c>
      <c r="N1908" s="54" t="s">
        <v>173</v>
      </c>
    </row>
    <row r="1909" spans="1:14" x14ac:dyDescent="0.35">
      <c r="A1909" s="53" t="s">
        <v>187</v>
      </c>
      <c r="B1909" s="66" t="s">
        <v>206</v>
      </c>
      <c r="C1909" s="51">
        <v>1278525</v>
      </c>
      <c r="D1909" s="51">
        <v>-3027</v>
      </c>
      <c r="E1909" s="51">
        <v>0</v>
      </c>
      <c r="F1909" s="51">
        <v>0</v>
      </c>
      <c r="G1909" s="51">
        <v>0</v>
      </c>
      <c r="H1909" s="51">
        <v>1275498</v>
      </c>
      <c r="I1909" s="51">
        <v>0</v>
      </c>
      <c r="J1909" s="51">
        <v>1275498</v>
      </c>
      <c r="K1909" s="51">
        <v>0</v>
      </c>
      <c r="L1909" s="51">
        <v>0</v>
      </c>
      <c r="M1909" s="51">
        <v>0</v>
      </c>
      <c r="N1909" s="51">
        <v>1275498</v>
      </c>
    </row>
    <row r="1910" spans="1:14" x14ac:dyDescent="0.35">
      <c r="A1910" s="53" t="s">
        <v>187</v>
      </c>
      <c r="B1910" s="66" t="s">
        <v>205</v>
      </c>
      <c r="C1910" s="51">
        <v>1206671</v>
      </c>
      <c r="D1910" s="51">
        <v>-1073</v>
      </c>
      <c r="E1910" s="51">
        <v>0</v>
      </c>
      <c r="F1910" s="51">
        <v>0</v>
      </c>
      <c r="G1910" s="51">
        <v>0</v>
      </c>
      <c r="H1910" s="51">
        <v>1205598</v>
      </c>
      <c r="I1910" s="51">
        <v>0</v>
      </c>
      <c r="J1910" s="51">
        <v>1205598</v>
      </c>
      <c r="K1910" s="51">
        <v>0</v>
      </c>
      <c r="L1910" s="51">
        <v>0</v>
      </c>
      <c r="M1910" s="51">
        <v>0</v>
      </c>
      <c r="N1910" s="51">
        <v>1205598</v>
      </c>
    </row>
    <row r="1911" spans="1:14" x14ac:dyDescent="0.35">
      <c r="A1911" s="53" t="s">
        <v>187</v>
      </c>
      <c r="B1911" s="66" t="s">
        <v>204</v>
      </c>
      <c r="C1911" s="51">
        <v>2040063</v>
      </c>
      <c r="D1911" s="51">
        <v>-1098</v>
      </c>
      <c r="E1911" s="51">
        <v>0</v>
      </c>
      <c r="F1911" s="51">
        <v>0</v>
      </c>
      <c r="G1911" s="51">
        <v>0</v>
      </c>
      <c r="H1911" s="51">
        <v>2038965</v>
      </c>
      <c r="I1911" s="51">
        <v>-2038965</v>
      </c>
      <c r="J1911" s="51">
        <v>0</v>
      </c>
      <c r="K1911" s="51">
        <v>0</v>
      </c>
      <c r="L1911" s="51">
        <v>0</v>
      </c>
      <c r="M1911" s="51">
        <v>0</v>
      </c>
      <c r="N1911" s="51">
        <v>0</v>
      </c>
    </row>
    <row r="1912" spans="1:14" x14ac:dyDescent="0.35">
      <c r="A1912" s="53" t="s">
        <v>187</v>
      </c>
      <c r="B1912" s="66" t="s">
        <v>203</v>
      </c>
      <c r="C1912" s="51">
        <v>1678084</v>
      </c>
      <c r="D1912" s="51">
        <v>-6482</v>
      </c>
      <c r="E1912" s="51">
        <v>0</v>
      </c>
      <c r="F1912" s="51">
        <v>0</v>
      </c>
      <c r="G1912" s="51">
        <v>0</v>
      </c>
      <c r="H1912" s="51">
        <v>1671602</v>
      </c>
      <c r="I1912" s="51">
        <v>-1671602</v>
      </c>
      <c r="J1912" s="51">
        <v>0</v>
      </c>
      <c r="K1912" s="51">
        <v>0</v>
      </c>
      <c r="L1912" s="51">
        <v>0</v>
      </c>
      <c r="M1912" s="51">
        <v>0</v>
      </c>
      <c r="N1912" s="51">
        <v>0</v>
      </c>
    </row>
    <row r="1913" spans="1:14" x14ac:dyDescent="0.35">
      <c r="A1913" s="53" t="s">
        <v>187</v>
      </c>
      <c r="B1913" s="66" t="s">
        <v>202</v>
      </c>
      <c r="C1913" s="51">
        <v>1044311</v>
      </c>
      <c r="D1913" s="51">
        <v>-5780</v>
      </c>
      <c r="E1913" s="51">
        <v>0</v>
      </c>
      <c r="F1913" s="51">
        <v>0</v>
      </c>
      <c r="G1913" s="51">
        <v>0</v>
      </c>
      <c r="H1913" s="51">
        <v>1038531</v>
      </c>
      <c r="I1913" s="51">
        <v>-1038531</v>
      </c>
      <c r="J1913" s="51">
        <v>0</v>
      </c>
      <c r="K1913" s="51">
        <v>31300</v>
      </c>
      <c r="L1913" s="51">
        <v>-31300</v>
      </c>
      <c r="M1913" s="51">
        <v>0</v>
      </c>
      <c r="N1913" s="51">
        <v>0</v>
      </c>
    </row>
    <row r="1914" spans="1:14" x14ac:dyDescent="0.35">
      <c r="A1914" s="53" t="s">
        <v>187</v>
      </c>
      <c r="B1914" s="66" t="s">
        <v>201</v>
      </c>
      <c r="C1914" s="51">
        <v>944264</v>
      </c>
      <c r="D1914" s="51">
        <v>-8136</v>
      </c>
      <c r="E1914" s="51">
        <v>0</v>
      </c>
      <c r="F1914" s="51">
        <v>0</v>
      </c>
      <c r="G1914" s="51">
        <v>0</v>
      </c>
      <c r="H1914" s="51">
        <v>936128</v>
      </c>
      <c r="I1914" s="51">
        <v>-936128</v>
      </c>
      <c r="J1914" s="51">
        <v>0</v>
      </c>
      <c r="K1914" s="51">
        <v>0</v>
      </c>
      <c r="L1914" s="51">
        <v>0</v>
      </c>
      <c r="M1914" s="51">
        <v>0</v>
      </c>
      <c r="N1914" s="51">
        <v>0</v>
      </c>
    </row>
    <row r="1915" spans="1:14" x14ac:dyDescent="0.35">
      <c r="A1915" s="53" t="s">
        <v>187</v>
      </c>
      <c r="B1915" s="66" t="s">
        <v>200</v>
      </c>
      <c r="C1915" s="51">
        <v>1461256</v>
      </c>
      <c r="D1915" s="51">
        <v>-4891</v>
      </c>
      <c r="E1915" s="51">
        <v>0</v>
      </c>
      <c r="F1915" s="51">
        <v>0</v>
      </c>
      <c r="G1915" s="51">
        <v>0</v>
      </c>
      <c r="H1915" s="51">
        <v>1456365</v>
      </c>
      <c r="I1915" s="51">
        <v>-1456365</v>
      </c>
      <c r="J1915" s="51">
        <v>0</v>
      </c>
      <c r="K1915" s="51">
        <v>0</v>
      </c>
      <c r="L1915" s="51">
        <v>0</v>
      </c>
      <c r="M1915" s="51">
        <v>0</v>
      </c>
      <c r="N1915" s="51">
        <v>0</v>
      </c>
    </row>
    <row r="1916" spans="1:14" x14ac:dyDescent="0.35">
      <c r="A1916" s="53" t="s">
        <v>187</v>
      </c>
      <c r="B1916" s="66" t="s">
        <v>199</v>
      </c>
      <c r="C1916" s="51">
        <v>1612921</v>
      </c>
      <c r="D1916" s="51">
        <v>-4287</v>
      </c>
      <c r="E1916" s="51">
        <v>0</v>
      </c>
      <c r="F1916" s="51">
        <v>0</v>
      </c>
      <c r="G1916" s="51">
        <v>0</v>
      </c>
      <c r="H1916" s="51">
        <v>1608634</v>
      </c>
      <c r="I1916" s="51">
        <v>-1608634</v>
      </c>
      <c r="J1916" s="51">
        <v>0</v>
      </c>
      <c r="K1916" s="51">
        <v>0</v>
      </c>
      <c r="L1916" s="51">
        <v>0</v>
      </c>
      <c r="M1916" s="51">
        <v>0</v>
      </c>
      <c r="N1916" s="51">
        <v>0</v>
      </c>
    </row>
    <row r="1917" spans="1:14" x14ac:dyDescent="0.35">
      <c r="A1917" s="53" t="s">
        <v>187</v>
      </c>
      <c r="B1917" s="66" t="s">
        <v>198</v>
      </c>
      <c r="C1917" s="51">
        <v>931597</v>
      </c>
      <c r="D1917" s="51">
        <v>-3051</v>
      </c>
      <c r="E1917" s="51">
        <v>0</v>
      </c>
      <c r="F1917" s="51">
        <v>0</v>
      </c>
      <c r="G1917" s="51">
        <v>0</v>
      </c>
      <c r="H1917" s="51">
        <v>928546</v>
      </c>
      <c r="I1917" s="51">
        <v>-928546</v>
      </c>
      <c r="J1917" s="51">
        <v>0</v>
      </c>
      <c r="K1917" s="51">
        <v>0</v>
      </c>
      <c r="L1917" s="51">
        <v>0</v>
      </c>
      <c r="M1917" s="51">
        <v>0</v>
      </c>
      <c r="N1917" s="51">
        <v>0</v>
      </c>
    </row>
    <row r="1918" spans="1:14" x14ac:dyDescent="0.35">
      <c r="A1918" s="53" t="s">
        <v>187</v>
      </c>
      <c r="B1918" s="66" t="s">
        <v>197</v>
      </c>
      <c r="C1918" s="51">
        <v>780842</v>
      </c>
      <c r="D1918" s="51">
        <v>-2491</v>
      </c>
      <c r="E1918" s="51">
        <v>0</v>
      </c>
      <c r="F1918" s="51">
        <v>0</v>
      </c>
      <c r="G1918" s="51">
        <v>0</v>
      </c>
      <c r="H1918" s="51">
        <v>778351</v>
      </c>
      <c r="I1918" s="51">
        <v>-778351</v>
      </c>
      <c r="J1918" s="51">
        <v>0</v>
      </c>
      <c r="K1918" s="51">
        <v>0</v>
      </c>
      <c r="L1918" s="51">
        <v>0</v>
      </c>
      <c r="M1918" s="51">
        <v>0</v>
      </c>
      <c r="N1918" s="51">
        <v>0</v>
      </c>
    </row>
    <row r="1919" spans="1:14" x14ac:dyDescent="0.35">
      <c r="A1919" s="53" t="s">
        <v>187</v>
      </c>
      <c r="B1919" s="66" t="s">
        <v>196</v>
      </c>
      <c r="C1919" s="51">
        <v>1161862</v>
      </c>
      <c r="D1919" s="51">
        <v>-4000</v>
      </c>
      <c r="E1919" s="51">
        <v>0</v>
      </c>
      <c r="F1919" s="51">
        <v>0</v>
      </c>
      <c r="G1919" s="51">
        <v>0</v>
      </c>
      <c r="H1919" s="51">
        <v>1157862</v>
      </c>
      <c r="I1919" s="51">
        <v>-1157862</v>
      </c>
      <c r="J1919" s="51">
        <v>0</v>
      </c>
      <c r="K1919" s="51">
        <v>0</v>
      </c>
      <c r="L1919" s="51">
        <v>0</v>
      </c>
      <c r="M1919" s="51">
        <v>0</v>
      </c>
      <c r="N1919" s="51">
        <v>0</v>
      </c>
    </row>
    <row r="1920" spans="1:14" x14ac:dyDescent="0.35">
      <c r="A1920" s="53" t="s">
        <v>187</v>
      </c>
      <c r="B1920" s="66" t="s">
        <v>195</v>
      </c>
      <c r="C1920" s="51">
        <v>1186558</v>
      </c>
      <c r="D1920" s="51">
        <v>-10465</v>
      </c>
      <c r="E1920" s="51">
        <v>0</v>
      </c>
      <c r="F1920" s="51">
        <v>0</v>
      </c>
      <c r="G1920" s="51">
        <v>0</v>
      </c>
      <c r="H1920" s="51">
        <v>1176093</v>
      </c>
      <c r="I1920" s="51">
        <v>-1176093</v>
      </c>
      <c r="J1920" s="51">
        <v>0</v>
      </c>
      <c r="K1920" s="51">
        <v>36033</v>
      </c>
      <c r="L1920" s="51">
        <v>-36033</v>
      </c>
      <c r="M1920" s="51">
        <v>0</v>
      </c>
      <c r="N1920" s="51">
        <v>0</v>
      </c>
    </row>
    <row r="1921" spans="1:14" x14ac:dyDescent="0.35">
      <c r="A1921" s="53" t="s">
        <v>187</v>
      </c>
      <c r="B1921" s="66" t="s">
        <v>194</v>
      </c>
      <c r="C1921" s="51">
        <v>936747</v>
      </c>
      <c r="D1921" s="51">
        <v>0</v>
      </c>
      <c r="E1921" s="51">
        <v>0</v>
      </c>
      <c r="F1921" s="51">
        <v>0</v>
      </c>
      <c r="G1921" s="51">
        <v>0</v>
      </c>
      <c r="H1921" s="51">
        <v>936747</v>
      </c>
      <c r="I1921" s="51">
        <v>-936747</v>
      </c>
      <c r="J1921" s="51">
        <v>0</v>
      </c>
      <c r="K1921" s="51">
        <v>29864</v>
      </c>
      <c r="L1921" s="51">
        <v>-29864</v>
      </c>
      <c r="M1921" s="51">
        <v>0</v>
      </c>
      <c r="N1921" s="51">
        <v>0</v>
      </c>
    </row>
    <row r="1922" spans="1:14" x14ac:dyDescent="0.35">
      <c r="A1922" s="53" t="s">
        <v>187</v>
      </c>
      <c r="B1922" s="66" t="s">
        <v>193</v>
      </c>
      <c r="C1922" s="51">
        <v>971511</v>
      </c>
      <c r="D1922" s="51">
        <v>0</v>
      </c>
      <c r="E1922" s="51">
        <v>0</v>
      </c>
      <c r="F1922" s="51">
        <v>0</v>
      </c>
      <c r="G1922" s="51">
        <v>0</v>
      </c>
      <c r="H1922" s="51">
        <v>971511</v>
      </c>
      <c r="I1922" s="51">
        <v>-971511</v>
      </c>
      <c r="J1922" s="51">
        <v>0</v>
      </c>
      <c r="K1922" s="51">
        <v>0</v>
      </c>
      <c r="L1922" s="51">
        <v>0</v>
      </c>
      <c r="M1922" s="51">
        <v>0</v>
      </c>
      <c r="N1922" s="51">
        <v>0</v>
      </c>
    </row>
    <row r="1923" spans="1:14" x14ac:dyDescent="0.35">
      <c r="A1923" s="53" t="s">
        <v>187</v>
      </c>
      <c r="B1923" s="66" t="s">
        <v>192</v>
      </c>
      <c r="C1923" s="51">
        <v>1070775</v>
      </c>
      <c r="D1923" s="51">
        <v>0</v>
      </c>
      <c r="E1923" s="51">
        <v>0</v>
      </c>
      <c r="F1923" s="51">
        <v>0</v>
      </c>
      <c r="G1923" s="51">
        <v>0</v>
      </c>
      <c r="H1923" s="51">
        <v>1070775</v>
      </c>
      <c r="I1923" s="51">
        <v>-1070775</v>
      </c>
      <c r="J1923" s="51">
        <v>0</v>
      </c>
      <c r="K1923" s="51">
        <v>0</v>
      </c>
      <c r="L1923" s="51">
        <v>0</v>
      </c>
      <c r="M1923" s="51">
        <v>0</v>
      </c>
      <c r="N1923" s="51">
        <v>0</v>
      </c>
    </row>
    <row r="1924" spans="1:14" x14ac:dyDescent="0.35">
      <c r="A1924" s="53" t="s">
        <v>187</v>
      </c>
      <c r="B1924" s="66" t="s">
        <v>191</v>
      </c>
      <c r="C1924" s="51">
        <v>1258459</v>
      </c>
      <c r="D1924" s="51">
        <v>-106</v>
      </c>
      <c r="E1924" s="51">
        <v>0</v>
      </c>
      <c r="F1924" s="51">
        <v>0</v>
      </c>
      <c r="G1924" s="51">
        <v>0</v>
      </c>
      <c r="H1924" s="51">
        <v>1258353</v>
      </c>
      <c r="I1924" s="51">
        <v>-1258353</v>
      </c>
      <c r="J1924" s="51">
        <v>0</v>
      </c>
      <c r="K1924" s="51">
        <v>0</v>
      </c>
      <c r="L1924" s="51">
        <v>0</v>
      </c>
      <c r="M1924" s="51">
        <v>0</v>
      </c>
      <c r="N1924" s="51">
        <v>0</v>
      </c>
    </row>
    <row r="1925" spans="1:14" x14ac:dyDescent="0.35">
      <c r="A1925" s="53" t="s">
        <v>187</v>
      </c>
      <c r="B1925" s="66" t="s">
        <v>190</v>
      </c>
      <c r="C1925" s="51">
        <v>854339</v>
      </c>
      <c r="D1925" s="51">
        <v>-1927</v>
      </c>
      <c r="E1925" s="51">
        <v>0</v>
      </c>
      <c r="F1925" s="51">
        <v>0</v>
      </c>
      <c r="G1925" s="51">
        <v>0</v>
      </c>
      <c r="H1925" s="51">
        <v>852412</v>
      </c>
      <c r="I1925" s="51">
        <v>-852412</v>
      </c>
      <c r="J1925" s="51">
        <v>0</v>
      </c>
      <c r="K1925" s="51">
        <v>0</v>
      </c>
      <c r="L1925" s="51">
        <v>0</v>
      </c>
      <c r="M1925" s="51">
        <v>0</v>
      </c>
      <c r="N1925" s="51">
        <v>0</v>
      </c>
    </row>
    <row r="1926" spans="1:14" x14ac:dyDescent="0.35">
      <c r="A1926" s="53" t="s">
        <v>187</v>
      </c>
      <c r="B1926" s="66" t="s">
        <v>189</v>
      </c>
      <c r="C1926" s="51">
        <v>713897</v>
      </c>
      <c r="D1926" s="51">
        <v>0</v>
      </c>
      <c r="E1926" s="51">
        <v>0</v>
      </c>
      <c r="F1926" s="51">
        <v>0</v>
      </c>
      <c r="G1926" s="51">
        <v>0</v>
      </c>
      <c r="H1926" s="51">
        <v>713897</v>
      </c>
      <c r="I1926" s="51">
        <v>-713897</v>
      </c>
      <c r="J1926" s="51">
        <v>0</v>
      </c>
      <c r="K1926" s="51">
        <v>0</v>
      </c>
      <c r="L1926" s="51">
        <v>0</v>
      </c>
      <c r="M1926" s="51">
        <v>0</v>
      </c>
      <c r="N1926" s="51">
        <v>0</v>
      </c>
    </row>
    <row r="1927" spans="1:14" x14ac:dyDescent="0.35">
      <c r="A1927" s="53" t="s">
        <v>187</v>
      </c>
      <c r="B1927" s="66" t="s">
        <v>188</v>
      </c>
      <c r="C1927" s="51">
        <v>1423005</v>
      </c>
      <c r="D1927" s="51">
        <v>-144921</v>
      </c>
      <c r="E1927" s="51">
        <v>0</v>
      </c>
      <c r="F1927" s="51">
        <v>0</v>
      </c>
      <c r="G1927" s="51">
        <v>0</v>
      </c>
      <c r="H1927" s="51">
        <v>1278084</v>
      </c>
      <c r="I1927" s="51">
        <v>-1278084</v>
      </c>
      <c r="J1927" s="51">
        <v>0</v>
      </c>
      <c r="K1927" s="51">
        <v>0</v>
      </c>
      <c r="L1927" s="51">
        <v>0</v>
      </c>
      <c r="M1927" s="51">
        <v>0</v>
      </c>
      <c r="N1927" s="51">
        <v>0</v>
      </c>
    </row>
    <row r="1928" spans="1:14" x14ac:dyDescent="0.35">
      <c r="A1928" s="53" t="s">
        <v>187</v>
      </c>
      <c r="B1928" s="66" t="s">
        <v>186</v>
      </c>
      <c r="C1928" s="51">
        <v>1318765</v>
      </c>
      <c r="D1928" s="51">
        <v>-162982</v>
      </c>
      <c r="E1928" s="51">
        <v>0</v>
      </c>
      <c r="F1928" s="51">
        <v>0</v>
      </c>
      <c r="G1928" s="51">
        <v>0</v>
      </c>
      <c r="H1928" s="51">
        <v>1155783</v>
      </c>
      <c r="I1928" s="51">
        <v>-1155783</v>
      </c>
      <c r="J1928" s="51">
        <v>0</v>
      </c>
      <c r="K1928" s="51">
        <v>0</v>
      </c>
      <c r="L1928" s="51">
        <v>0</v>
      </c>
      <c r="M1928" s="51">
        <v>0</v>
      </c>
      <c r="N1928" s="51">
        <v>0</v>
      </c>
    </row>
    <row r="1929" spans="1:14" x14ac:dyDescent="0.35">
      <c r="A1929" s="65" t="s">
        <v>43</v>
      </c>
      <c r="B1929" s="64" t="s">
        <v>12</v>
      </c>
      <c r="C1929" s="42">
        <f>SUBTOTAL(109,Program56[(C)
Program
Costs])</f>
        <v>23874452</v>
      </c>
      <c r="D1929" s="42">
        <f>SUBTOTAL(109,Program56[(D)
Prior Period Adjustments])</f>
        <v>-364717</v>
      </c>
      <c r="E1929" s="42">
        <f>SUBTOTAL(109,Program56[(E)
Current Period Desk 
Reviews])</f>
        <v>0</v>
      </c>
      <c r="F1929" s="42">
        <f>SUBTOTAL(109,Program56[(F)
Current Period 
Final 
Audits])</f>
        <v>0</v>
      </c>
      <c r="G1929" s="42">
        <f>SUBTOTAL(109,Program56[(G)
Current Period 
Other Adjustments])</f>
        <v>0</v>
      </c>
      <c r="H1929" s="42">
        <f>SUBTOTAL(109,Program56[(H)
Net Program Costs
Sum (C through G)])</f>
        <v>23509735</v>
      </c>
      <c r="I1929" s="42">
        <f>SUBTOTAL(109,Program56[(I)
Payments
 and Offsets])</f>
        <v>-21028639</v>
      </c>
      <c r="J1929" s="42">
        <f>SUBTOTAL(109,Program56[(J)
Accounts Payable Balance
(H + I)])</f>
        <v>2481096</v>
      </c>
      <c r="K1929" s="42">
        <f>SUBTOTAL(109,Program56[(K)
Established 
Accounts Receivable])</f>
        <v>97197</v>
      </c>
      <c r="L1929" s="42">
        <f>SUBTOTAL(109,Program56[(L)
Recovered
 Accounts Receivable])</f>
        <v>-97197</v>
      </c>
      <c r="M1929" s="42">
        <f>SUBTOTAL(109,Program56[(M)
Accounts Receivable Balance
(K + L)])</f>
        <v>0</v>
      </c>
      <c r="N1929" s="42">
        <f>SUBTOTAL(109,Program56[(N)
Net Balance
(J minus M)])</f>
        <v>2481096</v>
      </c>
    </row>
    <row r="1930" spans="1:14" x14ac:dyDescent="0.35">
      <c r="A1930" s="63" t="s">
        <v>33</v>
      </c>
      <c r="B1930" s="62"/>
      <c r="C1930" s="61"/>
      <c r="D1930" s="61"/>
      <c r="E1930" s="61"/>
      <c r="F1930" s="61"/>
      <c r="G1930" s="61"/>
      <c r="H1930" s="61"/>
      <c r="I1930" s="61"/>
      <c r="J1930" s="61"/>
      <c r="K1930" s="61"/>
      <c r="L1930" s="61"/>
      <c r="M1930" s="61"/>
      <c r="N1930" s="61"/>
    </row>
    <row r="1931" spans="1:14" ht="77.5" x14ac:dyDescent="0.35">
      <c r="A1931" s="60" t="s">
        <v>185</v>
      </c>
      <c r="B1931" s="59" t="s">
        <v>184</v>
      </c>
      <c r="C1931" s="58" t="s">
        <v>183</v>
      </c>
      <c r="D1931" s="58" t="s">
        <v>182</v>
      </c>
      <c r="E1931" s="56" t="s">
        <v>181</v>
      </c>
      <c r="F1931" s="56" t="s">
        <v>180</v>
      </c>
      <c r="G1931" s="56" t="s">
        <v>179</v>
      </c>
      <c r="H1931" s="57" t="s">
        <v>674</v>
      </c>
      <c r="I1931" s="55" t="s">
        <v>178</v>
      </c>
      <c r="J1931" s="55" t="s">
        <v>177</v>
      </c>
      <c r="K1931" s="56" t="s">
        <v>176</v>
      </c>
      <c r="L1931" s="55" t="s">
        <v>175</v>
      </c>
      <c r="M1931" s="55" t="s">
        <v>174</v>
      </c>
      <c r="N1931" s="54" t="s">
        <v>173</v>
      </c>
    </row>
    <row r="1932" spans="1:14" x14ac:dyDescent="0.35">
      <c r="A1932" s="53" t="s">
        <v>172</v>
      </c>
      <c r="B1932" s="52" t="s">
        <v>12</v>
      </c>
      <c r="C1932" s="51">
        <v>286249721</v>
      </c>
      <c r="D1932" s="51">
        <v>-10113466</v>
      </c>
      <c r="E1932" s="51">
        <v>0</v>
      </c>
      <c r="F1932" s="51">
        <v>0</v>
      </c>
      <c r="G1932" s="51">
        <v>0</v>
      </c>
      <c r="H1932" s="51">
        <v>276136255</v>
      </c>
      <c r="I1932" s="51">
        <v>-226597493</v>
      </c>
      <c r="J1932" s="51">
        <v>49538762</v>
      </c>
      <c r="K1932" s="51">
        <v>15221076</v>
      </c>
      <c r="L1932" s="51">
        <v>-15221076</v>
      </c>
      <c r="M1932" s="51">
        <v>0</v>
      </c>
      <c r="N1932" s="51">
        <v>49538762</v>
      </c>
    </row>
    <row r="1933" spans="1:14" x14ac:dyDescent="0.35">
      <c r="A1933" s="53" t="s">
        <v>171</v>
      </c>
      <c r="B1933" s="52" t="s">
        <v>12</v>
      </c>
      <c r="C1933" s="51">
        <v>541125</v>
      </c>
      <c r="D1933" s="51">
        <v>-951</v>
      </c>
      <c r="E1933" s="51">
        <v>0</v>
      </c>
      <c r="F1933" s="51">
        <v>0</v>
      </c>
      <c r="G1933" s="51">
        <v>0</v>
      </c>
      <c r="H1933" s="51">
        <v>540174</v>
      </c>
      <c r="I1933" s="51">
        <v>-472474</v>
      </c>
      <c r="J1933" s="51">
        <v>67700</v>
      </c>
      <c r="K1933" s="51">
        <v>101789</v>
      </c>
      <c r="L1933" s="51">
        <v>-101789</v>
      </c>
      <c r="M1933" s="51">
        <v>0</v>
      </c>
      <c r="N1933" s="51">
        <v>67700</v>
      </c>
    </row>
    <row r="1934" spans="1:14" x14ac:dyDescent="0.35">
      <c r="A1934" s="53" t="s">
        <v>170</v>
      </c>
      <c r="B1934" s="52" t="s">
        <v>12</v>
      </c>
      <c r="C1934" s="51">
        <v>219928</v>
      </c>
      <c r="D1934" s="51">
        <v>-2250</v>
      </c>
      <c r="E1934" s="51">
        <v>0</v>
      </c>
      <c r="F1934" s="51">
        <v>0</v>
      </c>
      <c r="G1934" s="51">
        <v>0</v>
      </c>
      <c r="H1934" s="51">
        <v>217678</v>
      </c>
      <c r="I1934" s="51">
        <v>-217678</v>
      </c>
      <c r="J1934" s="51">
        <v>0</v>
      </c>
      <c r="K1934" s="51">
        <v>0</v>
      </c>
      <c r="L1934" s="51">
        <v>0</v>
      </c>
      <c r="M1934" s="51">
        <v>0</v>
      </c>
      <c r="N1934" s="51">
        <v>0</v>
      </c>
    </row>
    <row r="1935" spans="1:14" x14ac:dyDescent="0.35">
      <c r="A1935" s="53" t="s">
        <v>169</v>
      </c>
      <c r="B1935" s="52" t="s">
        <v>12</v>
      </c>
      <c r="C1935" s="51">
        <v>43224778</v>
      </c>
      <c r="D1935" s="51">
        <v>-290926</v>
      </c>
      <c r="E1935" s="51">
        <v>-59224</v>
      </c>
      <c r="F1935" s="51">
        <v>-904048</v>
      </c>
      <c r="G1935" s="51">
        <v>-10005</v>
      </c>
      <c r="H1935" s="51">
        <v>41960575</v>
      </c>
      <c r="I1935" s="51">
        <v>-39886337</v>
      </c>
      <c r="J1935" s="51">
        <v>2074238</v>
      </c>
      <c r="K1935" s="51">
        <v>1291305</v>
      </c>
      <c r="L1935" s="51">
        <v>-1284637</v>
      </c>
      <c r="M1935" s="51">
        <v>6668</v>
      </c>
      <c r="N1935" s="51">
        <v>2067570</v>
      </c>
    </row>
    <row r="1936" spans="1:14" x14ac:dyDescent="0.35">
      <c r="A1936" s="53" t="s">
        <v>168</v>
      </c>
      <c r="B1936" s="52" t="s">
        <v>12</v>
      </c>
      <c r="C1936" s="51">
        <v>3004925</v>
      </c>
      <c r="D1936" s="51">
        <v>-157043</v>
      </c>
      <c r="E1936" s="51">
        <v>0</v>
      </c>
      <c r="F1936" s="51">
        <v>0</v>
      </c>
      <c r="G1936" s="51">
        <v>0</v>
      </c>
      <c r="H1936" s="51">
        <v>2847882</v>
      </c>
      <c r="I1936" s="51">
        <v>-2847882</v>
      </c>
      <c r="J1936" s="51">
        <v>0</v>
      </c>
      <c r="K1936" s="51">
        <v>489423</v>
      </c>
      <c r="L1936" s="51">
        <v>-489423</v>
      </c>
      <c r="M1936" s="51">
        <v>0</v>
      </c>
      <c r="N1936" s="51">
        <v>0</v>
      </c>
    </row>
    <row r="1937" spans="1:14" x14ac:dyDescent="0.35">
      <c r="A1937" s="53" t="s">
        <v>167</v>
      </c>
      <c r="B1937" s="52" t="s">
        <v>12</v>
      </c>
      <c r="C1937" s="51">
        <v>9774587</v>
      </c>
      <c r="D1937" s="51">
        <v>-700438</v>
      </c>
      <c r="E1937" s="51">
        <v>0</v>
      </c>
      <c r="F1937" s="51">
        <v>0</v>
      </c>
      <c r="G1937" s="51">
        <v>0</v>
      </c>
      <c r="H1937" s="51">
        <v>9074149</v>
      </c>
      <c r="I1937" s="51">
        <v>-9074149</v>
      </c>
      <c r="J1937" s="51">
        <v>0</v>
      </c>
      <c r="K1937" s="51">
        <v>1536870</v>
      </c>
      <c r="L1937" s="51">
        <v>-1536870</v>
      </c>
      <c r="M1937" s="51">
        <v>0</v>
      </c>
      <c r="N1937" s="51">
        <v>0</v>
      </c>
    </row>
    <row r="1938" spans="1:14" x14ac:dyDescent="0.35">
      <c r="A1938" s="53" t="s">
        <v>166</v>
      </c>
      <c r="B1938" s="52" t="s">
        <v>12</v>
      </c>
      <c r="C1938" s="51">
        <v>1337061</v>
      </c>
      <c r="D1938" s="51">
        <v>-1273401</v>
      </c>
      <c r="E1938" s="51">
        <v>0</v>
      </c>
      <c r="F1938" s="51">
        <v>0</v>
      </c>
      <c r="G1938" s="51">
        <v>0</v>
      </c>
      <c r="H1938" s="51">
        <v>63660</v>
      </c>
      <c r="I1938" s="51">
        <v>-63660</v>
      </c>
      <c r="J1938" s="51">
        <v>0</v>
      </c>
      <c r="K1938" s="51">
        <v>23</v>
      </c>
      <c r="L1938" s="51">
        <v>-23</v>
      </c>
      <c r="M1938" s="51">
        <v>0</v>
      </c>
      <c r="N1938" s="51">
        <v>0</v>
      </c>
    </row>
    <row r="1939" spans="1:14" x14ac:dyDescent="0.35">
      <c r="A1939" s="53" t="s">
        <v>165</v>
      </c>
      <c r="B1939" s="52" t="s">
        <v>12</v>
      </c>
      <c r="C1939" s="51">
        <v>15662797</v>
      </c>
      <c r="D1939" s="51">
        <v>-1568702</v>
      </c>
      <c r="E1939" s="51">
        <v>0</v>
      </c>
      <c r="F1939" s="51">
        <v>0</v>
      </c>
      <c r="G1939" s="51">
        <v>-1776</v>
      </c>
      <c r="H1939" s="51">
        <v>14092319</v>
      </c>
      <c r="I1939" s="51">
        <v>-13367185</v>
      </c>
      <c r="J1939" s="51">
        <v>725134</v>
      </c>
      <c r="K1939" s="51">
        <v>426547</v>
      </c>
      <c r="L1939" s="51">
        <v>-426547</v>
      </c>
      <c r="M1939" s="51">
        <v>0</v>
      </c>
      <c r="N1939" s="51">
        <v>725134</v>
      </c>
    </row>
    <row r="1940" spans="1:14" x14ac:dyDescent="0.35">
      <c r="A1940" s="53" t="s">
        <v>164</v>
      </c>
      <c r="B1940" s="52" t="s">
        <v>12</v>
      </c>
      <c r="C1940" s="51">
        <v>198687443</v>
      </c>
      <c r="D1940" s="51">
        <v>-45546879</v>
      </c>
      <c r="E1940" s="51">
        <v>0</v>
      </c>
      <c r="F1940" s="51">
        <v>0</v>
      </c>
      <c r="G1940" s="51">
        <v>0</v>
      </c>
      <c r="H1940" s="51">
        <v>153140564</v>
      </c>
      <c r="I1940" s="51">
        <v>-113483272</v>
      </c>
      <c r="J1940" s="51">
        <v>39657292</v>
      </c>
      <c r="K1940" s="51">
        <v>24499396</v>
      </c>
      <c r="L1940" s="51">
        <v>-22934729</v>
      </c>
      <c r="M1940" s="51">
        <v>1564667</v>
      </c>
      <c r="N1940" s="51">
        <v>38092625</v>
      </c>
    </row>
    <row r="1941" spans="1:14" x14ac:dyDescent="0.35">
      <c r="A1941" s="53" t="s">
        <v>163</v>
      </c>
      <c r="B1941" s="52" t="s">
        <v>12</v>
      </c>
      <c r="C1941" s="51">
        <v>341855</v>
      </c>
      <c r="D1941" s="51">
        <v>-13585</v>
      </c>
      <c r="E1941" s="51">
        <v>0</v>
      </c>
      <c r="F1941" s="51">
        <v>0</v>
      </c>
      <c r="G1941" s="51">
        <v>0</v>
      </c>
      <c r="H1941" s="51">
        <v>328270</v>
      </c>
      <c r="I1941" s="51">
        <v>-328270</v>
      </c>
      <c r="J1941" s="51">
        <v>0</v>
      </c>
      <c r="K1941" s="51">
        <v>0</v>
      </c>
      <c r="L1941" s="51">
        <v>0</v>
      </c>
      <c r="M1941" s="51">
        <v>0</v>
      </c>
      <c r="N1941" s="51">
        <v>0</v>
      </c>
    </row>
    <row r="1942" spans="1:14" x14ac:dyDescent="0.35">
      <c r="A1942" s="53" t="s">
        <v>162</v>
      </c>
      <c r="B1942" s="52" t="s">
        <v>12</v>
      </c>
      <c r="C1942" s="51">
        <v>15407</v>
      </c>
      <c r="D1942" s="51">
        <v>-12792</v>
      </c>
      <c r="E1942" s="51">
        <v>0</v>
      </c>
      <c r="F1942" s="51">
        <v>0</v>
      </c>
      <c r="G1942" s="51">
        <v>0</v>
      </c>
      <c r="H1942" s="51">
        <v>2615</v>
      </c>
      <c r="I1942" s="51">
        <v>-2615</v>
      </c>
      <c r="J1942" s="51">
        <v>0</v>
      </c>
      <c r="K1942" s="51">
        <v>0</v>
      </c>
      <c r="L1942" s="51">
        <v>0</v>
      </c>
      <c r="M1942" s="51">
        <v>0</v>
      </c>
      <c r="N1942" s="51">
        <v>0</v>
      </c>
    </row>
    <row r="1943" spans="1:14" x14ac:dyDescent="0.35">
      <c r="A1943" s="53" t="s">
        <v>161</v>
      </c>
      <c r="B1943" s="52" t="s">
        <v>12</v>
      </c>
      <c r="C1943" s="51">
        <v>58515844</v>
      </c>
      <c r="D1943" s="51">
        <v>-1142854</v>
      </c>
      <c r="E1943" s="51">
        <v>0</v>
      </c>
      <c r="F1943" s="51">
        <v>0</v>
      </c>
      <c r="G1943" s="51">
        <v>0</v>
      </c>
      <c r="H1943" s="51">
        <v>57372990</v>
      </c>
      <c r="I1943" s="51">
        <v>-57372990</v>
      </c>
      <c r="J1943" s="51">
        <v>0</v>
      </c>
      <c r="K1943" s="51">
        <v>1109297</v>
      </c>
      <c r="L1943" s="51">
        <v>-1109297</v>
      </c>
      <c r="M1943" s="51">
        <v>0</v>
      </c>
      <c r="N1943" s="51">
        <v>0</v>
      </c>
    </row>
    <row r="1944" spans="1:14" x14ac:dyDescent="0.35">
      <c r="A1944" s="53" t="s">
        <v>160</v>
      </c>
      <c r="B1944" s="52" t="s">
        <v>12</v>
      </c>
      <c r="C1944" s="51">
        <v>219628</v>
      </c>
      <c r="D1944" s="51">
        <v>-3452</v>
      </c>
      <c r="E1944" s="51">
        <v>0</v>
      </c>
      <c r="F1944" s="51">
        <v>0</v>
      </c>
      <c r="G1944" s="51">
        <v>0</v>
      </c>
      <c r="H1944" s="51">
        <v>216176</v>
      </c>
      <c r="I1944" s="51">
        <v>0</v>
      </c>
      <c r="J1944" s="51">
        <v>216176</v>
      </c>
      <c r="K1944" s="51">
        <v>0</v>
      </c>
      <c r="L1944" s="51">
        <v>0</v>
      </c>
      <c r="M1944" s="51">
        <v>0</v>
      </c>
      <c r="N1944" s="51">
        <v>216176</v>
      </c>
    </row>
    <row r="1945" spans="1:14" x14ac:dyDescent="0.35">
      <c r="A1945" s="53" t="s">
        <v>159</v>
      </c>
      <c r="B1945" s="52" t="s">
        <v>12</v>
      </c>
      <c r="C1945" s="51">
        <v>18379468</v>
      </c>
      <c r="D1945" s="51">
        <v>-813170</v>
      </c>
      <c r="E1945" s="51">
        <v>0</v>
      </c>
      <c r="F1945" s="51">
        <v>0</v>
      </c>
      <c r="G1945" s="51">
        <v>0</v>
      </c>
      <c r="H1945" s="51">
        <v>17566298</v>
      </c>
      <c r="I1945" s="51">
        <v>-17566298</v>
      </c>
      <c r="J1945" s="51">
        <v>0</v>
      </c>
      <c r="K1945" s="51">
        <v>53838</v>
      </c>
      <c r="L1945" s="51">
        <v>0</v>
      </c>
      <c r="M1945" s="51">
        <v>53838</v>
      </c>
      <c r="N1945" s="51">
        <v>-53838</v>
      </c>
    </row>
    <row r="1946" spans="1:14" x14ac:dyDescent="0.35">
      <c r="A1946" s="53" t="s">
        <v>158</v>
      </c>
      <c r="B1946" s="52" t="s">
        <v>12</v>
      </c>
      <c r="C1946" s="51">
        <v>867348</v>
      </c>
      <c r="D1946" s="51">
        <v>-2576</v>
      </c>
      <c r="E1946" s="51">
        <v>0</v>
      </c>
      <c r="F1946" s="51">
        <v>0</v>
      </c>
      <c r="G1946" s="51">
        <v>0</v>
      </c>
      <c r="H1946" s="51">
        <v>864772</v>
      </c>
      <c r="I1946" s="51">
        <v>-864772</v>
      </c>
      <c r="J1946" s="51">
        <v>0</v>
      </c>
      <c r="K1946" s="51">
        <v>0</v>
      </c>
      <c r="L1946" s="51">
        <v>0</v>
      </c>
      <c r="M1946" s="51">
        <v>0</v>
      </c>
      <c r="N1946" s="51">
        <v>0</v>
      </c>
    </row>
    <row r="1947" spans="1:14" x14ac:dyDescent="0.35">
      <c r="A1947" s="53" t="s">
        <v>157</v>
      </c>
      <c r="B1947" s="52" t="s">
        <v>12</v>
      </c>
      <c r="C1947" s="51">
        <v>2047180</v>
      </c>
      <c r="D1947" s="51">
        <v>4548</v>
      </c>
      <c r="E1947" s="51">
        <v>0</v>
      </c>
      <c r="F1947" s="51">
        <v>0</v>
      </c>
      <c r="G1947" s="51">
        <v>0</v>
      </c>
      <c r="H1947" s="51">
        <v>2051728</v>
      </c>
      <c r="I1947" s="51">
        <v>-1702881</v>
      </c>
      <c r="J1947" s="51">
        <v>348847</v>
      </c>
      <c r="K1947" s="51">
        <v>121262</v>
      </c>
      <c r="L1947" s="51">
        <v>-121262</v>
      </c>
      <c r="M1947" s="51">
        <v>0</v>
      </c>
      <c r="N1947" s="51">
        <v>348847</v>
      </c>
    </row>
    <row r="1948" spans="1:14" x14ac:dyDescent="0.35">
      <c r="A1948" s="53" t="s">
        <v>156</v>
      </c>
      <c r="B1948" s="52" t="s">
        <v>12</v>
      </c>
      <c r="C1948" s="51">
        <v>1231894</v>
      </c>
      <c r="D1948" s="51">
        <v>7617</v>
      </c>
      <c r="E1948" s="51">
        <v>0</v>
      </c>
      <c r="F1948" s="51">
        <v>0</v>
      </c>
      <c r="G1948" s="51">
        <v>0</v>
      </c>
      <c r="H1948" s="51">
        <v>1239511</v>
      </c>
      <c r="I1948" s="51">
        <v>-1017844</v>
      </c>
      <c r="J1948" s="51">
        <v>221667</v>
      </c>
      <c r="K1948" s="51">
        <v>1273</v>
      </c>
      <c r="L1948" s="51">
        <v>-1273</v>
      </c>
      <c r="M1948" s="51">
        <v>0</v>
      </c>
      <c r="N1948" s="51">
        <v>221667</v>
      </c>
    </row>
    <row r="1949" spans="1:14" x14ac:dyDescent="0.35">
      <c r="A1949" s="53" t="s">
        <v>155</v>
      </c>
      <c r="B1949" s="52" t="s">
        <v>12</v>
      </c>
      <c r="C1949" s="51">
        <v>1856530</v>
      </c>
      <c r="D1949" s="51">
        <v>-6233</v>
      </c>
      <c r="E1949" s="51">
        <v>0</v>
      </c>
      <c r="F1949" s="51">
        <v>0</v>
      </c>
      <c r="G1949" s="51">
        <v>0</v>
      </c>
      <c r="H1949" s="51">
        <v>1850297</v>
      </c>
      <c r="I1949" s="51">
        <v>-1850297</v>
      </c>
      <c r="J1949" s="51">
        <v>0</v>
      </c>
      <c r="K1949" s="51">
        <v>0</v>
      </c>
      <c r="L1949" s="51">
        <v>0</v>
      </c>
      <c r="M1949" s="51">
        <v>0</v>
      </c>
      <c r="N1949" s="51">
        <v>0</v>
      </c>
    </row>
    <row r="1950" spans="1:14" x14ac:dyDescent="0.35">
      <c r="A1950" s="53" t="s">
        <v>154</v>
      </c>
      <c r="B1950" s="52" t="s">
        <v>12</v>
      </c>
      <c r="C1950" s="51">
        <v>6633013</v>
      </c>
      <c r="D1950" s="51">
        <v>-435938</v>
      </c>
      <c r="E1950" s="51">
        <v>0</v>
      </c>
      <c r="F1950" s="51">
        <v>0</v>
      </c>
      <c r="G1950" s="51">
        <v>0</v>
      </c>
      <c r="H1950" s="51">
        <v>6197075</v>
      </c>
      <c r="I1950" s="51">
        <v>-5808906</v>
      </c>
      <c r="J1950" s="51">
        <v>388169</v>
      </c>
      <c r="K1950" s="51">
        <v>691753</v>
      </c>
      <c r="L1950" s="51">
        <v>-691753</v>
      </c>
      <c r="M1950" s="51">
        <v>0</v>
      </c>
      <c r="N1950" s="51">
        <v>388169</v>
      </c>
    </row>
    <row r="1951" spans="1:14" x14ac:dyDescent="0.35">
      <c r="A1951" s="53" t="s">
        <v>153</v>
      </c>
      <c r="B1951" s="52" t="s">
        <v>12</v>
      </c>
      <c r="C1951" s="51">
        <v>10277240</v>
      </c>
      <c r="D1951" s="51">
        <v>-1215179</v>
      </c>
      <c r="E1951" s="51">
        <v>0</v>
      </c>
      <c r="F1951" s="51">
        <v>0</v>
      </c>
      <c r="G1951" s="51">
        <v>0</v>
      </c>
      <c r="H1951" s="51">
        <v>9062061</v>
      </c>
      <c r="I1951" s="51">
        <v>-9062061</v>
      </c>
      <c r="J1951" s="51">
        <v>0</v>
      </c>
      <c r="K1951" s="51">
        <v>1746816</v>
      </c>
      <c r="L1951" s="51">
        <v>-1746816</v>
      </c>
      <c r="M1951" s="51">
        <v>0</v>
      </c>
      <c r="N1951" s="51">
        <v>0</v>
      </c>
    </row>
    <row r="1952" spans="1:14" x14ac:dyDescent="0.35">
      <c r="A1952" s="53" t="s">
        <v>152</v>
      </c>
      <c r="B1952" s="52" t="s">
        <v>12</v>
      </c>
      <c r="C1952" s="51">
        <v>57184</v>
      </c>
      <c r="D1952" s="51">
        <v>-4229</v>
      </c>
      <c r="E1952" s="51">
        <v>0</v>
      </c>
      <c r="F1952" s="51">
        <v>0</v>
      </c>
      <c r="G1952" s="51">
        <v>0</v>
      </c>
      <c r="H1952" s="51">
        <v>52955</v>
      </c>
      <c r="I1952" s="51">
        <v>-52955</v>
      </c>
      <c r="J1952" s="51">
        <v>0</v>
      </c>
      <c r="K1952" s="51">
        <v>5156</v>
      </c>
      <c r="L1952" s="51">
        <v>-5156</v>
      </c>
      <c r="M1952" s="51">
        <v>0</v>
      </c>
      <c r="N1952" s="51">
        <v>0</v>
      </c>
    </row>
    <row r="1953" spans="1:14" x14ac:dyDescent="0.35">
      <c r="A1953" s="53" t="s">
        <v>151</v>
      </c>
      <c r="B1953" s="52" t="s">
        <v>12</v>
      </c>
      <c r="C1953" s="51">
        <v>160235358</v>
      </c>
      <c r="D1953" s="51">
        <v>-18790409</v>
      </c>
      <c r="E1953" s="51">
        <v>0</v>
      </c>
      <c r="F1953" s="51">
        <v>-8335338</v>
      </c>
      <c r="G1953" s="51">
        <v>0</v>
      </c>
      <c r="H1953" s="51">
        <v>133109611</v>
      </c>
      <c r="I1953" s="51">
        <v>0</v>
      </c>
      <c r="J1953" s="51">
        <v>133109611</v>
      </c>
      <c r="K1953" s="51">
        <v>0</v>
      </c>
      <c r="L1953" s="51">
        <v>0</v>
      </c>
      <c r="M1953" s="51">
        <v>0</v>
      </c>
      <c r="N1953" s="51">
        <v>133109611</v>
      </c>
    </row>
    <row r="1954" spans="1:14" x14ac:dyDescent="0.35">
      <c r="A1954" s="53" t="s">
        <v>150</v>
      </c>
      <c r="B1954" s="52" t="s">
        <v>12</v>
      </c>
      <c r="C1954" s="51">
        <v>2827652</v>
      </c>
      <c r="D1954" s="51">
        <v>50579</v>
      </c>
      <c r="E1954" s="51">
        <v>-922</v>
      </c>
      <c r="F1954" s="51">
        <v>0</v>
      </c>
      <c r="G1954" s="51">
        <v>-276</v>
      </c>
      <c r="H1954" s="51">
        <v>2877033</v>
      </c>
      <c r="I1954" s="51">
        <v>-2702098</v>
      </c>
      <c r="J1954" s="51">
        <v>174935</v>
      </c>
      <c r="K1954" s="51">
        <v>2328</v>
      </c>
      <c r="L1954" s="51">
        <v>-2257</v>
      </c>
      <c r="M1954" s="51">
        <v>71</v>
      </c>
      <c r="N1954" s="51">
        <v>174864</v>
      </c>
    </row>
    <row r="1955" spans="1:14" x14ac:dyDescent="0.35">
      <c r="A1955" s="53" t="s">
        <v>149</v>
      </c>
      <c r="B1955" s="52" t="s">
        <v>12</v>
      </c>
      <c r="C1955" s="51">
        <v>2030093</v>
      </c>
      <c r="D1955" s="51">
        <v>-20485</v>
      </c>
      <c r="E1955" s="51">
        <v>0</v>
      </c>
      <c r="F1955" s="51">
        <v>0</v>
      </c>
      <c r="G1955" s="51">
        <v>0</v>
      </c>
      <c r="H1955" s="51">
        <v>2009608</v>
      </c>
      <c r="I1955" s="51">
        <v>0</v>
      </c>
      <c r="J1955" s="51">
        <v>2009608</v>
      </c>
      <c r="K1955" s="51">
        <v>0</v>
      </c>
      <c r="L1955" s="51">
        <v>0</v>
      </c>
      <c r="M1955" s="51">
        <v>0</v>
      </c>
      <c r="N1955" s="51">
        <v>2009608</v>
      </c>
    </row>
    <row r="1956" spans="1:14" x14ac:dyDescent="0.35">
      <c r="A1956" s="53" t="s">
        <v>148</v>
      </c>
      <c r="B1956" s="52" t="s">
        <v>12</v>
      </c>
      <c r="C1956" s="51">
        <v>4985305</v>
      </c>
      <c r="D1956" s="51">
        <v>-1146057</v>
      </c>
      <c r="E1956" s="51">
        <v>0</v>
      </c>
      <c r="F1956" s="51">
        <v>0</v>
      </c>
      <c r="G1956" s="51">
        <v>0</v>
      </c>
      <c r="H1956" s="51">
        <v>3839248</v>
      </c>
      <c r="I1956" s="51">
        <v>-3129274</v>
      </c>
      <c r="J1956" s="51">
        <v>709974</v>
      </c>
      <c r="K1956" s="51">
        <v>629322</v>
      </c>
      <c r="L1956" s="51">
        <v>-629322</v>
      </c>
      <c r="M1956" s="51">
        <v>0</v>
      </c>
      <c r="N1956" s="51">
        <v>709974</v>
      </c>
    </row>
    <row r="1957" spans="1:14" x14ac:dyDescent="0.35">
      <c r="A1957" s="53" t="s">
        <v>147</v>
      </c>
      <c r="B1957" s="52" t="s">
        <v>12</v>
      </c>
      <c r="C1957" s="51">
        <v>343215502</v>
      </c>
      <c r="D1957" s="51">
        <v>-10296087</v>
      </c>
      <c r="E1957" s="51">
        <v>-69655</v>
      </c>
      <c r="F1957" s="51">
        <v>0</v>
      </c>
      <c r="G1957" s="51">
        <v>-1546</v>
      </c>
      <c r="H1957" s="51">
        <v>332848214</v>
      </c>
      <c r="I1957" s="51">
        <v>-319961693</v>
      </c>
      <c r="J1957" s="51">
        <v>12886521</v>
      </c>
      <c r="K1957" s="51">
        <v>12339291</v>
      </c>
      <c r="L1957" s="51">
        <v>-12339291</v>
      </c>
      <c r="M1957" s="51">
        <v>0</v>
      </c>
      <c r="N1957" s="51">
        <v>12886521</v>
      </c>
    </row>
    <row r="1958" spans="1:14" x14ac:dyDescent="0.35">
      <c r="A1958" s="53" t="s">
        <v>146</v>
      </c>
      <c r="B1958" s="52" t="s">
        <v>12</v>
      </c>
      <c r="C1958" s="51">
        <v>1522</v>
      </c>
      <c r="D1958" s="51">
        <v>-448</v>
      </c>
      <c r="E1958" s="51">
        <v>0</v>
      </c>
      <c r="F1958" s="51">
        <v>0</v>
      </c>
      <c r="G1958" s="51">
        <v>0</v>
      </c>
      <c r="H1958" s="51">
        <v>1074</v>
      </c>
      <c r="I1958" s="51">
        <v>-1074</v>
      </c>
      <c r="J1958" s="51">
        <v>0</v>
      </c>
      <c r="K1958" s="51">
        <v>6</v>
      </c>
      <c r="L1958" s="51">
        <v>-6</v>
      </c>
      <c r="M1958" s="51">
        <v>0</v>
      </c>
      <c r="N1958" s="51">
        <v>0</v>
      </c>
    </row>
    <row r="1959" spans="1:14" x14ac:dyDescent="0.35">
      <c r="A1959" s="53" t="s">
        <v>145</v>
      </c>
      <c r="B1959" s="52" t="s">
        <v>12</v>
      </c>
      <c r="C1959" s="51">
        <v>4681750</v>
      </c>
      <c r="D1959" s="51">
        <v>-36273</v>
      </c>
      <c r="E1959" s="51">
        <v>0</v>
      </c>
      <c r="F1959" s="51">
        <v>0</v>
      </c>
      <c r="G1959" s="51">
        <v>0</v>
      </c>
      <c r="H1959" s="51">
        <v>4645477</v>
      </c>
      <c r="I1959" s="51">
        <v>-3444543</v>
      </c>
      <c r="J1959" s="51">
        <v>1200934</v>
      </c>
      <c r="K1959" s="51">
        <v>75145</v>
      </c>
      <c r="L1959" s="51">
        <v>-75145</v>
      </c>
      <c r="M1959" s="51">
        <v>0</v>
      </c>
      <c r="N1959" s="51">
        <v>1200934</v>
      </c>
    </row>
    <row r="1960" spans="1:14" x14ac:dyDescent="0.35">
      <c r="A1960" s="53" t="s">
        <v>144</v>
      </c>
      <c r="B1960" s="52" t="s">
        <v>12</v>
      </c>
      <c r="C1960" s="51">
        <v>13959253</v>
      </c>
      <c r="D1960" s="51">
        <v>0</v>
      </c>
      <c r="E1960" s="51">
        <v>0</v>
      </c>
      <c r="F1960" s="51">
        <v>0</v>
      </c>
      <c r="G1960" s="51">
        <v>0</v>
      </c>
      <c r="H1960" s="51">
        <v>13959253</v>
      </c>
      <c r="I1960" s="51">
        <v>-13959253</v>
      </c>
      <c r="J1960" s="51">
        <v>0</v>
      </c>
      <c r="K1960" s="51">
        <v>0</v>
      </c>
      <c r="L1960" s="51">
        <v>0</v>
      </c>
      <c r="M1960" s="51">
        <v>0</v>
      </c>
      <c r="N1960" s="51">
        <v>0</v>
      </c>
    </row>
    <row r="1961" spans="1:14" x14ac:dyDescent="0.35">
      <c r="A1961" s="53" t="s">
        <v>143</v>
      </c>
      <c r="B1961" s="52" t="s">
        <v>12</v>
      </c>
      <c r="C1961" s="51">
        <v>834868</v>
      </c>
      <c r="D1961" s="51">
        <v>-2727</v>
      </c>
      <c r="E1961" s="51">
        <v>0</v>
      </c>
      <c r="F1961" s="51">
        <v>0</v>
      </c>
      <c r="G1961" s="51">
        <v>0</v>
      </c>
      <c r="H1961" s="51">
        <v>832141</v>
      </c>
      <c r="I1961" s="51">
        <v>-522327</v>
      </c>
      <c r="J1961" s="51">
        <v>309814</v>
      </c>
      <c r="K1961" s="51">
        <v>0</v>
      </c>
      <c r="L1961" s="51">
        <v>0</v>
      </c>
      <c r="M1961" s="51">
        <v>0</v>
      </c>
      <c r="N1961" s="51">
        <v>309814</v>
      </c>
    </row>
    <row r="1962" spans="1:14" x14ac:dyDescent="0.35">
      <c r="A1962" s="53" t="s">
        <v>142</v>
      </c>
      <c r="B1962" s="52" t="s">
        <v>12</v>
      </c>
      <c r="C1962" s="51">
        <v>174493444</v>
      </c>
      <c r="D1962" s="51">
        <v>-9189649</v>
      </c>
      <c r="E1962" s="51">
        <v>-703</v>
      </c>
      <c r="F1962" s="51">
        <v>-255637</v>
      </c>
      <c r="G1962" s="51">
        <v>-32259</v>
      </c>
      <c r="H1962" s="51">
        <v>165015196</v>
      </c>
      <c r="I1962" s="51">
        <v>-155191212</v>
      </c>
      <c r="J1962" s="51">
        <v>9823984</v>
      </c>
      <c r="K1962" s="51">
        <v>12306213</v>
      </c>
      <c r="L1962" s="51">
        <v>-12017709</v>
      </c>
      <c r="M1962" s="51">
        <v>288504</v>
      </c>
      <c r="N1962" s="51">
        <v>9535480</v>
      </c>
    </row>
    <row r="1963" spans="1:14" x14ac:dyDescent="0.35">
      <c r="A1963" s="53" t="s">
        <v>141</v>
      </c>
      <c r="B1963" s="52" t="s">
        <v>12</v>
      </c>
      <c r="C1963" s="51">
        <v>30346824</v>
      </c>
      <c r="D1963" s="51">
        <v>-268293</v>
      </c>
      <c r="E1963" s="51">
        <v>0</v>
      </c>
      <c r="F1963" s="51">
        <v>0</v>
      </c>
      <c r="G1963" s="51">
        <v>-8279</v>
      </c>
      <c r="H1963" s="51">
        <v>30070252</v>
      </c>
      <c r="I1963" s="51">
        <v>-27618804</v>
      </c>
      <c r="J1963" s="51">
        <v>2451448</v>
      </c>
      <c r="K1963" s="51">
        <v>245704</v>
      </c>
      <c r="L1963" s="51">
        <v>-244970</v>
      </c>
      <c r="M1963" s="51">
        <v>734</v>
      </c>
      <c r="N1963" s="51">
        <v>2450714</v>
      </c>
    </row>
    <row r="1964" spans="1:14" x14ac:dyDescent="0.35">
      <c r="A1964" s="53" t="s">
        <v>140</v>
      </c>
      <c r="B1964" s="52" t="s">
        <v>12</v>
      </c>
      <c r="C1964" s="51">
        <v>20743407</v>
      </c>
      <c r="D1964" s="51">
        <v>-6253184</v>
      </c>
      <c r="E1964" s="51">
        <v>0</v>
      </c>
      <c r="F1964" s="51">
        <v>-2562929</v>
      </c>
      <c r="G1964" s="51">
        <v>0</v>
      </c>
      <c r="H1964" s="51">
        <v>11927294</v>
      </c>
      <c r="I1964" s="51">
        <v>0</v>
      </c>
      <c r="J1964" s="51">
        <v>11927294</v>
      </c>
      <c r="K1964" s="51">
        <v>0</v>
      </c>
      <c r="L1964" s="51">
        <v>0</v>
      </c>
      <c r="M1964" s="51">
        <v>0</v>
      </c>
      <c r="N1964" s="51">
        <v>11927294</v>
      </c>
    </row>
    <row r="1965" spans="1:14" x14ac:dyDescent="0.35">
      <c r="A1965" s="53" t="s">
        <v>139</v>
      </c>
      <c r="B1965" s="52" t="s">
        <v>12</v>
      </c>
      <c r="C1965" s="51">
        <v>14466421</v>
      </c>
      <c r="D1965" s="51">
        <v>-1006137</v>
      </c>
      <c r="E1965" s="51">
        <v>0</v>
      </c>
      <c r="F1965" s="51">
        <v>0</v>
      </c>
      <c r="G1965" s="51">
        <v>0</v>
      </c>
      <c r="H1965" s="51">
        <v>13460284</v>
      </c>
      <c r="I1965" s="51">
        <v>-13460284</v>
      </c>
      <c r="J1965" s="51">
        <v>0</v>
      </c>
      <c r="K1965" s="51">
        <v>521176</v>
      </c>
      <c r="L1965" s="51">
        <v>-521176</v>
      </c>
      <c r="M1965" s="51">
        <v>0</v>
      </c>
      <c r="N1965" s="51">
        <v>0</v>
      </c>
    </row>
    <row r="1966" spans="1:14" x14ac:dyDescent="0.35">
      <c r="A1966" s="53" t="s">
        <v>138</v>
      </c>
      <c r="B1966" s="52" t="s">
        <v>12</v>
      </c>
      <c r="C1966" s="51">
        <v>2508336</v>
      </c>
      <c r="D1966" s="51">
        <v>-240</v>
      </c>
      <c r="E1966" s="51">
        <v>0</v>
      </c>
      <c r="F1966" s="51">
        <v>0</v>
      </c>
      <c r="G1966" s="51">
        <v>0</v>
      </c>
      <c r="H1966" s="51">
        <v>2508096</v>
      </c>
      <c r="I1966" s="51">
        <v>-2508096</v>
      </c>
      <c r="J1966" s="51">
        <v>0</v>
      </c>
      <c r="K1966" s="51">
        <v>158</v>
      </c>
      <c r="L1966" s="51">
        <v>-158</v>
      </c>
      <c r="M1966" s="51">
        <v>0</v>
      </c>
      <c r="N1966" s="51">
        <v>0</v>
      </c>
    </row>
    <row r="1967" spans="1:14" x14ac:dyDescent="0.35">
      <c r="A1967" s="53" t="s">
        <v>137</v>
      </c>
      <c r="B1967" s="52" t="s">
        <v>12</v>
      </c>
      <c r="C1967" s="51">
        <v>13162074</v>
      </c>
      <c r="D1967" s="51">
        <v>-331658</v>
      </c>
      <c r="E1967" s="51">
        <v>0</v>
      </c>
      <c r="F1967" s="51">
        <v>0</v>
      </c>
      <c r="G1967" s="51">
        <v>0</v>
      </c>
      <c r="H1967" s="51">
        <v>12830416</v>
      </c>
      <c r="I1967" s="51">
        <v>-12830416</v>
      </c>
      <c r="J1967" s="51">
        <v>0</v>
      </c>
      <c r="K1967" s="51">
        <v>379145</v>
      </c>
      <c r="L1967" s="51">
        <v>-379145</v>
      </c>
      <c r="M1967" s="51">
        <v>0</v>
      </c>
      <c r="N1967" s="51">
        <v>0</v>
      </c>
    </row>
    <row r="1968" spans="1:14" x14ac:dyDescent="0.35">
      <c r="A1968" s="53" t="s">
        <v>136</v>
      </c>
      <c r="B1968" s="52" t="s">
        <v>12</v>
      </c>
      <c r="C1968" s="51">
        <v>2991752</v>
      </c>
      <c r="D1968" s="51">
        <v>-756488</v>
      </c>
      <c r="E1968" s="51">
        <v>0</v>
      </c>
      <c r="F1968" s="51">
        <v>0</v>
      </c>
      <c r="G1968" s="51">
        <v>0</v>
      </c>
      <c r="H1968" s="51">
        <v>2235264</v>
      </c>
      <c r="I1968" s="51">
        <v>-2235264</v>
      </c>
      <c r="J1968" s="51">
        <v>0</v>
      </c>
      <c r="K1968" s="51">
        <v>898441</v>
      </c>
      <c r="L1968" s="51">
        <v>-898441</v>
      </c>
      <c r="M1968" s="51">
        <v>0</v>
      </c>
      <c r="N1968" s="51">
        <v>0</v>
      </c>
    </row>
    <row r="1969" spans="1:14" x14ac:dyDescent="0.35">
      <c r="A1969" s="53" t="s">
        <v>135</v>
      </c>
      <c r="B1969" s="52" t="s">
        <v>12</v>
      </c>
      <c r="C1969" s="51">
        <v>53529887</v>
      </c>
      <c r="D1969" s="51">
        <v>-1900459</v>
      </c>
      <c r="E1969" s="51">
        <v>0</v>
      </c>
      <c r="F1969" s="51">
        <v>0</v>
      </c>
      <c r="G1969" s="51">
        <v>-2494</v>
      </c>
      <c r="H1969" s="51">
        <v>51626934</v>
      </c>
      <c r="I1969" s="51">
        <v>-49306493</v>
      </c>
      <c r="J1969" s="51">
        <v>2320441</v>
      </c>
      <c r="K1969" s="51">
        <v>2122070</v>
      </c>
      <c r="L1969" s="51">
        <v>-2122070</v>
      </c>
      <c r="M1969" s="51">
        <v>0</v>
      </c>
      <c r="N1969" s="51">
        <v>2320441</v>
      </c>
    </row>
    <row r="1970" spans="1:14" x14ac:dyDescent="0.35">
      <c r="A1970" s="53" t="s">
        <v>134</v>
      </c>
      <c r="B1970" s="52" t="s">
        <v>12</v>
      </c>
      <c r="C1970" s="51">
        <v>1713191</v>
      </c>
      <c r="D1970" s="51">
        <v>-6406</v>
      </c>
      <c r="E1970" s="51">
        <v>0</v>
      </c>
      <c r="F1970" s="51">
        <v>0</v>
      </c>
      <c r="G1970" s="51">
        <v>0</v>
      </c>
      <c r="H1970" s="51">
        <v>1706785</v>
      </c>
      <c r="I1970" s="51">
        <v>-1706785</v>
      </c>
      <c r="J1970" s="51">
        <v>0</v>
      </c>
      <c r="K1970" s="51">
        <v>0</v>
      </c>
      <c r="L1970" s="51">
        <v>0</v>
      </c>
      <c r="M1970" s="51">
        <v>0</v>
      </c>
      <c r="N1970" s="51">
        <v>0</v>
      </c>
    </row>
    <row r="1971" spans="1:14" x14ac:dyDescent="0.35">
      <c r="A1971" s="53" t="s">
        <v>133</v>
      </c>
      <c r="B1971" s="52" t="s">
        <v>12</v>
      </c>
      <c r="C1971" s="51">
        <v>14170</v>
      </c>
      <c r="D1971" s="51">
        <v>-676</v>
      </c>
      <c r="E1971" s="51">
        <v>0</v>
      </c>
      <c r="F1971" s="51">
        <v>0</v>
      </c>
      <c r="G1971" s="51">
        <v>0</v>
      </c>
      <c r="H1971" s="51">
        <v>13494</v>
      </c>
      <c r="I1971" s="51">
        <v>-13494</v>
      </c>
      <c r="J1971" s="51">
        <v>0</v>
      </c>
      <c r="K1971" s="51">
        <v>515</v>
      </c>
      <c r="L1971" s="51">
        <v>-515</v>
      </c>
      <c r="M1971" s="51">
        <v>0</v>
      </c>
      <c r="N1971" s="51">
        <v>0</v>
      </c>
    </row>
    <row r="1972" spans="1:14" x14ac:dyDescent="0.35">
      <c r="A1972" s="53" t="s">
        <v>132</v>
      </c>
      <c r="B1972" s="52" t="s">
        <v>12</v>
      </c>
      <c r="C1972" s="51">
        <v>486031</v>
      </c>
      <c r="D1972" s="51">
        <v>-4835</v>
      </c>
      <c r="E1972" s="51">
        <v>0</v>
      </c>
      <c r="F1972" s="51">
        <v>0</v>
      </c>
      <c r="G1972" s="51">
        <v>0</v>
      </c>
      <c r="H1972" s="51">
        <v>481196</v>
      </c>
      <c r="I1972" s="51">
        <v>-481196</v>
      </c>
      <c r="J1972" s="51">
        <v>0</v>
      </c>
      <c r="K1972" s="51">
        <v>0</v>
      </c>
      <c r="L1972" s="51">
        <v>0</v>
      </c>
      <c r="M1972" s="51">
        <v>0</v>
      </c>
      <c r="N1972" s="51">
        <v>0</v>
      </c>
    </row>
    <row r="1973" spans="1:14" x14ac:dyDescent="0.35">
      <c r="A1973" s="53" t="s">
        <v>131</v>
      </c>
      <c r="B1973" s="52" t="s">
        <v>12</v>
      </c>
      <c r="C1973" s="51">
        <v>125378</v>
      </c>
      <c r="D1973" s="51">
        <v>-657</v>
      </c>
      <c r="E1973" s="51">
        <v>0</v>
      </c>
      <c r="F1973" s="51">
        <v>0</v>
      </c>
      <c r="G1973" s="51">
        <v>0</v>
      </c>
      <c r="H1973" s="51">
        <v>124721</v>
      </c>
      <c r="I1973" s="51">
        <v>-114636</v>
      </c>
      <c r="J1973" s="51">
        <v>10085</v>
      </c>
      <c r="K1973" s="51">
        <v>1371</v>
      </c>
      <c r="L1973" s="51">
        <v>-1371</v>
      </c>
      <c r="M1973" s="51">
        <v>0</v>
      </c>
      <c r="N1973" s="51">
        <v>10085</v>
      </c>
    </row>
    <row r="1974" spans="1:14" x14ac:dyDescent="0.35">
      <c r="A1974" s="53" t="s">
        <v>130</v>
      </c>
      <c r="B1974" s="52" t="s">
        <v>12</v>
      </c>
      <c r="C1974" s="51">
        <v>3493</v>
      </c>
      <c r="D1974" s="51">
        <v>-3493</v>
      </c>
      <c r="E1974" s="51">
        <v>0</v>
      </c>
      <c r="F1974" s="51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0</v>
      </c>
    </row>
    <row r="1975" spans="1:14" x14ac:dyDescent="0.35">
      <c r="A1975" s="53" t="s">
        <v>129</v>
      </c>
      <c r="B1975" s="52" t="s">
        <v>12</v>
      </c>
      <c r="C1975" s="51">
        <v>5631</v>
      </c>
      <c r="D1975" s="51">
        <v>0</v>
      </c>
      <c r="E1975" s="51">
        <v>0</v>
      </c>
      <c r="F1975" s="51">
        <v>0</v>
      </c>
      <c r="G1975" s="51">
        <v>0</v>
      </c>
      <c r="H1975" s="51">
        <v>5631</v>
      </c>
      <c r="I1975" s="51">
        <v>-5631</v>
      </c>
      <c r="J1975" s="51">
        <v>0</v>
      </c>
      <c r="K1975" s="51">
        <v>0</v>
      </c>
      <c r="L1975" s="51">
        <v>0</v>
      </c>
      <c r="M1975" s="51">
        <v>0</v>
      </c>
      <c r="N1975" s="51">
        <v>0</v>
      </c>
    </row>
    <row r="1976" spans="1:14" x14ac:dyDescent="0.35">
      <c r="A1976" s="53" t="s">
        <v>128</v>
      </c>
      <c r="B1976" s="52" t="s">
        <v>12</v>
      </c>
      <c r="C1976" s="51">
        <v>779144</v>
      </c>
      <c r="D1976" s="51">
        <v>-14351</v>
      </c>
      <c r="E1976" s="51">
        <v>0</v>
      </c>
      <c r="F1976" s="51">
        <v>0</v>
      </c>
      <c r="G1976" s="51">
        <v>0</v>
      </c>
      <c r="H1976" s="51">
        <v>764793</v>
      </c>
      <c r="I1976" s="51">
        <v>-764793</v>
      </c>
      <c r="J1976" s="51">
        <v>0</v>
      </c>
      <c r="K1976" s="51">
        <v>0</v>
      </c>
      <c r="L1976" s="51">
        <v>0</v>
      </c>
      <c r="M1976" s="51">
        <v>0</v>
      </c>
      <c r="N1976" s="51">
        <v>0</v>
      </c>
    </row>
    <row r="1977" spans="1:14" x14ac:dyDescent="0.35">
      <c r="A1977" s="53" t="s">
        <v>127</v>
      </c>
      <c r="B1977" s="52" t="s">
        <v>12</v>
      </c>
      <c r="C1977" s="51">
        <v>169031</v>
      </c>
      <c r="D1977" s="51">
        <v>-11775</v>
      </c>
      <c r="E1977" s="51">
        <v>0</v>
      </c>
      <c r="F1977" s="51">
        <v>0</v>
      </c>
      <c r="G1977" s="51">
        <v>0</v>
      </c>
      <c r="H1977" s="51">
        <v>157256</v>
      </c>
      <c r="I1977" s="51">
        <v>0</v>
      </c>
      <c r="J1977" s="51">
        <v>157256</v>
      </c>
      <c r="K1977" s="51">
        <v>0</v>
      </c>
      <c r="L1977" s="51">
        <v>0</v>
      </c>
      <c r="M1977" s="51">
        <v>0</v>
      </c>
      <c r="N1977" s="51">
        <v>157256</v>
      </c>
    </row>
    <row r="1978" spans="1:14" x14ac:dyDescent="0.35">
      <c r="A1978" s="53" t="s">
        <v>126</v>
      </c>
      <c r="B1978" s="52" t="s">
        <v>12</v>
      </c>
      <c r="C1978" s="51">
        <v>41840461</v>
      </c>
      <c r="D1978" s="51">
        <v>-6795664</v>
      </c>
      <c r="E1978" s="51">
        <v>0</v>
      </c>
      <c r="F1978" s="51">
        <v>0</v>
      </c>
      <c r="G1978" s="51">
        <v>0</v>
      </c>
      <c r="H1978" s="51">
        <v>35044797</v>
      </c>
      <c r="I1978" s="51">
        <v>-29157749</v>
      </c>
      <c r="J1978" s="51">
        <v>5887048</v>
      </c>
      <c r="K1978" s="51">
        <v>2626416</v>
      </c>
      <c r="L1978" s="51">
        <v>-2569172</v>
      </c>
      <c r="M1978" s="51">
        <v>57244</v>
      </c>
      <c r="N1978" s="51">
        <v>5829804</v>
      </c>
    </row>
    <row r="1979" spans="1:14" x14ac:dyDescent="0.35">
      <c r="A1979" s="53" t="s">
        <v>125</v>
      </c>
      <c r="B1979" s="52" t="s">
        <v>12</v>
      </c>
      <c r="C1979" s="51">
        <v>15466653</v>
      </c>
      <c r="D1979" s="51">
        <v>-201135</v>
      </c>
      <c r="E1979" s="51">
        <v>0</v>
      </c>
      <c r="F1979" s="51">
        <v>0</v>
      </c>
      <c r="G1979" s="51">
        <v>0</v>
      </c>
      <c r="H1979" s="51">
        <v>15265518</v>
      </c>
      <c r="I1979" s="51">
        <v>-15265518</v>
      </c>
      <c r="J1979" s="51">
        <v>0</v>
      </c>
      <c r="K1979" s="51">
        <v>2431</v>
      </c>
      <c r="L1979" s="51">
        <v>-2431</v>
      </c>
      <c r="M1979" s="51">
        <v>0</v>
      </c>
      <c r="N1979" s="51">
        <v>0</v>
      </c>
    </row>
    <row r="1980" spans="1:14" x14ac:dyDescent="0.35">
      <c r="A1980" s="53" t="s">
        <v>124</v>
      </c>
      <c r="B1980" s="52" t="s">
        <v>12</v>
      </c>
      <c r="C1980" s="51">
        <v>1965757</v>
      </c>
      <c r="D1980" s="51">
        <v>-88078</v>
      </c>
      <c r="E1980" s="51">
        <v>0</v>
      </c>
      <c r="F1980" s="51">
        <v>0</v>
      </c>
      <c r="G1980" s="51">
        <v>0</v>
      </c>
      <c r="H1980" s="51">
        <v>1877679</v>
      </c>
      <c r="I1980" s="51">
        <v>-1877679</v>
      </c>
      <c r="J1980" s="51">
        <v>0</v>
      </c>
      <c r="K1980" s="51">
        <v>300952</v>
      </c>
      <c r="L1980" s="51">
        <v>-300952</v>
      </c>
      <c r="M1980" s="51">
        <v>0</v>
      </c>
      <c r="N1980" s="51">
        <v>0</v>
      </c>
    </row>
    <row r="1981" spans="1:14" x14ac:dyDescent="0.35">
      <c r="A1981" s="53" t="s">
        <v>123</v>
      </c>
      <c r="B1981" s="52" t="s">
        <v>12</v>
      </c>
      <c r="C1981" s="51">
        <v>931431718</v>
      </c>
      <c r="D1981" s="51">
        <v>-126668951</v>
      </c>
      <c r="E1981" s="51">
        <v>0</v>
      </c>
      <c r="F1981" s="51">
        <v>0</v>
      </c>
      <c r="G1981" s="51">
        <v>0</v>
      </c>
      <c r="H1981" s="51">
        <v>804762767</v>
      </c>
      <c r="I1981" s="51">
        <v>-804762767</v>
      </c>
      <c r="J1981" s="51">
        <v>0</v>
      </c>
      <c r="K1981" s="51">
        <v>80396495</v>
      </c>
      <c r="L1981" s="51">
        <v>-80396495</v>
      </c>
      <c r="M1981" s="51">
        <v>0</v>
      </c>
      <c r="N1981" s="51">
        <v>0</v>
      </c>
    </row>
    <row r="1982" spans="1:14" x14ac:dyDescent="0.35">
      <c r="A1982" s="53" t="s">
        <v>122</v>
      </c>
      <c r="B1982" s="52" t="s">
        <v>12</v>
      </c>
      <c r="C1982" s="51">
        <v>13618296</v>
      </c>
      <c r="D1982" s="51">
        <v>-5596537</v>
      </c>
      <c r="E1982" s="51">
        <v>0</v>
      </c>
      <c r="F1982" s="51">
        <v>0</v>
      </c>
      <c r="G1982" s="51">
        <v>0</v>
      </c>
      <c r="H1982" s="51">
        <v>8021759</v>
      </c>
      <c r="I1982" s="51">
        <v>-8021759</v>
      </c>
      <c r="J1982" s="51">
        <v>0</v>
      </c>
      <c r="K1982" s="51">
        <v>0</v>
      </c>
      <c r="L1982" s="51">
        <v>0</v>
      </c>
      <c r="M1982" s="51">
        <v>0</v>
      </c>
      <c r="N1982" s="51">
        <v>0</v>
      </c>
    </row>
    <row r="1983" spans="1:14" x14ac:dyDescent="0.35">
      <c r="A1983" s="53" t="s">
        <v>121</v>
      </c>
      <c r="B1983" s="52" t="s">
        <v>12</v>
      </c>
      <c r="C1983" s="51">
        <v>361864377</v>
      </c>
      <c r="D1983" s="51">
        <v>-88906717</v>
      </c>
      <c r="E1983" s="51">
        <v>0</v>
      </c>
      <c r="F1983" s="51">
        <v>0</v>
      </c>
      <c r="G1983" s="51">
        <v>0</v>
      </c>
      <c r="H1983" s="51">
        <v>272957660</v>
      </c>
      <c r="I1983" s="51">
        <v>-272957660</v>
      </c>
      <c r="J1983" s="51">
        <v>0</v>
      </c>
      <c r="K1983" s="51">
        <v>21337301</v>
      </c>
      <c r="L1983" s="51">
        <v>-21204932</v>
      </c>
      <c r="M1983" s="51">
        <v>132369</v>
      </c>
      <c r="N1983" s="51">
        <v>-132369</v>
      </c>
    </row>
    <row r="1984" spans="1:14" x14ac:dyDescent="0.35">
      <c r="A1984" s="53" t="s">
        <v>120</v>
      </c>
      <c r="B1984" s="52" t="s">
        <v>12</v>
      </c>
      <c r="C1984" s="51">
        <v>29374534</v>
      </c>
      <c r="D1984" s="51">
        <v>-106063</v>
      </c>
      <c r="E1984" s="51">
        <v>-51719</v>
      </c>
      <c r="F1984" s="51">
        <v>0</v>
      </c>
      <c r="G1984" s="51">
        <v>-8912</v>
      </c>
      <c r="H1984" s="51">
        <v>29207840</v>
      </c>
      <c r="I1984" s="51">
        <v>-26518131</v>
      </c>
      <c r="J1984" s="51">
        <v>2689709</v>
      </c>
      <c r="K1984" s="51">
        <v>142298</v>
      </c>
      <c r="L1984" s="51">
        <v>-142298</v>
      </c>
      <c r="M1984" s="51">
        <v>0</v>
      </c>
      <c r="N1984" s="51">
        <v>2689709</v>
      </c>
    </row>
    <row r="1985" spans="1:14" x14ac:dyDescent="0.35">
      <c r="A1985" s="53" t="s">
        <v>119</v>
      </c>
      <c r="B1985" s="52" t="s">
        <v>12</v>
      </c>
      <c r="C1985" s="51">
        <v>94854571</v>
      </c>
      <c r="D1985" s="51">
        <v>-4398078</v>
      </c>
      <c r="E1985" s="51">
        <v>0</v>
      </c>
      <c r="F1985" s="51">
        <v>-2273564</v>
      </c>
      <c r="G1985" s="51">
        <v>0</v>
      </c>
      <c r="H1985" s="51">
        <v>88182929</v>
      </c>
      <c r="I1985" s="51">
        <v>0</v>
      </c>
      <c r="J1985" s="51">
        <v>88182929</v>
      </c>
      <c r="K1985" s="51">
        <v>0</v>
      </c>
      <c r="L1985" s="51">
        <v>0</v>
      </c>
      <c r="M1985" s="51">
        <v>0</v>
      </c>
      <c r="N1985" s="51">
        <v>88182929</v>
      </c>
    </row>
    <row r="1986" spans="1:14" x14ac:dyDescent="0.35">
      <c r="A1986" s="53" t="s">
        <v>118</v>
      </c>
      <c r="B1986" s="52" t="s">
        <v>12</v>
      </c>
      <c r="C1986" s="51">
        <v>526117</v>
      </c>
      <c r="D1986" s="51">
        <v>0</v>
      </c>
      <c r="E1986" s="51">
        <v>0</v>
      </c>
      <c r="F1986" s="51">
        <v>0</v>
      </c>
      <c r="G1986" s="51">
        <v>0</v>
      </c>
      <c r="H1986" s="51">
        <v>526117</v>
      </c>
      <c r="I1986" s="51">
        <v>-83263</v>
      </c>
      <c r="J1986" s="51">
        <v>442854</v>
      </c>
      <c r="K1986" s="51">
        <v>0</v>
      </c>
      <c r="L1986" s="51">
        <v>0</v>
      </c>
      <c r="M1986" s="51">
        <v>0</v>
      </c>
      <c r="N1986" s="51">
        <v>442854</v>
      </c>
    </row>
    <row r="1987" spans="1:14" x14ac:dyDescent="0.35">
      <c r="A1987" s="53" t="s">
        <v>117</v>
      </c>
      <c r="B1987" s="52" t="s">
        <v>12</v>
      </c>
      <c r="C1987" s="51">
        <v>2389911</v>
      </c>
      <c r="D1987" s="51">
        <v>-98030</v>
      </c>
      <c r="E1987" s="51">
        <v>0</v>
      </c>
      <c r="F1987" s="51">
        <v>0</v>
      </c>
      <c r="G1987" s="51">
        <v>0</v>
      </c>
      <c r="H1987" s="51">
        <v>2291881</v>
      </c>
      <c r="I1987" s="51">
        <v>-2291881</v>
      </c>
      <c r="J1987" s="51">
        <v>0</v>
      </c>
      <c r="K1987" s="51">
        <v>13351</v>
      </c>
      <c r="L1987" s="51">
        <v>-13351</v>
      </c>
      <c r="M1987" s="51">
        <v>0</v>
      </c>
      <c r="N1987" s="51">
        <v>0</v>
      </c>
    </row>
    <row r="1988" spans="1:14" x14ac:dyDescent="0.35">
      <c r="A1988" s="53" t="s">
        <v>116</v>
      </c>
      <c r="B1988" s="52" t="s">
        <v>12</v>
      </c>
      <c r="C1988" s="51">
        <v>113636420</v>
      </c>
      <c r="D1988" s="51">
        <v>-46536265</v>
      </c>
      <c r="E1988" s="51">
        <v>0</v>
      </c>
      <c r="F1988" s="51">
        <v>0</v>
      </c>
      <c r="G1988" s="51">
        <v>0</v>
      </c>
      <c r="H1988" s="51">
        <v>67100155</v>
      </c>
      <c r="I1988" s="51">
        <v>0</v>
      </c>
      <c r="J1988" s="51">
        <v>67100155</v>
      </c>
      <c r="K1988" s="51">
        <v>0</v>
      </c>
      <c r="L1988" s="51">
        <v>0</v>
      </c>
      <c r="M1988" s="51">
        <v>0</v>
      </c>
      <c r="N1988" s="51">
        <v>67100155</v>
      </c>
    </row>
    <row r="1989" spans="1:14" x14ac:dyDescent="0.35">
      <c r="A1989" s="53" t="s">
        <v>115</v>
      </c>
      <c r="B1989" s="52" t="s">
        <v>12</v>
      </c>
      <c r="C1989" s="51">
        <v>35080037</v>
      </c>
      <c r="D1989" s="51">
        <v>-3959326</v>
      </c>
      <c r="E1989" s="51">
        <v>0</v>
      </c>
      <c r="F1989" s="51">
        <v>0</v>
      </c>
      <c r="G1989" s="51">
        <v>0</v>
      </c>
      <c r="H1989" s="51">
        <v>31120711</v>
      </c>
      <c r="I1989" s="51">
        <v>-31120711</v>
      </c>
      <c r="J1989" s="51">
        <v>0</v>
      </c>
      <c r="K1989" s="51">
        <v>723820</v>
      </c>
      <c r="L1989" s="51">
        <v>-721658</v>
      </c>
      <c r="M1989" s="51">
        <v>2162</v>
      </c>
      <c r="N1989" s="51">
        <v>-2162</v>
      </c>
    </row>
    <row r="1990" spans="1:14" x14ac:dyDescent="0.35">
      <c r="A1990" s="53" t="s">
        <v>114</v>
      </c>
      <c r="B1990" s="52" t="s">
        <v>12</v>
      </c>
      <c r="C1990" s="51">
        <v>164594</v>
      </c>
      <c r="D1990" s="51">
        <v>-20597</v>
      </c>
      <c r="E1990" s="51">
        <v>0</v>
      </c>
      <c r="F1990" s="51">
        <v>0</v>
      </c>
      <c r="G1990" s="51">
        <v>0</v>
      </c>
      <c r="H1990" s="51">
        <v>143997</v>
      </c>
      <c r="I1990" s="51">
        <v>-143997</v>
      </c>
      <c r="J1990" s="51">
        <v>0</v>
      </c>
      <c r="K1990" s="51">
        <v>0</v>
      </c>
      <c r="L1990" s="51">
        <v>0</v>
      </c>
      <c r="M1990" s="51">
        <v>0</v>
      </c>
      <c r="N1990" s="51">
        <v>0</v>
      </c>
    </row>
    <row r="1991" spans="1:14" x14ac:dyDescent="0.35">
      <c r="A1991" s="53" t="s">
        <v>113</v>
      </c>
      <c r="B1991" s="52" t="s">
        <v>12</v>
      </c>
      <c r="C1991" s="51">
        <v>1513891</v>
      </c>
      <c r="D1991" s="51">
        <v>0</v>
      </c>
      <c r="E1991" s="51">
        <v>0</v>
      </c>
      <c r="F1991" s="51">
        <v>0</v>
      </c>
      <c r="G1991" s="51">
        <v>0</v>
      </c>
      <c r="H1991" s="51">
        <v>1513891</v>
      </c>
      <c r="I1991" s="51">
        <v>-1240009</v>
      </c>
      <c r="J1991" s="51">
        <v>273882</v>
      </c>
      <c r="K1991" s="51">
        <v>72081</v>
      </c>
      <c r="L1991" s="51">
        <v>-72081</v>
      </c>
      <c r="M1991" s="51">
        <v>0</v>
      </c>
      <c r="N1991" s="51">
        <v>273882</v>
      </c>
    </row>
    <row r="1992" spans="1:14" x14ac:dyDescent="0.35">
      <c r="A1992" s="53" t="s">
        <v>112</v>
      </c>
      <c r="B1992" s="52" t="s">
        <v>12</v>
      </c>
      <c r="C1992" s="51">
        <v>2799781</v>
      </c>
      <c r="D1992" s="51">
        <v>-21389</v>
      </c>
      <c r="E1992" s="51">
        <v>0</v>
      </c>
      <c r="F1992" s="51">
        <v>0</v>
      </c>
      <c r="G1992" s="51">
        <v>0</v>
      </c>
      <c r="H1992" s="51">
        <v>2778392</v>
      </c>
      <c r="I1992" s="51">
        <v>-2778392</v>
      </c>
      <c r="J1992" s="51">
        <v>0</v>
      </c>
      <c r="K1992" s="51">
        <v>0</v>
      </c>
      <c r="L1992" s="51">
        <v>0</v>
      </c>
      <c r="M1992" s="51">
        <v>0</v>
      </c>
      <c r="N1992" s="51">
        <v>0</v>
      </c>
    </row>
    <row r="1993" spans="1:14" x14ac:dyDescent="0.35">
      <c r="A1993" s="53" t="s">
        <v>111</v>
      </c>
      <c r="B1993" s="52" t="s">
        <v>12</v>
      </c>
      <c r="C1993" s="51">
        <v>1337583</v>
      </c>
      <c r="D1993" s="51">
        <v>0</v>
      </c>
      <c r="E1993" s="51">
        <v>0</v>
      </c>
      <c r="F1993" s="51">
        <v>0</v>
      </c>
      <c r="G1993" s="51">
        <v>-12855</v>
      </c>
      <c r="H1993" s="51">
        <v>1324728</v>
      </c>
      <c r="I1993" s="51">
        <v>0</v>
      </c>
      <c r="J1993" s="51">
        <v>1324728</v>
      </c>
      <c r="K1993" s="51">
        <v>0</v>
      </c>
      <c r="L1993" s="51">
        <v>0</v>
      </c>
      <c r="M1993" s="51">
        <v>0</v>
      </c>
      <c r="N1993" s="51">
        <v>1324728</v>
      </c>
    </row>
    <row r="1994" spans="1:14" x14ac:dyDescent="0.35">
      <c r="A1994" s="53" t="s">
        <v>110</v>
      </c>
      <c r="B1994" s="52" t="s">
        <v>12</v>
      </c>
      <c r="C1994" s="51">
        <v>91462</v>
      </c>
      <c r="D1994" s="51">
        <v>-41713</v>
      </c>
      <c r="E1994" s="51">
        <v>0</v>
      </c>
      <c r="F1994" s="51">
        <v>0</v>
      </c>
      <c r="G1994" s="51">
        <v>0</v>
      </c>
      <c r="H1994" s="51">
        <v>49749</v>
      </c>
      <c r="I1994" s="51">
        <v>-33549</v>
      </c>
      <c r="J1994" s="51">
        <v>16200</v>
      </c>
      <c r="K1994" s="51">
        <v>0</v>
      </c>
      <c r="L1994" s="51">
        <v>0</v>
      </c>
      <c r="M1994" s="51">
        <v>0</v>
      </c>
      <c r="N1994" s="51">
        <v>16200</v>
      </c>
    </row>
    <row r="1995" spans="1:14" x14ac:dyDescent="0.35">
      <c r="A1995" s="53" t="s">
        <v>109</v>
      </c>
      <c r="B1995" s="52" t="s">
        <v>12</v>
      </c>
      <c r="C1995" s="51">
        <v>305286</v>
      </c>
      <c r="D1995" s="51">
        <v>-18375</v>
      </c>
      <c r="E1995" s="51">
        <v>0</v>
      </c>
      <c r="F1995" s="51">
        <v>0</v>
      </c>
      <c r="G1995" s="51">
        <v>0</v>
      </c>
      <c r="H1995" s="51">
        <v>286911</v>
      </c>
      <c r="I1995" s="51">
        <v>-272987</v>
      </c>
      <c r="J1995" s="51">
        <v>13924</v>
      </c>
      <c r="K1995" s="51">
        <v>0</v>
      </c>
      <c r="L1995" s="51">
        <v>0</v>
      </c>
      <c r="M1995" s="51">
        <v>0</v>
      </c>
      <c r="N1995" s="51">
        <v>13924</v>
      </c>
    </row>
    <row r="1996" spans="1:14" x14ac:dyDescent="0.35">
      <c r="A1996" s="53" t="s">
        <v>108</v>
      </c>
      <c r="B1996" s="52" t="s">
        <v>12</v>
      </c>
      <c r="C1996" s="51">
        <v>195234</v>
      </c>
      <c r="D1996" s="51">
        <v>-7873</v>
      </c>
      <c r="E1996" s="51">
        <v>0</v>
      </c>
      <c r="F1996" s="51">
        <v>0</v>
      </c>
      <c r="G1996" s="51">
        <v>0</v>
      </c>
      <c r="H1996" s="51">
        <v>187361</v>
      </c>
      <c r="I1996" s="51">
        <v>-187361</v>
      </c>
      <c r="J1996" s="51">
        <v>0</v>
      </c>
      <c r="K1996" s="51">
        <v>7496</v>
      </c>
      <c r="L1996" s="51">
        <v>-7496</v>
      </c>
      <c r="M1996" s="51">
        <v>0</v>
      </c>
      <c r="N1996" s="51">
        <v>0</v>
      </c>
    </row>
    <row r="1997" spans="1:14" x14ac:dyDescent="0.35">
      <c r="A1997" s="53" t="s">
        <v>107</v>
      </c>
      <c r="B1997" s="52" t="s">
        <v>12</v>
      </c>
      <c r="C1997" s="51">
        <v>212805</v>
      </c>
      <c r="D1997" s="51">
        <v>-207415</v>
      </c>
      <c r="E1997" s="51">
        <v>0</v>
      </c>
      <c r="F1997" s="51">
        <v>0</v>
      </c>
      <c r="G1997" s="51">
        <v>0</v>
      </c>
      <c r="H1997" s="51">
        <v>5390</v>
      </c>
      <c r="I1997" s="51">
        <v>0</v>
      </c>
      <c r="J1997" s="51">
        <v>5390</v>
      </c>
      <c r="K1997" s="51">
        <v>0</v>
      </c>
      <c r="L1997" s="51">
        <v>0</v>
      </c>
      <c r="M1997" s="51">
        <v>0</v>
      </c>
      <c r="N1997" s="51">
        <v>5390</v>
      </c>
    </row>
    <row r="1998" spans="1:14" x14ac:dyDescent="0.35">
      <c r="A1998" s="53" t="s">
        <v>106</v>
      </c>
      <c r="B1998" s="52" t="s">
        <v>12</v>
      </c>
      <c r="C1998" s="51">
        <v>21935309</v>
      </c>
      <c r="D1998" s="51">
        <v>-707460</v>
      </c>
      <c r="E1998" s="51">
        <v>0</v>
      </c>
      <c r="F1998" s="51">
        <v>0</v>
      </c>
      <c r="G1998" s="51">
        <v>-14782</v>
      </c>
      <c r="H1998" s="51">
        <v>21213067</v>
      </c>
      <c r="I1998" s="51">
        <v>0</v>
      </c>
      <c r="J1998" s="51">
        <v>21213067</v>
      </c>
      <c r="K1998" s="51">
        <v>0</v>
      </c>
      <c r="L1998" s="51">
        <v>0</v>
      </c>
      <c r="M1998" s="51">
        <v>0</v>
      </c>
      <c r="N1998" s="51">
        <v>21213067</v>
      </c>
    </row>
    <row r="1999" spans="1:14" x14ac:dyDescent="0.35">
      <c r="A1999" s="53" t="s">
        <v>105</v>
      </c>
      <c r="B1999" s="52" t="s">
        <v>12</v>
      </c>
      <c r="C1999" s="51">
        <v>4463765</v>
      </c>
      <c r="D1999" s="51">
        <v>-24712</v>
      </c>
      <c r="E1999" s="51">
        <v>0</v>
      </c>
      <c r="F1999" s="51">
        <v>0</v>
      </c>
      <c r="G1999" s="51">
        <v>0</v>
      </c>
      <c r="H1999" s="51">
        <v>4439053</v>
      </c>
      <c r="I1999" s="51">
        <v>-4439053</v>
      </c>
      <c r="J1999" s="51">
        <v>0</v>
      </c>
      <c r="K1999" s="51">
        <v>0</v>
      </c>
      <c r="L1999" s="51">
        <v>0</v>
      </c>
      <c r="M1999" s="51">
        <v>0</v>
      </c>
      <c r="N1999" s="51">
        <v>0</v>
      </c>
    </row>
    <row r="2000" spans="1:14" x14ac:dyDescent="0.35">
      <c r="A2000" s="53" t="s">
        <v>104</v>
      </c>
      <c r="B2000" s="52" t="s">
        <v>12</v>
      </c>
      <c r="C2000" s="51">
        <v>72169671</v>
      </c>
      <c r="D2000" s="51">
        <v>-1241724</v>
      </c>
      <c r="E2000" s="51">
        <v>0</v>
      </c>
      <c r="F2000" s="51">
        <v>0</v>
      </c>
      <c r="G2000" s="51">
        <v>0</v>
      </c>
      <c r="H2000" s="51">
        <v>70927947</v>
      </c>
      <c r="I2000" s="51">
        <v>-64041720</v>
      </c>
      <c r="J2000" s="51">
        <v>6886227</v>
      </c>
      <c r="K2000" s="51">
        <v>2952230</v>
      </c>
      <c r="L2000" s="51">
        <v>-2907810</v>
      </c>
      <c r="M2000" s="51">
        <v>44420</v>
      </c>
      <c r="N2000" s="51">
        <v>6841807</v>
      </c>
    </row>
    <row r="2001" spans="1:14" x14ac:dyDescent="0.35">
      <c r="A2001" s="53" t="s">
        <v>103</v>
      </c>
      <c r="B2001" s="52" t="s">
        <v>12</v>
      </c>
      <c r="C2001" s="51">
        <v>133510</v>
      </c>
      <c r="D2001" s="51">
        <v>-133510</v>
      </c>
      <c r="E2001" s="51">
        <v>0</v>
      </c>
      <c r="F2001" s="51">
        <v>0</v>
      </c>
      <c r="G2001" s="51">
        <v>0</v>
      </c>
      <c r="H2001" s="51">
        <v>0</v>
      </c>
      <c r="I2001" s="51">
        <v>0</v>
      </c>
      <c r="J2001" s="51">
        <v>0</v>
      </c>
      <c r="K2001" s="51">
        <v>0</v>
      </c>
      <c r="L2001" s="51">
        <v>0</v>
      </c>
      <c r="M2001" s="51">
        <v>0</v>
      </c>
      <c r="N2001" s="51">
        <v>0</v>
      </c>
    </row>
    <row r="2002" spans="1:14" x14ac:dyDescent="0.35">
      <c r="A2002" s="53" t="s">
        <v>102</v>
      </c>
      <c r="B2002" s="52" t="s">
        <v>12</v>
      </c>
      <c r="C2002" s="51">
        <v>426520</v>
      </c>
      <c r="D2002" s="51">
        <v>-2373</v>
      </c>
      <c r="E2002" s="51">
        <v>0</v>
      </c>
      <c r="F2002" s="51">
        <v>0</v>
      </c>
      <c r="G2002" s="51">
        <v>0</v>
      </c>
      <c r="H2002" s="51">
        <v>424147</v>
      </c>
      <c r="I2002" s="51">
        <v>-416001</v>
      </c>
      <c r="J2002" s="51">
        <v>8146</v>
      </c>
      <c r="K2002" s="51">
        <v>34780</v>
      </c>
      <c r="L2002" s="51">
        <v>-34780</v>
      </c>
      <c r="M2002" s="51">
        <v>0</v>
      </c>
      <c r="N2002" s="51">
        <v>8146</v>
      </c>
    </row>
    <row r="2003" spans="1:14" x14ac:dyDescent="0.35">
      <c r="A2003" s="53" t="s">
        <v>101</v>
      </c>
      <c r="B2003" s="52" t="s">
        <v>12</v>
      </c>
      <c r="C2003" s="51">
        <v>49074</v>
      </c>
      <c r="D2003" s="51">
        <v>0</v>
      </c>
      <c r="E2003" s="51">
        <v>0</v>
      </c>
      <c r="F2003" s="51">
        <v>0</v>
      </c>
      <c r="G2003" s="51">
        <v>0</v>
      </c>
      <c r="H2003" s="51">
        <v>49074</v>
      </c>
      <c r="I2003" s="51">
        <v>-47446</v>
      </c>
      <c r="J2003" s="51">
        <v>1628</v>
      </c>
      <c r="K2003" s="51">
        <v>0</v>
      </c>
      <c r="L2003" s="51">
        <v>0</v>
      </c>
      <c r="M2003" s="51">
        <v>0</v>
      </c>
      <c r="N2003" s="51">
        <v>1628</v>
      </c>
    </row>
    <row r="2004" spans="1:14" x14ac:dyDescent="0.35">
      <c r="A2004" s="53" t="s">
        <v>100</v>
      </c>
      <c r="B2004" s="52" t="s">
        <v>12</v>
      </c>
      <c r="C2004" s="51">
        <v>28913613</v>
      </c>
      <c r="D2004" s="51">
        <v>-580170</v>
      </c>
      <c r="E2004" s="51">
        <v>0</v>
      </c>
      <c r="F2004" s="51">
        <v>0</v>
      </c>
      <c r="G2004" s="51">
        <v>0</v>
      </c>
      <c r="H2004" s="51">
        <v>28333443</v>
      </c>
      <c r="I2004" s="51">
        <v>-21111447</v>
      </c>
      <c r="J2004" s="51">
        <v>7221996</v>
      </c>
      <c r="K2004" s="51">
        <v>687761</v>
      </c>
      <c r="L2004" s="51">
        <v>-687761</v>
      </c>
      <c r="M2004" s="51">
        <v>0</v>
      </c>
      <c r="N2004" s="51">
        <v>7221996</v>
      </c>
    </row>
    <row r="2005" spans="1:14" x14ac:dyDescent="0.35">
      <c r="A2005" s="53" t="s">
        <v>99</v>
      </c>
      <c r="B2005" s="52" t="s">
        <v>12</v>
      </c>
      <c r="C2005" s="51">
        <v>4909840</v>
      </c>
      <c r="D2005" s="51">
        <v>0</v>
      </c>
      <c r="E2005" s="51">
        <v>0</v>
      </c>
      <c r="F2005" s="51">
        <v>0</v>
      </c>
      <c r="G2005" s="51">
        <v>0</v>
      </c>
      <c r="H2005" s="51">
        <v>4909840</v>
      </c>
      <c r="I2005" s="51">
        <v>0</v>
      </c>
      <c r="J2005" s="51">
        <v>4909840</v>
      </c>
      <c r="K2005" s="51">
        <v>0</v>
      </c>
      <c r="L2005" s="51">
        <v>0</v>
      </c>
      <c r="M2005" s="51">
        <v>0</v>
      </c>
      <c r="N2005" s="51">
        <v>4909840</v>
      </c>
    </row>
    <row r="2006" spans="1:14" x14ac:dyDescent="0.35">
      <c r="A2006" s="53" t="s">
        <v>98</v>
      </c>
      <c r="B2006" s="52" t="s">
        <v>12</v>
      </c>
      <c r="C2006" s="51">
        <v>2878156</v>
      </c>
      <c r="D2006" s="51">
        <v>-21519</v>
      </c>
      <c r="E2006" s="51">
        <v>0</v>
      </c>
      <c r="F2006" s="51">
        <v>0</v>
      </c>
      <c r="G2006" s="51">
        <v>0</v>
      </c>
      <c r="H2006" s="51">
        <v>2856637</v>
      </c>
      <c r="I2006" s="51">
        <v>-2517096</v>
      </c>
      <c r="J2006" s="51">
        <v>339541</v>
      </c>
      <c r="K2006" s="51">
        <v>482391</v>
      </c>
      <c r="L2006" s="51">
        <v>-482391</v>
      </c>
      <c r="M2006" s="51">
        <v>0</v>
      </c>
      <c r="N2006" s="51">
        <v>339541</v>
      </c>
    </row>
    <row r="2007" spans="1:14" x14ac:dyDescent="0.35">
      <c r="A2007" s="53" t="s">
        <v>97</v>
      </c>
      <c r="B2007" s="52" t="s">
        <v>12</v>
      </c>
      <c r="C2007" s="51">
        <v>216063</v>
      </c>
      <c r="D2007" s="51">
        <v>-2823</v>
      </c>
      <c r="E2007" s="51">
        <v>0</v>
      </c>
      <c r="F2007" s="51">
        <v>0</v>
      </c>
      <c r="G2007" s="51">
        <v>0</v>
      </c>
      <c r="H2007" s="51">
        <v>213240</v>
      </c>
      <c r="I2007" s="51">
        <v>-177335</v>
      </c>
      <c r="J2007" s="51">
        <v>35905</v>
      </c>
      <c r="K2007" s="51">
        <v>1320</v>
      </c>
      <c r="L2007" s="51">
        <v>-1320</v>
      </c>
      <c r="M2007" s="51">
        <v>0</v>
      </c>
      <c r="N2007" s="51">
        <v>35905</v>
      </c>
    </row>
    <row r="2008" spans="1:14" x14ac:dyDescent="0.35">
      <c r="A2008" s="53" t="s">
        <v>96</v>
      </c>
      <c r="B2008" s="52" t="s">
        <v>12</v>
      </c>
      <c r="C2008" s="51">
        <v>26688401</v>
      </c>
      <c r="D2008" s="51">
        <v>-8566826</v>
      </c>
      <c r="E2008" s="51">
        <v>0</v>
      </c>
      <c r="F2008" s="51">
        <v>0</v>
      </c>
      <c r="G2008" s="51">
        <v>0</v>
      </c>
      <c r="H2008" s="51">
        <v>18121575</v>
      </c>
      <c r="I2008" s="51">
        <v>-18121575</v>
      </c>
      <c r="J2008" s="51">
        <v>0</v>
      </c>
      <c r="K2008" s="51">
        <v>1317866</v>
      </c>
      <c r="L2008" s="51">
        <v>-1317866</v>
      </c>
      <c r="M2008" s="51">
        <v>0</v>
      </c>
      <c r="N2008" s="51">
        <v>0</v>
      </c>
    </row>
    <row r="2009" spans="1:14" x14ac:dyDescent="0.35">
      <c r="A2009" s="53" t="s">
        <v>95</v>
      </c>
      <c r="B2009" s="52" t="s">
        <v>12</v>
      </c>
      <c r="C2009" s="51">
        <v>18054208</v>
      </c>
      <c r="D2009" s="51">
        <v>-1133045</v>
      </c>
      <c r="E2009" s="51">
        <v>0</v>
      </c>
      <c r="F2009" s="51">
        <v>0</v>
      </c>
      <c r="G2009" s="51">
        <v>0</v>
      </c>
      <c r="H2009" s="51">
        <v>16921163</v>
      </c>
      <c r="I2009" s="51">
        <v>-16921163</v>
      </c>
      <c r="J2009" s="51">
        <v>0</v>
      </c>
      <c r="K2009" s="51">
        <v>494708</v>
      </c>
      <c r="L2009" s="51">
        <v>-494708</v>
      </c>
      <c r="M2009" s="51">
        <v>0</v>
      </c>
      <c r="N2009" s="51">
        <v>0</v>
      </c>
    </row>
    <row r="2010" spans="1:14" x14ac:dyDescent="0.35">
      <c r="A2010" s="53" t="s">
        <v>94</v>
      </c>
      <c r="B2010" s="52" t="s">
        <v>12</v>
      </c>
      <c r="C2010" s="51">
        <v>1825345</v>
      </c>
      <c r="D2010" s="51">
        <v>-8726</v>
      </c>
      <c r="E2010" s="51">
        <v>0</v>
      </c>
      <c r="F2010" s="51">
        <v>0</v>
      </c>
      <c r="G2010" s="51">
        <v>0</v>
      </c>
      <c r="H2010" s="51">
        <v>1816619</v>
      </c>
      <c r="I2010" s="51">
        <v>0</v>
      </c>
      <c r="J2010" s="51">
        <v>1816619</v>
      </c>
      <c r="K2010" s="51">
        <v>0</v>
      </c>
      <c r="L2010" s="51">
        <v>0</v>
      </c>
      <c r="M2010" s="51">
        <v>0</v>
      </c>
      <c r="N2010" s="51">
        <v>1816619</v>
      </c>
    </row>
    <row r="2011" spans="1:14" x14ac:dyDescent="0.35">
      <c r="A2011" s="53" t="s">
        <v>93</v>
      </c>
      <c r="B2011" s="52" t="s">
        <v>12</v>
      </c>
      <c r="C2011" s="51">
        <v>45544666</v>
      </c>
      <c r="D2011" s="51">
        <v>-38490015</v>
      </c>
      <c r="E2011" s="51">
        <v>0</v>
      </c>
      <c r="F2011" s="51">
        <v>0</v>
      </c>
      <c r="G2011" s="51">
        <v>0</v>
      </c>
      <c r="H2011" s="51">
        <v>7054651</v>
      </c>
      <c r="I2011" s="51">
        <v>0</v>
      </c>
      <c r="J2011" s="51">
        <v>7054651</v>
      </c>
      <c r="K2011" s="51">
        <v>0</v>
      </c>
      <c r="L2011" s="51">
        <v>0</v>
      </c>
      <c r="M2011" s="51">
        <v>0</v>
      </c>
      <c r="N2011" s="51">
        <v>7054651</v>
      </c>
    </row>
    <row r="2012" spans="1:14" x14ac:dyDescent="0.35">
      <c r="A2012" s="53" t="s">
        <v>92</v>
      </c>
      <c r="B2012" s="52" t="s">
        <v>12</v>
      </c>
      <c r="C2012" s="51">
        <v>20640213</v>
      </c>
      <c r="D2012" s="51">
        <v>-146409</v>
      </c>
      <c r="E2012" s="51">
        <v>0</v>
      </c>
      <c r="F2012" s="51">
        <v>0</v>
      </c>
      <c r="G2012" s="51">
        <v>0</v>
      </c>
      <c r="H2012" s="51">
        <v>20493804</v>
      </c>
      <c r="I2012" s="51">
        <v>-20493804</v>
      </c>
      <c r="J2012" s="51">
        <v>0</v>
      </c>
      <c r="K2012" s="51">
        <v>377128</v>
      </c>
      <c r="L2012" s="51">
        <v>-377128</v>
      </c>
      <c r="M2012" s="51">
        <v>0</v>
      </c>
      <c r="N2012" s="51">
        <v>0</v>
      </c>
    </row>
    <row r="2013" spans="1:14" x14ac:dyDescent="0.35">
      <c r="A2013" s="53" t="s">
        <v>91</v>
      </c>
      <c r="B2013" s="52" t="s">
        <v>12</v>
      </c>
      <c r="C2013" s="51">
        <v>19208093</v>
      </c>
      <c r="D2013" s="51">
        <v>-1519480</v>
      </c>
      <c r="E2013" s="51">
        <v>0</v>
      </c>
      <c r="F2013" s="51">
        <v>0</v>
      </c>
      <c r="G2013" s="51">
        <v>0</v>
      </c>
      <c r="H2013" s="51">
        <v>17688613</v>
      </c>
      <c r="I2013" s="51">
        <v>-12474581</v>
      </c>
      <c r="J2013" s="51">
        <v>5214032</v>
      </c>
      <c r="K2013" s="51">
        <v>1628403</v>
      </c>
      <c r="L2013" s="51">
        <v>-1628403</v>
      </c>
      <c r="M2013" s="51">
        <v>0</v>
      </c>
      <c r="N2013" s="51">
        <v>5214032</v>
      </c>
    </row>
    <row r="2014" spans="1:14" x14ac:dyDescent="0.35">
      <c r="A2014" s="53" t="s">
        <v>90</v>
      </c>
      <c r="B2014" s="52" t="s">
        <v>12</v>
      </c>
      <c r="C2014" s="51">
        <v>61998222</v>
      </c>
      <c r="D2014" s="51">
        <v>-9498640</v>
      </c>
      <c r="E2014" s="51">
        <v>0</v>
      </c>
      <c r="F2014" s="51">
        <v>0</v>
      </c>
      <c r="G2014" s="51">
        <v>0</v>
      </c>
      <c r="H2014" s="51">
        <v>52499582</v>
      </c>
      <c r="I2014" s="51">
        <v>-52499582</v>
      </c>
      <c r="J2014" s="51">
        <v>0</v>
      </c>
      <c r="K2014" s="51">
        <v>6709600</v>
      </c>
      <c r="L2014" s="51">
        <v>-6704058</v>
      </c>
      <c r="M2014" s="51">
        <v>5542</v>
      </c>
      <c r="N2014" s="51">
        <v>-5542</v>
      </c>
    </row>
    <row r="2015" spans="1:14" x14ac:dyDescent="0.35">
      <c r="A2015" s="53" t="s">
        <v>89</v>
      </c>
      <c r="B2015" s="52" t="s">
        <v>12</v>
      </c>
      <c r="C2015" s="51">
        <v>45674713</v>
      </c>
      <c r="D2015" s="51">
        <v>-14873963</v>
      </c>
      <c r="E2015" s="51">
        <v>0</v>
      </c>
      <c r="F2015" s="51">
        <v>0</v>
      </c>
      <c r="G2015" s="51">
        <v>0</v>
      </c>
      <c r="H2015" s="51">
        <v>30800750</v>
      </c>
      <c r="I2015" s="51">
        <v>-30800750</v>
      </c>
      <c r="J2015" s="51">
        <v>0</v>
      </c>
      <c r="K2015" s="51">
        <v>4250114</v>
      </c>
      <c r="L2015" s="51">
        <v>-4250114</v>
      </c>
      <c r="M2015" s="51">
        <v>0</v>
      </c>
      <c r="N2015" s="51">
        <v>0</v>
      </c>
    </row>
    <row r="2016" spans="1:14" x14ac:dyDescent="0.35">
      <c r="A2016" s="53" t="s">
        <v>88</v>
      </c>
      <c r="B2016" s="52" t="s">
        <v>12</v>
      </c>
      <c r="C2016" s="51">
        <v>183089545</v>
      </c>
      <c r="D2016" s="51">
        <v>-19328000</v>
      </c>
      <c r="E2016" s="51">
        <v>0</v>
      </c>
      <c r="F2016" s="51">
        <v>-742518</v>
      </c>
      <c r="G2016" s="51">
        <v>0</v>
      </c>
      <c r="H2016" s="51">
        <v>163019027</v>
      </c>
      <c r="I2016" s="51">
        <v>-59056862</v>
      </c>
      <c r="J2016" s="51">
        <v>103962165</v>
      </c>
      <c r="K2016" s="51">
        <v>1972170</v>
      </c>
      <c r="L2016" s="51">
        <v>-1957647</v>
      </c>
      <c r="M2016" s="51">
        <v>14523</v>
      </c>
      <c r="N2016" s="51">
        <v>103947642</v>
      </c>
    </row>
    <row r="2017" spans="1:14" x14ac:dyDescent="0.35">
      <c r="A2017" s="53" t="s">
        <v>87</v>
      </c>
      <c r="B2017" s="52" t="s">
        <v>12</v>
      </c>
      <c r="C2017" s="51">
        <v>2824485</v>
      </c>
      <c r="D2017" s="51">
        <v>-39920</v>
      </c>
      <c r="E2017" s="51">
        <v>0</v>
      </c>
      <c r="F2017" s="51">
        <v>0</v>
      </c>
      <c r="G2017" s="51">
        <v>0</v>
      </c>
      <c r="H2017" s="51">
        <v>2784565</v>
      </c>
      <c r="I2017" s="51">
        <v>-2440638</v>
      </c>
      <c r="J2017" s="51">
        <v>343927</v>
      </c>
      <c r="K2017" s="51">
        <v>184777</v>
      </c>
      <c r="L2017" s="51">
        <v>-184777</v>
      </c>
      <c r="M2017" s="51">
        <v>0</v>
      </c>
      <c r="N2017" s="51">
        <v>343927</v>
      </c>
    </row>
    <row r="2018" spans="1:14" x14ac:dyDescent="0.35">
      <c r="A2018" s="53" t="s">
        <v>86</v>
      </c>
      <c r="B2018" s="52" t="s">
        <v>12</v>
      </c>
      <c r="C2018" s="51">
        <v>30112466</v>
      </c>
      <c r="D2018" s="51">
        <v>-2750832</v>
      </c>
      <c r="E2018" s="51">
        <v>0</v>
      </c>
      <c r="F2018" s="51">
        <v>0</v>
      </c>
      <c r="G2018" s="51">
        <v>0</v>
      </c>
      <c r="H2018" s="51">
        <v>27361634</v>
      </c>
      <c r="I2018" s="51">
        <v>-22452845</v>
      </c>
      <c r="J2018" s="51">
        <v>4908789</v>
      </c>
      <c r="K2018" s="51">
        <v>1416457</v>
      </c>
      <c r="L2018" s="51">
        <v>-1416457</v>
      </c>
      <c r="M2018" s="51">
        <v>0</v>
      </c>
      <c r="N2018" s="51">
        <v>4908789</v>
      </c>
    </row>
    <row r="2019" spans="1:14" x14ac:dyDescent="0.35">
      <c r="A2019" s="53" t="s">
        <v>85</v>
      </c>
      <c r="B2019" s="52" t="s">
        <v>12</v>
      </c>
      <c r="C2019" s="51">
        <v>10596055</v>
      </c>
      <c r="D2019" s="51">
        <v>50368</v>
      </c>
      <c r="E2019" s="51">
        <v>0</v>
      </c>
      <c r="F2019" s="51">
        <v>0</v>
      </c>
      <c r="G2019" s="51">
        <v>-1589</v>
      </c>
      <c r="H2019" s="51">
        <v>10644834</v>
      </c>
      <c r="I2019" s="51">
        <v>-9845471</v>
      </c>
      <c r="J2019" s="51">
        <v>799363</v>
      </c>
      <c r="K2019" s="51">
        <v>0</v>
      </c>
      <c r="L2019" s="51">
        <v>0</v>
      </c>
      <c r="M2019" s="51">
        <v>0</v>
      </c>
      <c r="N2019" s="51">
        <v>799363</v>
      </c>
    </row>
    <row r="2020" spans="1:14" x14ac:dyDescent="0.35">
      <c r="A2020" s="53" t="s">
        <v>84</v>
      </c>
      <c r="B2020" s="52" t="s">
        <v>12</v>
      </c>
      <c r="C2020" s="51">
        <v>449995651</v>
      </c>
      <c r="D2020" s="51">
        <v>-202870925</v>
      </c>
      <c r="E2020" s="51">
        <v>0</v>
      </c>
      <c r="F2020" s="51">
        <v>0</v>
      </c>
      <c r="G2020" s="51">
        <v>-7052</v>
      </c>
      <c r="H2020" s="51">
        <v>247117674</v>
      </c>
      <c r="I2020" s="51">
        <v>-151619906</v>
      </c>
      <c r="J2020" s="51">
        <v>95497768</v>
      </c>
      <c r="K2020" s="51">
        <v>43406065</v>
      </c>
      <c r="L2020" s="51">
        <v>-43406065</v>
      </c>
      <c r="M2020" s="51">
        <v>0</v>
      </c>
      <c r="N2020" s="51">
        <v>95497768</v>
      </c>
    </row>
    <row r="2021" spans="1:14" x14ac:dyDescent="0.35">
      <c r="A2021" s="53" t="s">
        <v>83</v>
      </c>
      <c r="B2021" s="52" t="s">
        <v>12</v>
      </c>
      <c r="C2021" s="51">
        <v>7095032</v>
      </c>
      <c r="D2021" s="51">
        <v>-22996</v>
      </c>
      <c r="E2021" s="51">
        <v>0</v>
      </c>
      <c r="F2021" s="51">
        <v>0</v>
      </c>
      <c r="G2021" s="51">
        <v>-1250</v>
      </c>
      <c r="H2021" s="51">
        <v>7070786</v>
      </c>
      <c r="I2021" s="51">
        <v>0</v>
      </c>
      <c r="J2021" s="51">
        <v>7070786</v>
      </c>
      <c r="K2021" s="51">
        <v>0</v>
      </c>
      <c r="L2021" s="51">
        <v>0</v>
      </c>
      <c r="M2021" s="51">
        <v>0</v>
      </c>
      <c r="N2021" s="51">
        <v>7070786</v>
      </c>
    </row>
    <row r="2022" spans="1:14" x14ac:dyDescent="0.35">
      <c r="A2022" s="53" t="s">
        <v>82</v>
      </c>
      <c r="B2022" s="52" t="s">
        <v>12</v>
      </c>
      <c r="C2022" s="51">
        <v>27612510</v>
      </c>
      <c r="D2022" s="51">
        <v>-4895788</v>
      </c>
      <c r="E2022" s="51">
        <v>0</v>
      </c>
      <c r="F2022" s="51">
        <v>0</v>
      </c>
      <c r="G2022" s="51">
        <v>0</v>
      </c>
      <c r="H2022" s="51">
        <v>22716722</v>
      </c>
      <c r="I2022" s="51">
        <v>-20379161</v>
      </c>
      <c r="J2022" s="51">
        <v>2337561</v>
      </c>
      <c r="K2022" s="51">
        <v>5313971</v>
      </c>
      <c r="L2022" s="51">
        <v>-5228195</v>
      </c>
      <c r="M2022" s="51">
        <v>85776</v>
      </c>
      <c r="N2022" s="51">
        <v>2251785</v>
      </c>
    </row>
    <row r="2023" spans="1:14" x14ac:dyDescent="0.35">
      <c r="A2023" s="53" t="s">
        <v>81</v>
      </c>
      <c r="B2023" s="52" t="s">
        <v>12</v>
      </c>
      <c r="C2023" s="51">
        <v>28567158</v>
      </c>
      <c r="D2023" s="51">
        <v>-433609</v>
      </c>
      <c r="E2023" s="51">
        <v>0</v>
      </c>
      <c r="F2023" s="51">
        <v>0</v>
      </c>
      <c r="G2023" s="51">
        <v>0</v>
      </c>
      <c r="H2023" s="51">
        <v>28133549</v>
      </c>
      <c r="I2023" s="51">
        <v>-26823058</v>
      </c>
      <c r="J2023" s="51">
        <v>1310491</v>
      </c>
      <c r="K2023" s="51">
        <v>2160688</v>
      </c>
      <c r="L2023" s="51">
        <v>-2160688</v>
      </c>
      <c r="M2023" s="51">
        <v>0</v>
      </c>
      <c r="N2023" s="51">
        <v>1310491</v>
      </c>
    </row>
    <row r="2024" spans="1:14" x14ac:dyDescent="0.35">
      <c r="A2024" s="53" t="s">
        <v>80</v>
      </c>
      <c r="B2024" s="52" t="s">
        <v>12</v>
      </c>
      <c r="C2024" s="51">
        <v>11946862</v>
      </c>
      <c r="D2024" s="51">
        <v>-40155</v>
      </c>
      <c r="E2024" s="51">
        <v>0</v>
      </c>
      <c r="F2024" s="51">
        <v>0</v>
      </c>
      <c r="G2024" s="51">
        <v>0</v>
      </c>
      <c r="H2024" s="51">
        <v>11906707</v>
      </c>
      <c r="I2024" s="51">
        <v>0</v>
      </c>
      <c r="J2024" s="51">
        <v>11906707</v>
      </c>
      <c r="K2024" s="51">
        <v>0</v>
      </c>
      <c r="L2024" s="51">
        <v>0</v>
      </c>
      <c r="M2024" s="51">
        <v>0</v>
      </c>
      <c r="N2024" s="51">
        <v>11906707</v>
      </c>
    </row>
    <row r="2025" spans="1:14" x14ac:dyDescent="0.35">
      <c r="A2025" s="53" t="s">
        <v>79</v>
      </c>
      <c r="B2025" s="52" t="s">
        <v>12</v>
      </c>
      <c r="C2025" s="51">
        <v>5642939</v>
      </c>
      <c r="D2025" s="51">
        <v>-69727</v>
      </c>
      <c r="E2025" s="51">
        <v>0</v>
      </c>
      <c r="F2025" s="51">
        <v>0</v>
      </c>
      <c r="G2025" s="51">
        <v>0</v>
      </c>
      <c r="H2025" s="51">
        <v>5573212</v>
      </c>
      <c r="I2025" s="51">
        <v>-5573212</v>
      </c>
      <c r="J2025" s="51">
        <v>0</v>
      </c>
      <c r="K2025" s="51">
        <v>163910</v>
      </c>
      <c r="L2025" s="51">
        <v>-161657</v>
      </c>
      <c r="M2025" s="51">
        <v>2253</v>
      </c>
      <c r="N2025" s="51">
        <v>-2253</v>
      </c>
    </row>
    <row r="2026" spans="1:14" x14ac:dyDescent="0.35">
      <c r="A2026" s="53" t="s">
        <v>78</v>
      </c>
      <c r="B2026" s="52" t="s">
        <v>12</v>
      </c>
      <c r="C2026" s="51">
        <v>4510586</v>
      </c>
      <c r="D2026" s="51">
        <v>-2047809</v>
      </c>
      <c r="E2026" s="51">
        <v>0</v>
      </c>
      <c r="F2026" s="51">
        <v>0</v>
      </c>
      <c r="G2026" s="51">
        <v>0</v>
      </c>
      <c r="H2026" s="51">
        <v>2462777</v>
      </c>
      <c r="I2026" s="51">
        <v>-2398054</v>
      </c>
      <c r="J2026" s="51">
        <v>64723</v>
      </c>
      <c r="K2026" s="51">
        <v>2080333</v>
      </c>
      <c r="L2026" s="51">
        <v>-2080333</v>
      </c>
      <c r="M2026" s="51">
        <v>0</v>
      </c>
      <c r="N2026" s="51">
        <v>64723</v>
      </c>
    </row>
    <row r="2027" spans="1:14" x14ac:dyDescent="0.35">
      <c r="A2027" s="53" t="s">
        <v>77</v>
      </c>
      <c r="B2027" s="52" t="s">
        <v>12</v>
      </c>
      <c r="C2027" s="51">
        <v>4490633</v>
      </c>
      <c r="D2027" s="51">
        <v>-1008262</v>
      </c>
      <c r="E2027" s="51">
        <v>0</v>
      </c>
      <c r="F2027" s="51">
        <v>0</v>
      </c>
      <c r="G2027" s="51">
        <v>0</v>
      </c>
      <c r="H2027" s="51">
        <v>3482371</v>
      </c>
      <c r="I2027" s="51">
        <v>-3191777</v>
      </c>
      <c r="J2027" s="51">
        <v>290594</v>
      </c>
      <c r="K2027" s="51">
        <v>820407</v>
      </c>
      <c r="L2027" s="51">
        <v>-820407</v>
      </c>
      <c r="M2027" s="51">
        <v>0</v>
      </c>
      <c r="N2027" s="51">
        <v>290594</v>
      </c>
    </row>
    <row r="2028" spans="1:14" x14ac:dyDescent="0.35">
      <c r="A2028" s="53" t="s">
        <v>76</v>
      </c>
      <c r="B2028" s="52" t="s">
        <v>12</v>
      </c>
      <c r="C2028" s="51">
        <v>381310</v>
      </c>
      <c r="D2028" s="51">
        <v>-7750</v>
      </c>
      <c r="E2028" s="51">
        <v>0</v>
      </c>
      <c r="F2028" s="51">
        <v>0</v>
      </c>
      <c r="G2028" s="51">
        <v>0</v>
      </c>
      <c r="H2028" s="51">
        <v>373560</v>
      </c>
      <c r="I2028" s="51">
        <v>-373560</v>
      </c>
      <c r="J2028" s="51">
        <v>0</v>
      </c>
      <c r="K2028" s="51">
        <v>104659</v>
      </c>
      <c r="L2028" s="51">
        <v>-104659</v>
      </c>
      <c r="M2028" s="51">
        <v>0</v>
      </c>
      <c r="N2028" s="51">
        <v>0</v>
      </c>
    </row>
    <row r="2029" spans="1:14" x14ac:dyDescent="0.35">
      <c r="A2029" s="53" t="s">
        <v>75</v>
      </c>
      <c r="B2029" s="52" t="s">
        <v>12</v>
      </c>
      <c r="C2029" s="51">
        <v>1225444</v>
      </c>
      <c r="D2029" s="51">
        <v>-29677</v>
      </c>
      <c r="E2029" s="51">
        <v>0</v>
      </c>
      <c r="F2029" s="51">
        <v>0</v>
      </c>
      <c r="G2029" s="51">
        <v>0</v>
      </c>
      <c r="H2029" s="51">
        <v>1195767</v>
      </c>
      <c r="I2029" s="51">
        <v>-785537</v>
      </c>
      <c r="J2029" s="51">
        <v>410230</v>
      </c>
      <c r="K2029" s="51">
        <v>0</v>
      </c>
      <c r="L2029" s="51">
        <v>0</v>
      </c>
      <c r="M2029" s="51">
        <v>0</v>
      </c>
      <c r="N2029" s="51">
        <v>410230</v>
      </c>
    </row>
    <row r="2030" spans="1:14" x14ac:dyDescent="0.35">
      <c r="A2030" s="53" t="s">
        <v>74</v>
      </c>
      <c r="B2030" s="52" t="s">
        <v>12</v>
      </c>
      <c r="C2030" s="51">
        <v>625288</v>
      </c>
      <c r="D2030" s="51">
        <v>0</v>
      </c>
      <c r="E2030" s="51">
        <v>0</v>
      </c>
      <c r="F2030" s="51">
        <v>0</v>
      </c>
      <c r="G2030" s="51">
        <v>0</v>
      </c>
      <c r="H2030" s="51">
        <v>625288</v>
      </c>
      <c r="I2030" s="51">
        <v>-625288</v>
      </c>
      <c r="J2030" s="51">
        <v>0</v>
      </c>
      <c r="K2030" s="51">
        <v>0</v>
      </c>
      <c r="L2030" s="51">
        <v>0</v>
      </c>
      <c r="M2030" s="51">
        <v>0</v>
      </c>
      <c r="N2030" s="51">
        <v>0</v>
      </c>
    </row>
    <row r="2031" spans="1:14" x14ac:dyDescent="0.35">
      <c r="A2031" s="53" t="s">
        <v>73</v>
      </c>
      <c r="B2031" s="52" t="s">
        <v>12</v>
      </c>
      <c r="C2031" s="51">
        <v>4436497</v>
      </c>
      <c r="D2031" s="51">
        <v>-4164446</v>
      </c>
      <c r="E2031" s="51">
        <v>0</v>
      </c>
      <c r="F2031" s="51">
        <v>0</v>
      </c>
      <c r="G2031" s="51">
        <v>0</v>
      </c>
      <c r="H2031" s="51">
        <v>272051</v>
      </c>
      <c r="I2031" s="51">
        <v>-266591</v>
      </c>
      <c r="J2031" s="51">
        <v>5460</v>
      </c>
      <c r="K2031" s="51">
        <v>3087909</v>
      </c>
      <c r="L2031" s="51">
        <v>-3087909</v>
      </c>
      <c r="M2031" s="51">
        <v>0</v>
      </c>
      <c r="N2031" s="51">
        <v>5460</v>
      </c>
    </row>
    <row r="2032" spans="1:14" x14ac:dyDescent="0.35">
      <c r="A2032" s="53" t="s">
        <v>72</v>
      </c>
      <c r="B2032" s="52" t="s">
        <v>12</v>
      </c>
      <c r="C2032" s="51">
        <v>1702444</v>
      </c>
      <c r="D2032" s="51">
        <v>-207945</v>
      </c>
      <c r="E2032" s="51">
        <v>0</v>
      </c>
      <c r="F2032" s="51">
        <v>0</v>
      </c>
      <c r="G2032" s="51">
        <v>0</v>
      </c>
      <c r="H2032" s="51">
        <v>1494499</v>
      </c>
      <c r="I2032" s="51">
        <v>-1494499</v>
      </c>
      <c r="J2032" s="51">
        <v>0</v>
      </c>
      <c r="K2032" s="51">
        <v>0</v>
      </c>
      <c r="L2032" s="51">
        <v>0</v>
      </c>
      <c r="M2032" s="51">
        <v>0</v>
      </c>
      <c r="N2032" s="51">
        <v>0</v>
      </c>
    </row>
    <row r="2033" spans="1:14" x14ac:dyDescent="0.35">
      <c r="A2033" s="53" t="s">
        <v>71</v>
      </c>
      <c r="B2033" s="52" t="s">
        <v>12</v>
      </c>
      <c r="C2033" s="51">
        <v>23985758</v>
      </c>
      <c r="D2033" s="51">
        <v>-254302</v>
      </c>
      <c r="E2033" s="51">
        <v>0</v>
      </c>
      <c r="F2033" s="51">
        <v>0</v>
      </c>
      <c r="G2033" s="51">
        <v>0</v>
      </c>
      <c r="H2033" s="51">
        <v>23731456</v>
      </c>
      <c r="I2033" s="51">
        <v>-23731456</v>
      </c>
      <c r="J2033" s="51">
        <v>0</v>
      </c>
      <c r="K2033" s="51">
        <v>1189735</v>
      </c>
      <c r="L2033" s="51">
        <v>-1189735</v>
      </c>
      <c r="M2033" s="51">
        <v>0</v>
      </c>
      <c r="N2033" s="51">
        <v>0</v>
      </c>
    </row>
    <row r="2034" spans="1:14" x14ac:dyDescent="0.35">
      <c r="A2034" s="53" t="s">
        <v>70</v>
      </c>
      <c r="B2034" s="52" t="s">
        <v>12</v>
      </c>
      <c r="C2034" s="51">
        <v>327837</v>
      </c>
      <c r="D2034" s="51">
        <v>-63547</v>
      </c>
      <c r="E2034" s="51">
        <v>0</v>
      </c>
      <c r="F2034" s="51">
        <v>0</v>
      </c>
      <c r="G2034" s="51">
        <v>0</v>
      </c>
      <c r="H2034" s="51">
        <v>264290</v>
      </c>
      <c r="I2034" s="51">
        <v>-264290</v>
      </c>
      <c r="J2034" s="51">
        <v>0</v>
      </c>
      <c r="K2034" s="51">
        <v>59044</v>
      </c>
      <c r="L2034" s="51">
        <v>-59044</v>
      </c>
      <c r="M2034" s="51">
        <v>0</v>
      </c>
      <c r="N2034" s="51">
        <v>0</v>
      </c>
    </row>
    <row r="2035" spans="1:14" x14ac:dyDescent="0.35">
      <c r="A2035" s="53" t="s">
        <v>69</v>
      </c>
      <c r="B2035" s="52" t="s">
        <v>12</v>
      </c>
      <c r="C2035" s="51">
        <v>9959055</v>
      </c>
      <c r="D2035" s="51">
        <v>-99216</v>
      </c>
      <c r="E2035" s="51">
        <v>0</v>
      </c>
      <c r="F2035" s="51">
        <v>0</v>
      </c>
      <c r="G2035" s="51">
        <v>0</v>
      </c>
      <c r="H2035" s="51">
        <v>9859839</v>
      </c>
      <c r="I2035" s="51">
        <v>-9859839</v>
      </c>
      <c r="J2035" s="51">
        <v>0</v>
      </c>
      <c r="K2035" s="51">
        <v>0</v>
      </c>
      <c r="L2035" s="51">
        <v>0</v>
      </c>
      <c r="M2035" s="51">
        <v>0</v>
      </c>
      <c r="N2035" s="51">
        <v>0</v>
      </c>
    </row>
    <row r="2036" spans="1:14" x14ac:dyDescent="0.35">
      <c r="A2036" s="53" t="s">
        <v>68</v>
      </c>
      <c r="B2036" s="52" t="s">
        <v>12</v>
      </c>
      <c r="C2036" s="51">
        <v>9063103</v>
      </c>
      <c r="D2036" s="51">
        <v>-182419</v>
      </c>
      <c r="E2036" s="51">
        <v>0</v>
      </c>
      <c r="F2036" s="51">
        <v>0</v>
      </c>
      <c r="G2036" s="51">
        <v>-1678</v>
      </c>
      <c r="H2036" s="51">
        <v>8879006</v>
      </c>
      <c r="I2036" s="51">
        <v>-8280177</v>
      </c>
      <c r="J2036" s="51">
        <v>598829</v>
      </c>
      <c r="K2036" s="51">
        <v>316455</v>
      </c>
      <c r="L2036" s="51">
        <v>-316455</v>
      </c>
      <c r="M2036" s="51">
        <v>0</v>
      </c>
      <c r="N2036" s="51">
        <v>598829</v>
      </c>
    </row>
    <row r="2037" spans="1:14" x14ac:dyDescent="0.35">
      <c r="A2037" s="53" t="s">
        <v>67</v>
      </c>
      <c r="B2037" s="52" t="s">
        <v>12</v>
      </c>
      <c r="C2037" s="51">
        <v>94470</v>
      </c>
      <c r="D2037" s="51">
        <v>-21299</v>
      </c>
      <c r="E2037" s="51">
        <v>0</v>
      </c>
      <c r="F2037" s="51">
        <v>0</v>
      </c>
      <c r="G2037" s="51">
        <v>0</v>
      </c>
      <c r="H2037" s="51">
        <v>73171</v>
      </c>
      <c r="I2037" s="51">
        <v>-73171</v>
      </c>
      <c r="J2037" s="51">
        <v>0</v>
      </c>
      <c r="K2037" s="51">
        <v>0</v>
      </c>
      <c r="L2037" s="51">
        <v>0</v>
      </c>
      <c r="M2037" s="51">
        <v>0</v>
      </c>
      <c r="N2037" s="51">
        <v>0</v>
      </c>
    </row>
    <row r="2038" spans="1:14" x14ac:dyDescent="0.35">
      <c r="A2038" s="53" t="s">
        <v>66</v>
      </c>
      <c r="B2038" s="52" t="s">
        <v>12</v>
      </c>
      <c r="C2038" s="51">
        <v>21491531</v>
      </c>
      <c r="D2038" s="51">
        <v>-1746678</v>
      </c>
      <c r="E2038" s="51">
        <v>0</v>
      </c>
      <c r="F2038" s="51">
        <v>0</v>
      </c>
      <c r="G2038" s="51">
        <v>0</v>
      </c>
      <c r="H2038" s="51">
        <v>19744853</v>
      </c>
      <c r="I2038" s="51">
        <v>-19744853</v>
      </c>
      <c r="J2038" s="51">
        <v>0</v>
      </c>
      <c r="K2038" s="51">
        <v>1326560</v>
      </c>
      <c r="L2038" s="51">
        <v>-1160859</v>
      </c>
      <c r="M2038" s="51">
        <v>165701</v>
      </c>
      <c r="N2038" s="51">
        <v>-165701</v>
      </c>
    </row>
    <row r="2039" spans="1:14" x14ac:dyDescent="0.35">
      <c r="A2039" s="53" t="s">
        <v>65</v>
      </c>
      <c r="B2039" s="52" t="s">
        <v>12</v>
      </c>
      <c r="C2039" s="51">
        <v>18579481</v>
      </c>
      <c r="D2039" s="51">
        <v>-534297</v>
      </c>
      <c r="E2039" s="51">
        <v>0</v>
      </c>
      <c r="F2039" s="51">
        <v>0</v>
      </c>
      <c r="G2039" s="51">
        <v>0</v>
      </c>
      <c r="H2039" s="51">
        <v>18045184</v>
      </c>
      <c r="I2039" s="51">
        <v>-16462869</v>
      </c>
      <c r="J2039" s="51">
        <v>1582315</v>
      </c>
      <c r="K2039" s="51">
        <v>1878936</v>
      </c>
      <c r="L2039" s="51">
        <v>-1878936</v>
      </c>
      <c r="M2039" s="51">
        <v>0</v>
      </c>
      <c r="N2039" s="51">
        <v>1582315</v>
      </c>
    </row>
    <row r="2040" spans="1:14" x14ac:dyDescent="0.35">
      <c r="A2040" s="53" t="s">
        <v>64</v>
      </c>
      <c r="B2040" s="52" t="s">
        <v>12</v>
      </c>
      <c r="C2040" s="51">
        <v>3507040</v>
      </c>
      <c r="D2040" s="51">
        <v>-107155</v>
      </c>
      <c r="E2040" s="51">
        <v>0</v>
      </c>
      <c r="F2040" s="51">
        <v>0</v>
      </c>
      <c r="G2040" s="51">
        <v>0</v>
      </c>
      <c r="H2040" s="51">
        <v>3399885</v>
      </c>
      <c r="I2040" s="51">
        <v>-2919091</v>
      </c>
      <c r="J2040" s="51">
        <v>480794</v>
      </c>
      <c r="K2040" s="51">
        <v>3293</v>
      </c>
      <c r="L2040" s="51">
        <v>-3293</v>
      </c>
      <c r="M2040" s="51">
        <v>0</v>
      </c>
      <c r="N2040" s="51">
        <v>480794</v>
      </c>
    </row>
    <row r="2041" spans="1:14" x14ac:dyDescent="0.35">
      <c r="A2041" s="53" t="s">
        <v>63</v>
      </c>
      <c r="B2041" s="52" t="s">
        <v>12</v>
      </c>
      <c r="C2041" s="51">
        <v>175253025</v>
      </c>
      <c r="D2041" s="51">
        <v>-53209263</v>
      </c>
      <c r="E2041" s="51">
        <v>0</v>
      </c>
      <c r="F2041" s="51">
        <v>0</v>
      </c>
      <c r="G2041" s="51">
        <v>0</v>
      </c>
      <c r="H2041" s="51">
        <v>122043762</v>
      </c>
      <c r="I2041" s="51">
        <v>-122043762</v>
      </c>
      <c r="J2041" s="51">
        <v>0</v>
      </c>
      <c r="K2041" s="51">
        <v>13703587</v>
      </c>
      <c r="L2041" s="51">
        <v>-13703587</v>
      </c>
      <c r="M2041" s="51">
        <v>0</v>
      </c>
      <c r="N2041" s="51">
        <v>0</v>
      </c>
    </row>
    <row r="2042" spans="1:14" x14ac:dyDescent="0.35">
      <c r="A2042" s="53" t="s">
        <v>62</v>
      </c>
      <c r="B2042" s="52" t="s">
        <v>12</v>
      </c>
      <c r="C2042" s="51">
        <v>4585189</v>
      </c>
      <c r="D2042" s="51">
        <v>-111146</v>
      </c>
      <c r="E2042" s="51">
        <v>0</v>
      </c>
      <c r="F2042" s="51">
        <v>0</v>
      </c>
      <c r="G2042" s="51">
        <v>0</v>
      </c>
      <c r="H2042" s="51">
        <v>4474043</v>
      </c>
      <c r="I2042" s="51">
        <v>-4474043</v>
      </c>
      <c r="J2042" s="51">
        <v>0</v>
      </c>
      <c r="K2042" s="51">
        <v>0</v>
      </c>
      <c r="L2042" s="51">
        <v>0</v>
      </c>
      <c r="M2042" s="51">
        <v>0</v>
      </c>
      <c r="N2042" s="51">
        <v>0</v>
      </c>
    </row>
    <row r="2043" spans="1:14" x14ac:dyDescent="0.35">
      <c r="A2043" s="53" t="s">
        <v>61</v>
      </c>
      <c r="B2043" s="52" t="s">
        <v>12</v>
      </c>
      <c r="C2043" s="51">
        <v>28894249</v>
      </c>
      <c r="D2043" s="51">
        <v>-237012</v>
      </c>
      <c r="E2043" s="51">
        <v>0</v>
      </c>
      <c r="F2043" s="51">
        <v>0</v>
      </c>
      <c r="G2043" s="51">
        <v>0</v>
      </c>
      <c r="H2043" s="51">
        <v>28657237</v>
      </c>
      <c r="I2043" s="51">
        <v>-28657237</v>
      </c>
      <c r="J2043" s="51">
        <v>0</v>
      </c>
      <c r="K2043" s="51">
        <v>0</v>
      </c>
      <c r="L2043" s="51">
        <v>0</v>
      </c>
      <c r="M2043" s="51">
        <v>0</v>
      </c>
      <c r="N2043" s="51">
        <v>0</v>
      </c>
    </row>
    <row r="2044" spans="1:14" x14ac:dyDescent="0.35">
      <c r="A2044" s="53" t="s">
        <v>60</v>
      </c>
      <c r="B2044" s="52" t="s">
        <v>12</v>
      </c>
      <c r="C2044" s="51">
        <v>238695262</v>
      </c>
      <c r="D2044" s="51">
        <v>-12633108</v>
      </c>
      <c r="E2044" s="51">
        <v>0</v>
      </c>
      <c r="F2044" s="51">
        <v>0</v>
      </c>
      <c r="G2044" s="51">
        <v>-10000</v>
      </c>
      <c r="H2044" s="51">
        <v>226052154</v>
      </c>
      <c r="I2044" s="51">
        <v>-213590639</v>
      </c>
      <c r="J2044" s="51">
        <v>12461515</v>
      </c>
      <c r="K2044" s="51">
        <v>19030798</v>
      </c>
      <c r="L2044" s="51">
        <v>-19030798</v>
      </c>
      <c r="M2044" s="51">
        <v>0</v>
      </c>
      <c r="N2044" s="51">
        <v>12461515</v>
      </c>
    </row>
    <row r="2045" spans="1:14" x14ac:dyDescent="0.35">
      <c r="A2045" s="53" t="s">
        <v>59</v>
      </c>
      <c r="B2045" s="52" t="s">
        <v>12</v>
      </c>
      <c r="C2045" s="51">
        <v>803289</v>
      </c>
      <c r="D2045" s="51">
        <v>-117945</v>
      </c>
      <c r="E2045" s="51">
        <v>0</v>
      </c>
      <c r="F2045" s="51">
        <v>0</v>
      </c>
      <c r="G2045" s="51">
        <v>0</v>
      </c>
      <c r="H2045" s="51">
        <v>685344</v>
      </c>
      <c r="I2045" s="51">
        <v>-685344</v>
      </c>
      <c r="J2045" s="51">
        <v>0</v>
      </c>
      <c r="K2045" s="51">
        <v>0</v>
      </c>
      <c r="L2045" s="51">
        <v>0</v>
      </c>
      <c r="M2045" s="51">
        <v>0</v>
      </c>
      <c r="N2045" s="51">
        <v>0</v>
      </c>
    </row>
    <row r="2046" spans="1:14" x14ac:dyDescent="0.35">
      <c r="A2046" s="53" t="s">
        <v>58</v>
      </c>
      <c r="B2046" s="52" t="s">
        <v>12</v>
      </c>
      <c r="C2046" s="51">
        <v>9885</v>
      </c>
      <c r="D2046" s="51">
        <v>-382</v>
      </c>
      <c r="E2046" s="51">
        <v>0</v>
      </c>
      <c r="F2046" s="51">
        <v>0</v>
      </c>
      <c r="G2046" s="51">
        <v>0</v>
      </c>
      <c r="H2046" s="51">
        <v>9503</v>
      </c>
      <c r="I2046" s="51">
        <v>-9503</v>
      </c>
      <c r="J2046" s="51">
        <v>0</v>
      </c>
      <c r="K2046" s="51">
        <v>7961</v>
      </c>
      <c r="L2046" s="51">
        <v>-7961</v>
      </c>
      <c r="M2046" s="51">
        <v>0</v>
      </c>
      <c r="N2046" s="51">
        <v>0</v>
      </c>
    </row>
    <row r="2047" spans="1:14" x14ac:dyDescent="0.35">
      <c r="A2047" s="53" t="s">
        <v>57</v>
      </c>
      <c r="B2047" s="52" t="s">
        <v>12</v>
      </c>
      <c r="C2047" s="51">
        <v>1847474</v>
      </c>
      <c r="D2047" s="51">
        <v>-16896</v>
      </c>
      <c r="E2047" s="51">
        <v>0</v>
      </c>
      <c r="F2047" s="51">
        <v>0</v>
      </c>
      <c r="G2047" s="51">
        <v>0</v>
      </c>
      <c r="H2047" s="51">
        <v>1830578</v>
      </c>
      <c r="I2047" s="51">
        <v>-1830578</v>
      </c>
      <c r="J2047" s="51">
        <v>0</v>
      </c>
      <c r="K2047" s="51">
        <v>25621</v>
      </c>
      <c r="L2047" s="51">
        <v>-24640</v>
      </c>
      <c r="M2047" s="51">
        <v>981</v>
      </c>
      <c r="N2047" s="51">
        <v>-981</v>
      </c>
    </row>
    <row r="2048" spans="1:14" x14ac:dyDescent="0.35">
      <c r="A2048" s="53" t="s">
        <v>56</v>
      </c>
      <c r="B2048" s="52" t="s">
        <v>12</v>
      </c>
      <c r="C2048" s="51">
        <v>11228475</v>
      </c>
      <c r="D2048" s="51">
        <v>-467376</v>
      </c>
      <c r="E2048" s="51">
        <v>0</v>
      </c>
      <c r="F2048" s="51">
        <v>0</v>
      </c>
      <c r="G2048" s="51">
        <v>0</v>
      </c>
      <c r="H2048" s="51">
        <v>10761099</v>
      </c>
      <c r="I2048" s="51">
        <v>-10761099</v>
      </c>
      <c r="J2048" s="51">
        <v>0</v>
      </c>
      <c r="K2048" s="51">
        <v>691841</v>
      </c>
      <c r="L2048" s="51">
        <v>-691841</v>
      </c>
      <c r="M2048" s="51">
        <v>0</v>
      </c>
      <c r="N2048" s="51">
        <v>0</v>
      </c>
    </row>
    <row r="2049" spans="1:14" x14ac:dyDescent="0.35">
      <c r="A2049" s="53" t="s">
        <v>55</v>
      </c>
      <c r="B2049" s="52" t="s">
        <v>12</v>
      </c>
      <c r="C2049" s="51">
        <v>4228986</v>
      </c>
      <c r="D2049" s="51">
        <v>-235421</v>
      </c>
      <c r="E2049" s="51">
        <v>0</v>
      </c>
      <c r="F2049" s="51">
        <v>0</v>
      </c>
      <c r="G2049" s="51">
        <v>0</v>
      </c>
      <c r="H2049" s="51">
        <v>3993565</v>
      </c>
      <c r="I2049" s="51">
        <v>-3993565</v>
      </c>
      <c r="J2049" s="51">
        <v>0</v>
      </c>
      <c r="K2049" s="51">
        <v>224802</v>
      </c>
      <c r="L2049" s="51">
        <v>-224802</v>
      </c>
      <c r="M2049" s="51">
        <v>0</v>
      </c>
      <c r="N2049" s="51">
        <v>0</v>
      </c>
    </row>
    <row r="2050" spans="1:14" x14ac:dyDescent="0.35">
      <c r="A2050" s="53" t="s">
        <v>54</v>
      </c>
      <c r="B2050" s="52" t="s">
        <v>12</v>
      </c>
      <c r="C2050" s="51">
        <v>5526834</v>
      </c>
      <c r="D2050" s="51">
        <v>-129059</v>
      </c>
      <c r="E2050" s="51">
        <v>0</v>
      </c>
      <c r="F2050" s="51">
        <v>0</v>
      </c>
      <c r="G2050" s="51">
        <v>-9381</v>
      </c>
      <c r="H2050" s="51">
        <v>5388394</v>
      </c>
      <c r="I2050" s="51">
        <v>-4600880</v>
      </c>
      <c r="J2050" s="51">
        <v>787514</v>
      </c>
      <c r="K2050" s="51">
        <v>0</v>
      </c>
      <c r="L2050" s="51">
        <v>0</v>
      </c>
      <c r="M2050" s="51">
        <v>0</v>
      </c>
      <c r="N2050" s="51">
        <v>787514</v>
      </c>
    </row>
    <row r="2051" spans="1:14" x14ac:dyDescent="0.35">
      <c r="A2051" s="53" t="s">
        <v>53</v>
      </c>
      <c r="B2051" s="52" t="s">
        <v>12</v>
      </c>
      <c r="C2051" s="51">
        <v>8168207</v>
      </c>
      <c r="D2051" s="51">
        <v>-378034</v>
      </c>
      <c r="E2051" s="51">
        <v>0</v>
      </c>
      <c r="F2051" s="51">
        <v>0</v>
      </c>
      <c r="G2051" s="51">
        <v>0</v>
      </c>
      <c r="H2051" s="51">
        <v>7790173</v>
      </c>
      <c r="I2051" s="51">
        <v>-6673333</v>
      </c>
      <c r="J2051" s="51">
        <v>1116840</v>
      </c>
      <c r="K2051" s="51">
        <v>521882</v>
      </c>
      <c r="L2051" s="51">
        <v>-521882</v>
      </c>
      <c r="M2051" s="51">
        <v>0</v>
      </c>
      <c r="N2051" s="51">
        <v>1116840</v>
      </c>
    </row>
    <row r="2052" spans="1:14" x14ac:dyDescent="0.35">
      <c r="A2052" s="53" t="s">
        <v>52</v>
      </c>
      <c r="B2052" s="52" t="s">
        <v>12</v>
      </c>
      <c r="C2052" s="51">
        <v>10862445</v>
      </c>
      <c r="D2052" s="51">
        <v>-638544</v>
      </c>
      <c r="E2052" s="51">
        <v>0</v>
      </c>
      <c r="F2052" s="51">
        <v>0</v>
      </c>
      <c r="G2052" s="51">
        <v>0</v>
      </c>
      <c r="H2052" s="51">
        <v>10223901</v>
      </c>
      <c r="I2052" s="51">
        <v>-10223901</v>
      </c>
      <c r="J2052" s="51">
        <v>0</v>
      </c>
      <c r="K2052" s="51">
        <v>1046025</v>
      </c>
      <c r="L2052" s="51">
        <v>-1037303</v>
      </c>
      <c r="M2052" s="51">
        <v>8722</v>
      </c>
      <c r="N2052" s="51">
        <v>-8722</v>
      </c>
    </row>
    <row r="2053" spans="1:14" x14ac:dyDescent="0.35">
      <c r="A2053" s="53" t="s">
        <v>51</v>
      </c>
      <c r="B2053" s="52" t="s">
        <v>12</v>
      </c>
      <c r="C2053" s="51">
        <v>20255</v>
      </c>
      <c r="D2053" s="51">
        <v>0</v>
      </c>
      <c r="E2053" s="51">
        <v>0</v>
      </c>
      <c r="F2053" s="51">
        <v>0</v>
      </c>
      <c r="G2053" s="51">
        <v>0</v>
      </c>
      <c r="H2053" s="51">
        <v>20255</v>
      </c>
      <c r="I2053" s="51">
        <v>-20255</v>
      </c>
      <c r="J2053" s="51">
        <v>0</v>
      </c>
      <c r="K2053" s="51">
        <v>0</v>
      </c>
      <c r="L2053" s="51">
        <v>0</v>
      </c>
      <c r="M2053" s="51">
        <v>0</v>
      </c>
      <c r="N2053" s="51">
        <v>0</v>
      </c>
    </row>
    <row r="2054" spans="1:14" x14ac:dyDescent="0.35">
      <c r="A2054" s="53" t="s">
        <v>50</v>
      </c>
      <c r="B2054" s="52" t="s">
        <v>12</v>
      </c>
      <c r="C2054" s="51">
        <v>1451952</v>
      </c>
      <c r="D2054" s="51">
        <v>-69371</v>
      </c>
      <c r="E2054" s="51">
        <v>0</v>
      </c>
      <c r="F2054" s="51">
        <v>0</v>
      </c>
      <c r="G2054" s="51">
        <v>0</v>
      </c>
      <c r="H2054" s="51">
        <v>1382581</v>
      </c>
      <c r="I2054" s="51">
        <v>-1314792</v>
      </c>
      <c r="J2054" s="51">
        <v>67789</v>
      </c>
      <c r="K2054" s="51">
        <v>7899</v>
      </c>
      <c r="L2054" s="51">
        <v>-7899</v>
      </c>
      <c r="M2054" s="51">
        <v>0</v>
      </c>
      <c r="N2054" s="51">
        <v>67789</v>
      </c>
    </row>
    <row r="2055" spans="1:14" x14ac:dyDescent="0.35">
      <c r="A2055" s="53" t="s">
        <v>49</v>
      </c>
      <c r="B2055" s="52" t="s">
        <v>12</v>
      </c>
      <c r="C2055" s="51">
        <v>936793</v>
      </c>
      <c r="D2055" s="51">
        <v>0</v>
      </c>
      <c r="E2055" s="51">
        <v>0</v>
      </c>
      <c r="F2055" s="51">
        <v>0</v>
      </c>
      <c r="G2055" s="51">
        <v>0</v>
      </c>
      <c r="H2055" s="51">
        <v>936793</v>
      </c>
      <c r="I2055" s="51">
        <v>-704318</v>
      </c>
      <c r="J2055" s="51">
        <v>232475</v>
      </c>
      <c r="K2055" s="51">
        <v>0</v>
      </c>
      <c r="L2055" s="51">
        <v>0</v>
      </c>
      <c r="M2055" s="51">
        <v>0</v>
      </c>
      <c r="N2055" s="51">
        <v>232475</v>
      </c>
    </row>
    <row r="2056" spans="1:14" x14ac:dyDescent="0.35">
      <c r="A2056" s="53" t="s">
        <v>48</v>
      </c>
      <c r="B2056" s="52" t="s">
        <v>12</v>
      </c>
      <c r="C2056" s="51">
        <v>633210</v>
      </c>
      <c r="D2056" s="51">
        <v>-710</v>
      </c>
      <c r="E2056" s="51">
        <v>0</v>
      </c>
      <c r="F2056" s="51">
        <v>0</v>
      </c>
      <c r="G2056" s="51">
        <v>0</v>
      </c>
      <c r="H2056" s="51">
        <v>632500</v>
      </c>
      <c r="I2056" s="51">
        <v>-632500</v>
      </c>
      <c r="J2056" s="51">
        <v>0</v>
      </c>
      <c r="K2056" s="51">
        <v>13294</v>
      </c>
      <c r="L2056" s="51">
        <v>-13294</v>
      </c>
      <c r="M2056" s="51">
        <v>0</v>
      </c>
      <c r="N2056" s="51">
        <v>0</v>
      </c>
    </row>
    <row r="2057" spans="1:14" x14ac:dyDescent="0.35">
      <c r="A2057" s="53" t="s">
        <v>47</v>
      </c>
      <c r="B2057" s="52" t="s">
        <v>12</v>
      </c>
      <c r="C2057" s="51">
        <v>3803222</v>
      </c>
      <c r="D2057" s="51">
        <v>0</v>
      </c>
      <c r="E2057" s="51">
        <v>0</v>
      </c>
      <c r="F2057" s="51">
        <v>0</v>
      </c>
      <c r="G2057" s="51">
        <v>-16433</v>
      </c>
      <c r="H2057" s="51">
        <v>3786789</v>
      </c>
      <c r="I2057" s="51">
        <v>0</v>
      </c>
      <c r="J2057" s="51">
        <v>3786789</v>
      </c>
      <c r="K2057" s="51">
        <v>0</v>
      </c>
      <c r="L2057" s="51">
        <v>0</v>
      </c>
      <c r="M2057" s="51">
        <v>0</v>
      </c>
      <c r="N2057" s="51">
        <v>3786789</v>
      </c>
    </row>
    <row r="2058" spans="1:14" x14ac:dyDescent="0.35">
      <c r="A2058" s="53" t="s">
        <v>46</v>
      </c>
      <c r="B2058" s="52" t="s">
        <v>12</v>
      </c>
      <c r="C2058" s="51">
        <v>1043306</v>
      </c>
      <c r="D2058" s="51">
        <v>-6189</v>
      </c>
      <c r="E2058" s="51">
        <v>0</v>
      </c>
      <c r="F2058" s="51">
        <v>0</v>
      </c>
      <c r="G2058" s="51">
        <v>0</v>
      </c>
      <c r="H2058" s="51">
        <v>1037117</v>
      </c>
      <c r="I2058" s="51">
        <v>-1037117</v>
      </c>
      <c r="J2058" s="51">
        <v>0</v>
      </c>
      <c r="K2058" s="51">
        <v>21952</v>
      </c>
      <c r="L2058" s="51">
        <v>-21952</v>
      </c>
      <c r="M2058" s="51">
        <v>0</v>
      </c>
      <c r="N2058" s="51">
        <v>0</v>
      </c>
    </row>
    <row r="2059" spans="1:14" x14ac:dyDescent="0.35">
      <c r="A2059" s="53" t="s">
        <v>45</v>
      </c>
      <c r="B2059" s="52" t="s">
        <v>12</v>
      </c>
      <c r="C2059" s="51">
        <v>451121</v>
      </c>
      <c r="D2059" s="51">
        <v>-1468</v>
      </c>
      <c r="E2059" s="51">
        <v>0</v>
      </c>
      <c r="F2059" s="51">
        <v>0</v>
      </c>
      <c r="G2059" s="51">
        <v>0</v>
      </c>
      <c r="H2059" s="51">
        <v>449653</v>
      </c>
      <c r="I2059" s="51">
        <v>-449653</v>
      </c>
      <c r="J2059" s="51">
        <v>0</v>
      </c>
      <c r="K2059" s="51">
        <v>0</v>
      </c>
      <c r="L2059" s="51">
        <v>0</v>
      </c>
      <c r="M2059" s="51">
        <v>0</v>
      </c>
      <c r="N2059" s="51">
        <v>0</v>
      </c>
    </row>
    <row r="2060" spans="1:14" x14ac:dyDescent="0.35">
      <c r="A2060" s="53" t="s">
        <v>44</v>
      </c>
      <c r="B2060" s="52" t="s">
        <v>12</v>
      </c>
      <c r="C2060" s="51">
        <v>10164306</v>
      </c>
      <c r="D2060" s="51">
        <v>-88915</v>
      </c>
      <c r="E2060" s="51">
        <v>0</v>
      </c>
      <c r="F2060" s="51">
        <v>0</v>
      </c>
      <c r="G2060" s="51">
        <v>0</v>
      </c>
      <c r="H2060" s="51">
        <v>10075391</v>
      </c>
      <c r="I2060" s="51">
        <v>0</v>
      </c>
      <c r="J2060" s="51">
        <v>10075391</v>
      </c>
      <c r="K2060" s="51">
        <v>0</v>
      </c>
      <c r="L2060" s="51">
        <v>0</v>
      </c>
      <c r="M2060" s="51">
        <v>0</v>
      </c>
      <c r="N2060" s="51">
        <v>10075391</v>
      </c>
    </row>
    <row r="2061" spans="1:14" x14ac:dyDescent="0.35">
      <c r="A2061" s="53" t="s">
        <v>43</v>
      </c>
      <c r="B2061" s="52" t="s">
        <v>12</v>
      </c>
      <c r="C2061" s="51">
        <v>23874452</v>
      </c>
      <c r="D2061" s="51">
        <v>-364717</v>
      </c>
      <c r="E2061" s="51">
        <v>0</v>
      </c>
      <c r="F2061" s="51">
        <v>0</v>
      </c>
      <c r="G2061" s="51">
        <v>0</v>
      </c>
      <c r="H2061" s="51">
        <v>23509735</v>
      </c>
      <c r="I2061" s="51">
        <v>-21028639</v>
      </c>
      <c r="J2061" s="51">
        <v>2481096</v>
      </c>
      <c r="K2061" s="51">
        <v>97197</v>
      </c>
      <c r="L2061" s="51">
        <v>-97197</v>
      </c>
      <c r="M2061" s="51">
        <v>0</v>
      </c>
      <c r="N2061" s="51">
        <v>2481096</v>
      </c>
    </row>
    <row r="2062" spans="1:14" ht="16" thickBot="1" x14ac:dyDescent="0.4">
      <c r="A2062" s="50" t="s">
        <v>677</v>
      </c>
      <c r="B2062" s="49" t="s">
        <v>12</v>
      </c>
      <c r="C2062" s="48">
        <f>SUBTOTAL(109,GrandTotalLocalAgencies[(C)
Program
Costs])</f>
        <v>4926198460</v>
      </c>
      <c r="D2062" s="48">
        <f>SUBTOTAL(109,GrandTotalLocalAgencies[(D)
Prior Period Adjustments])</f>
        <v>-783487650</v>
      </c>
      <c r="E2062" s="48">
        <f>SUBTOTAL(109,GrandTotalLocalAgencies[(E)
Current Period Desk 
Reviews])</f>
        <v>-182223</v>
      </c>
      <c r="F2062" s="48">
        <f>SUBTOTAL(109,GrandTotalLocalAgencies[(F)
Current Period 
Final 
Audits])</f>
        <v>-15074034</v>
      </c>
      <c r="G2062" s="48">
        <f>SUBTOTAL(109,GrandTotalLocalAgencies[(G)
Current Period 
Other Adjustments])</f>
        <v>-140567</v>
      </c>
      <c r="H2062" s="48">
        <f>SUBTOTAL(109,GrandTotalLocalAgencies[(H)
Net Program Costs
Sum (C through G)])</f>
        <v>4127313986</v>
      </c>
      <c r="I2062" s="48">
        <f>SUBTOTAL(109,GrandTotalLocalAgencies[(I)
Payments
 and Offsets])</f>
        <v>-3373765714</v>
      </c>
      <c r="J2062" s="48">
        <f>SUBTOTAL(109,GrandTotalLocalAgencies[(J)
Accounts Payable Balance
(H + I)])</f>
        <v>753548272</v>
      </c>
      <c r="K2062" s="48">
        <f>SUBTOTAL(109,GrandTotalLocalAgencies[(K)
Established 
Accounts Receivable])</f>
        <v>302253879</v>
      </c>
      <c r="L2062" s="48">
        <f>SUBTOTAL(109,GrandTotalLocalAgencies[(L)
Recovered
 Accounts Receivable])</f>
        <v>-299819704</v>
      </c>
      <c r="M2062" s="48">
        <f>SUBTOTAL(109,GrandTotalLocalAgencies[(M)
Accounts Receivable Balance
(K + L)])</f>
        <v>2434175</v>
      </c>
      <c r="N2062" s="48">
        <f>SUBTOTAL(109,GrandTotalLocalAgencies[(N)
Net Balance
(J minus M)])</f>
        <v>751114097</v>
      </c>
    </row>
    <row r="2063" spans="1:14" x14ac:dyDescent="0.35">
      <c r="A2063" s="36" t="s">
        <v>42</v>
      </c>
    </row>
  </sheetData>
  <printOptions horizontalCentered="1"/>
  <pageMargins left="0.5" right="0.5" top="0.25" bottom="0.75" header="0.4" footer="0.3"/>
  <pageSetup scale="45" fitToHeight="0" orientation="landscape" useFirstPageNumber="1" r:id="rId1"/>
  <headerFooter>
    <oddFooter>&amp;L&amp;"Arial,Regular"&amp;12Local Agencies&amp;R&amp;"Arial,Regular"&amp;12Page &amp;P of &amp;N</oddFooter>
  </headerFooter>
  <rowBreaks count="5" manualBreakCount="5">
    <brk id="413" max="13" man="1"/>
    <brk id="484" max="13" man="1"/>
    <brk id="816" max="13" man="1"/>
    <brk id="1503" max="13" man="1"/>
    <brk id="1641" max="13" man="1"/>
  </rowBreaks>
  <tableParts count="13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85"/>
  <sheetViews>
    <sheetView topLeftCell="A1769" zoomScale="85" zoomScaleNormal="85" zoomScaleSheetLayoutView="66" zoomScalePageLayoutView="85" workbookViewId="0">
      <selection activeCell="H1783" sqref="H1783"/>
    </sheetView>
  </sheetViews>
  <sheetFormatPr defaultColWidth="9.1796875" defaultRowHeight="15.5" outlineLevelRow="2" x14ac:dyDescent="0.35"/>
  <cols>
    <col min="1" max="1" width="54.1796875" style="100" customWidth="1"/>
    <col min="2" max="2" width="19.26953125" style="100" bestFit="1" customWidth="1"/>
    <col min="3" max="3" width="18.1796875" style="101" customWidth="1"/>
    <col min="4" max="4" width="17.7265625" style="101" customWidth="1"/>
    <col min="5" max="5" width="13.54296875" style="101" bestFit="1" customWidth="1"/>
    <col min="6" max="6" width="15.453125" style="101" bestFit="1" customWidth="1"/>
    <col min="7" max="7" width="15.54296875" style="101" customWidth="1"/>
    <col min="8" max="8" width="20.1796875" style="101" customWidth="1"/>
    <col min="9" max="9" width="18.81640625" style="101" customWidth="1"/>
    <col min="10" max="11" width="18.26953125" style="101" bestFit="1" customWidth="1"/>
    <col min="12" max="12" width="16" style="101" customWidth="1"/>
    <col min="13" max="13" width="15.81640625" style="101" customWidth="1"/>
    <col min="14" max="14" width="16.54296875" style="101" customWidth="1"/>
    <col min="15" max="16384" width="9.1796875" style="100"/>
  </cols>
  <sheetData>
    <row r="1" spans="1:14" ht="120" customHeight="1" x14ac:dyDescent="0.35">
      <c r="A1" s="99" t="s">
        <v>355</v>
      </c>
      <c r="B1" s="124"/>
      <c r="C1" s="123"/>
      <c r="D1" s="123"/>
      <c r="E1" s="122"/>
      <c r="F1" s="122"/>
      <c r="G1" s="122"/>
      <c r="H1" s="122"/>
      <c r="I1" s="122"/>
      <c r="J1" s="122"/>
      <c r="K1" s="121"/>
      <c r="L1" s="121"/>
      <c r="M1" s="121"/>
      <c r="N1" s="120"/>
    </row>
    <row r="2" spans="1:14" ht="78.75" customHeight="1" outlineLevel="1" x14ac:dyDescent="0.35">
      <c r="A2" s="60" t="s">
        <v>185</v>
      </c>
      <c r="B2" s="59" t="s">
        <v>184</v>
      </c>
      <c r="C2" s="58" t="s">
        <v>183</v>
      </c>
      <c r="D2" s="58" t="s">
        <v>182</v>
      </c>
      <c r="E2" s="56" t="s">
        <v>181</v>
      </c>
      <c r="F2" s="56" t="s">
        <v>180</v>
      </c>
      <c r="G2" s="56" t="s">
        <v>179</v>
      </c>
      <c r="H2" s="57" t="s">
        <v>674</v>
      </c>
      <c r="I2" s="55" t="s">
        <v>178</v>
      </c>
      <c r="J2" s="55" t="s">
        <v>177</v>
      </c>
      <c r="K2" s="56" t="s">
        <v>176</v>
      </c>
      <c r="L2" s="55" t="s">
        <v>175</v>
      </c>
      <c r="M2" s="55" t="s">
        <v>174</v>
      </c>
      <c r="N2" s="54" t="s">
        <v>173</v>
      </c>
    </row>
    <row r="3" spans="1:14" outlineLevel="2" x14ac:dyDescent="0.35">
      <c r="A3" s="108" t="s">
        <v>599</v>
      </c>
      <c r="B3" s="108" t="s">
        <v>203</v>
      </c>
      <c r="C3" s="106">
        <v>21838</v>
      </c>
      <c r="D3" s="106">
        <v>-21838</v>
      </c>
      <c r="E3" s="106">
        <v>0</v>
      </c>
      <c r="F3" s="106">
        <v>0</v>
      </c>
      <c r="G3" s="106">
        <v>0</v>
      </c>
      <c r="H3" s="106">
        <v>0</v>
      </c>
      <c r="I3" s="106">
        <v>0</v>
      </c>
      <c r="J3" s="106">
        <v>0</v>
      </c>
      <c r="K3" s="106">
        <v>1000</v>
      </c>
      <c r="L3" s="106">
        <v>0</v>
      </c>
      <c r="M3" s="106">
        <v>1000</v>
      </c>
      <c r="N3" s="106">
        <v>-1000</v>
      </c>
    </row>
    <row r="4" spans="1:14" outlineLevel="2" x14ac:dyDescent="0.35">
      <c r="A4" s="108" t="s">
        <v>599</v>
      </c>
      <c r="B4" s="108" t="s">
        <v>199</v>
      </c>
      <c r="C4" s="106">
        <v>8000</v>
      </c>
      <c r="D4" s="106">
        <v>-8000</v>
      </c>
      <c r="E4" s="106">
        <v>0</v>
      </c>
      <c r="F4" s="106">
        <v>0</v>
      </c>
      <c r="G4" s="106">
        <v>0</v>
      </c>
      <c r="H4" s="106">
        <v>0</v>
      </c>
      <c r="I4" s="106">
        <v>0</v>
      </c>
      <c r="J4" s="106">
        <v>0</v>
      </c>
      <c r="K4" s="106">
        <v>0</v>
      </c>
      <c r="L4" s="106">
        <v>0</v>
      </c>
      <c r="M4" s="106">
        <v>0</v>
      </c>
      <c r="N4" s="106">
        <v>0</v>
      </c>
    </row>
    <row r="5" spans="1:14" outlineLevel="2" x14ac:dyDescent="0.35">
      <c r="A5" s="108" t="s">
        <v>599</v>
      </c>
      <c r="B5" s="108" t="s">
        <v>198</v>
      </c>
      <c r="C5" s="106">
        <v>55244</v>
      </c>
      <c r="D5" s="106">
        <v>-55244</v>
      </c>
      <c r="E5" s="106">
        <v>0</v>
      </c>
      <c r="F5" s="106">
        <v>0</v>
      </c>
      <c r="G5" s="106">
        <v>0</v>
      </c>
      <c r="H5" s="106">
        <v>0</v>
      </c>
      <c r="I5" s="106">
        <v>0</v>
      </c>
      <c r="J5" s="106">
        <v>0</v>
      </c>
      <c r="K5" s="106">
        <v>0</v>
      </c>
      <c r="L5" s="106">
        <v>0</v>
      </c>
      <c r="M5" s="106">
        <v>0</v>
      </c>
      <c r="N5" s="106">
        <v>0</v>
      </c>
    </row>
    <row r="6" spans="1:14" outlineLevel="2" x14ac:dyDescent="0.35">
      <c r="A6" s="108" t="s">
        <v>599</v>
      </c>
      <c r="B6" s="108" t="s">
        <v>197</v>
      </c>
      <c r="C6" s="106">
        <v>743538</v>
      </c>
      <c r="D6" s="106">
        <v>-6733</v>
      </c>
      <c r="E6" s="106">
        <v>0</v>
      </c>
      <c r="F6" s="106">
        <v>0</v>
      </c>
      <c r="G6" s="106">
        <v>0</v>
      </c>
      <c r="H6" s="106">
        <v>736805</v>
      </c>
      <c r="I6" s="106">
        <v>-736805</v>
      </c>
      <c r="J6" s="106">
        <v>0</v>
      </c>
      <c r="K6" s="106">
        <v>41056</v>
      </c>
      <c r="L6" s="106">
        <v>-41056</v>
      </c>
      <c r="M6" s="106">
        <v>0</v>
      </c>
      <c r="N6" s="106">
        <v>0</v>
      </c>
    </row>
    <row r="7" spans="1:14" outlineLevel="2" x14ac:dyDescent="0.35">
      <c r="A7" s="108" t="s">
        <v>599</v>
      </c>
      <c r="B7" s="108" t="s">
        <v>196</v>
      </c>
      <c r="C7" s="106">
        <v>546003</v>
      </c>
      <c r="D7" s="106">
        <v>-23728</v>
      </c>
      <c r="E7" s="106">
        <v>0</v>
      </c>
      <c r="F7" s="106">
        <v>0</v>
      </c>
      <c r="G7" s="106">
        <v>0</v>
      </c>
      <c r="H7" s="106">
        <v>522275</v>
      </c>
      <c r="I7" s="106">
        <v>-522275</v>
      </c>
      <c r="J7" s="106">
        <v>0</v>
      </c>
      <c r="K7" s="106">
        <v>109992</v>
      </c>
      <c r="L7" s="106">
        <v>-109992</v>
      </c>
      <c r="M7" s="106">
        <v>0</v>
      </c>
      <c r="N7" s="106">
        <v>0</v>
      </c>
    </row>
    <row r="8" spans="1:14" outlineLevel="2" x14ac:dyDescent="0.35">
      <c r="A8" s="108" t="s">
        <v>599</v>
      </c>
      <c r="B8" s="108" t="s">
        <v>195</v>
      </c>
      <c r="C8" s="106">
        <v>1458682</v>
      </c>
      <c r="D8" s="106">
        <v>-4047</v>
      </c>
      <c r="E8" s="106">
        <v>0</v>
      </c>
      <c r="F8" s="106">
        <v>0</v>
      </c>
      <c r="G8" s="106">
        <v>0</v>
      </c>
      <c r="H8" s="106">
        <v>1454635</v>
      </c>
      <c r="I8" s="106">
        <v>-1454635</v>
      </c>
      <c r="J8" s="106">
        <v>0</v>
      </c>
      <c r="K8" s="106">
        <v>27202</v>
      </c>
      <c r="L8" s="106">
        <v>-27202</v>
      </c>
      <c r="M8" s="106">
        <v>0</v>
      </c>
      <c r="N8" s="106">
        <v>0</v>
      </c>
    </row>
    <row r="9" spans="1:14" outlineLevel="2" x14ac:dyDescent="0.35">
      <c r="A9" s="108" t="s">
        <v>599</v>
      </c>
      <c r="B9" s="108" t="s">
        <v>194</v>
      </c>
      <c r="C9" s="106">
        <v>1268441</v>
      </c>
      <c r="D9" s="106">
        <v>-3605</v>
      </c>
      <c r="E9" s="106">
        <v>0</v>
      </c>
      <c r="F9" s="106">
        <v>0</v>
      </c>
      <c r="G9" s="106">
        <v>0</v>
      </c>
      <c r="H9" s="106">
        <v>1264836</v>
      </c>
      <c r="I9" s="106">
        <v>-1264836</v>
      </c>
      <c r="J9" s="106">
        <v>0</v>
      </c>
      <c r="K9" s="106">
        <v>406</v>
      </c>
      <c r="L9" s="106">
        <v>-406</v>
      </c>
      <c r="M9" s="106">
        <v>0</v>
      </c>
      <c r="N9" s="106">
        <v>0</v>
      </c>
    </row>
    <row r="10" spans="1:14" outlineLevel="2" x14ac:dyDescent="0.35">
      <c r="A10" s="108" t="s">
        <v>599</v>
      </c>
      <c r="B10" s="108" t="s">
        <v>193</v>
      </c>
      <c r="C10" s="106">
        <v>1066064</v>
      </c>
      <c r="D10" s="106">
        <v>-21618</v>
      </c>
      <c r="E10" s="106">
        <v>0</v>
      </c>
      <c r="F10" s="106">
        <v>0</v>
      </c>
      <c r="G10" s="106">
        <v>0</v>
      </c>
      <c r="H10" s="106">
        <v>1044446</v>
      </c>
      <c r="I10" s="106">
        <v>-1044446</v>
      </c>
      <c r="J10" s="106">
        <v>0</v>
      </c>
      <c r="K10" s="106">
        <v>101705</v>
      </c>
      <c r="L10" s="106">
        <v>-101705</v>
      </c>
      <c r="M10" s="106">
        <v>0</v>
      </c>
      <c r="N10" s="106">
        <v>0</v>
      </c>
    </row>
    <row r="11" spans="1:14" outlineLevel="2" x14ac:dyDescent="0.35">
      <c r="A11" s="108" t="s">
        <v>599</v>
      </c>
      <c r="B11" s="108" t="s">
        <v>192</v>
      </c>
      <c r="C11" s="106">
        <v>916771</v>
      </c>
      <c r="D11" s="106">
        <v>-8669</v>
      </c>
      <c r="E11" s="106">
        <v>0</v>
      </c>
      <c r="F11" s="106">
        <v>0</v>
      </c>
      <c r="G11" s="106">
        <v>0</v>
      </c>
      <c r="H11" s="106">
        <v>908102</v>
      </c>
      <c r="I11" s="106">
        <v>-908102</v>
      </c>
      <c r="J11" s="106">
        <v>0</v>
      </c>
      <c r="K11" s="106">
        <v>0</v>
      </c>
      <c r="L11" s="106">
        <v>0</v>
      </c>
      <c r="M11" s="106">
        <v>0</v>
      </c>
      <c r="N11" s="106">
        <v>0</v>
      </c>
    </row>
    <row r="12" spans="1:14" ht="15.65" customHeight="1" outlineLevel="1" thickBot="1" x14ac:dyDescent="0.4">
      <c r="A12" s="105" t="s">
        <v>478</v>
      </c>
      <c r="B12" s="79" t="s">
        <v>12</v>
      </c>
      <c r="C12" s="103">
        <f>SUBTOTAL(109,Program170[(C)
Program
Costs])</f>
        <v>6084581</v>
      </c>
      <c r="D12" s="103">
        <f>SUBTOTAL(109,Program170[(D)
Prior Period Adjustments])</f>
        <v>-153482</v>
      </c>
      <c r="E12" s="103">
        <f>SUBTOTAL(109,Program170[(E)
Current Period Desk 
Reviews])</f>
        <v>0</v>
      </c>
      <c r="F12" s="103">
        <f>SUBTOTAL(109,Program170[(F)
Current Period 
Final 
Audits])</f>
        <v>0</v>
      </c>
      <c r="G12" s="103">
        <f>SUBTOTAL(109,Program170[(G)
Current Period 
Other Adjustments])</f>
        <v>0</v>
      </c>
      <c r="H12" s="103">
        <f>SUBTOTAL(109,Program170[(H)
Net Program Costs
Sum (C through G)])</f>
        <v>5931099</v>
      </c>
      <c r="I12" s="103">
        <f>SUBTOTAL(109,Program170[(I)
Payments
 and Offsets])</f>
        <v>-5931099</v>
      </c>
      <c r="J12" s="103">
        <f>SUBTOTAL(109,Program170[(J)
Accounts Payable Balance
(H + I)])</f>
        <v>0</v>
      </c>
      <c r="K12" s="103">
        <f>SUBTOTAL(109,Program170[(K)
Established 
Accounts Receivable])</f>
        <v>281361</v>
      </c>
      <c r="L12" s="103">
        <f>SUBTOTAL(109,Program170[(L)
Recovered
 Accounts Receivable])</f>
        <v>-280361</v>
      </c>
      <c r="M12" s="103">
        <f>SUBTOTAL(109,Program170[(M)
Accounts Receivable Balance
(K + L)])</f>
        <v>1000</v>
      </c>
      <c r="N12" s="103">
        <f>SUBTOTAL(109,Program170[(N)
Net Balance
(J minus M)])</f>
        <v>-1000</v>
      </c>
    </row>
    <row r="13" spans="1:14" ht="15" customHeight="1" outlineLevel="1" x14ac:dyDescent="0.35">
      <c r="A13" s="116" t="s">
        <v>33</v>
      </c>
      <c r="B13" s="115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</row>
    <row r="14" spans="1:14" ht="77.5" outlineLevel="2" x14ac:dyDescent="0.35">
      <c r="A14" s="60" t="s">
        <v>185</v>
      </c>
      <c r="B14" s="59" t="s">
        <v>184</v>
      </c>
      <c r="C14" s="58" t="s">
        <v>183</v>
      </c>
      <c r="D14" s="58" t="s">
        <v>182</v>
      </c>
      <c r="E14" s="56" t="s">
        <v>181</v>
      </c>
      <c r="F14" s="56" t="s">
        <v>180</v>
      </c>
      <c r="G14" s="56" t="s">
        <v>179</v>
      </c>
      <c r="H14" s="57" t="s">
        <v>674</v>
      </c>
      <c r="I14" s="55" t="s">
        <v>178</v>
      </c>
      <c r="J14" s="55" t="s">
        <v>177</v>
      </c>
      <c r="K14" s="56" t="s">
        <v>176</v>
      </c>
      <c r="L14" s="55" t="s">
        <v>175</v>
      </c>
      <c r="M14" s="55" t="s">
        <v>174</v>
      </c>
      <c r="N14" s="54" t="s">
        <v>173</v>
      </c>
    </row>
    <row r="15" spans="1:14" outlineLevel="2" x14ac:dyDescent="0.35">
      <c r="A15" s="108" t="s">
        <v>598</v>
      </c>
      <c r="B15" s="108" t="s">
        <v>214</v>
      </c>
      <c r="C15" s="106">
        <v>1217</v>
      </c>
      <c r="D15" s="106">
        <v>0</v>
      </c>
      <c r="E15" s="106">
        <v>-1217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1000</v>
      </c>
      <c r="L15" s="106">
        <v>0</v>
      </c>
      <c r="M15" s="106">
        <v>1000</v>
      </c>
      <c r="N15" s="106">
        <v>-1000</v>
      </c>
    </row>
    <row r="16" spans="1:14" outlineLevel="2" x14ac:dyDescent="0.35">
      <c r="A16" s="108" t="s">
        <v>598</v>
      </c>
      <c r="B16" s="108" t="s">
        <v>212</v>
      </c>
      <c r="C16" s="106">
        <v>1203</v>
      </c>
      <c r="D16" s="106">
        <v>0</v>
      </c>
      <c r="E16" s="106">
        <v>0</v>
      </c>
      <c r="F16" s="106">
        <v>0</v>
      </c>
      <c r="G16" s="106">
        <v>0</v>
      </c>
      <c r="H16" s="106">
        <v>1203</v>
      </c>
      <c r="I16" s="106">
        <v>-1000</v>
      </c>
      <c r="J16" s="106">
        <v>203</v>
      </c>
      <c r="K16" s="106">
        <v>0</v>
      </c>
      <c r="L16" s="106">
        <v>0</v>
      </c>
      <c r="M16" s="106">
        <v>0</v>
      </c>
      <c r="N16" s="106">
        <v>203</v>
      </c>
    </row>
    <row r="17" spans="1:14" outlineLevel="2" x14ac:dyDescent="0.35">
      <c r="A17" s="108" t="s">
        <v>598</v>
      </c>
      <c r="B17" s="108" t="s">
        <v>220</v>
      </c>
      <c r="C17" s="106">
        <v>1090</v>
      </c>
      <c r="D17" s="106">
        <v>0</v>
      </c>
      <c r="E17" s="106">
        <v>0</v>
      </c>
      <c r="F17" s="106">
        <v>0</v>
      </c>
      <c r="G17" s="106">
        <v>0</v>
      </c>
      <c r="H17" s="106">
        <v>1090</v>
      </c>
      <c r="I17" s="106">
        <v>-1000</v>
      </c>
      <c r="J17" s="106">
        <v>90</v>
      </c>
      <c r="K17" s="106">
        <v>0</v>
      </c>
      <c r="L17" s="106">
        <v>0</v>
      </c>
      <c r="M17" s="106">
        <v>0</v>
      </c>
      <c r="N17" s="106">
        <v>90</v>
      </c>
    </row>
    <row r="18" spans="1:14" outlineLevel="2" x14ac:dyDescent="0.35">
      <c r="A18" s="108" t="s">
        <v>598</v>
      </c>
      <c r="B18" s="108" t="s">
        <v>219</v>
      </c>
      <c r="C18" s="106">
        <v>1182</v>
      </c>
      <c r="D18" s="106">
        <v>0</v>
      </c>
      <c r="E18" s="106">
        <v>0</v>
      </c>
      <c r="F18" s="106">
        <v>0</v>
      </c>
      <c r="G18" s="106">
        <v>0</v>
      </c>
      <c r="H18" s="106">
        <v>1182</v>
      </c>
      <c r="I18" s="106">
        <v>-1000</v>
      </c>
      <c r="J18" s="106">
        <v>182</v>
      </c>
      <c r="K18" s="106">
        <v>0</v>
      </c>
      <c r="L18" s="106">
        <v>0</v>
      </c>
      <c r="M18" s="106">
        <v>0</v>
      </c>
      <c r="N18" s="106">
        <v>182</v>
      </c>
    </row>
    <row r="19" spans="1:14" outlineLevel="2" x14ac:dyDescent="0.35">
      <c r="A19" s="108" t="s">
        <v>598</v>
      </c>
      <c r="B19" s="108" t="s">
        <v>218</v>
      </c>
      <c r="C19" s="106">
        <v>11320</v>
      </c>
      <c r="D19" s="106">
        <v>0</v>
      </c>
      <c r="E19" s="106">
        <v>0</v>
      </c>
      <c r="F19" s="106">
        <v>0</v>
      </c>
      <c r="G19" s="106">
        <v>0</v>
      </c>
      <c r="H19" s="106">
        <v>11320</v>
      </c>
      <c r="I19" s="106">
        <v>-5205</v>
      </c>
      <c r="J19" s="106">
        <v>6115</v>
      </c>
      <c r="K19" s="106">
        <v>0</v>
      </c>
      <c r="L19" s="106">
        <v>0</v>
      </c>
      <c r="M19" s="106">
        <v>0</v>
      </c>
      <c r="N19" s="106">
        <v>6115</v>
      </c>
    </row>
    <row r="20" spans="1:14" outlineLevel="2" x14ac:dyDescent="0.35">
      <c r="A20" s="108" t="s">
        <v>598</v>
      </c>
      <c r="B20" s="108" t="s">
        <v>209</v>
      </c>
      <c r="C20" s="106">
        <v>77719</v>
      </c>
      <c r="D20" s="106">
        <v>-1844</v>
      </c>
      <c r="E20" s="106">
        <v>0</v>
      </c>
      <c r="F20" s="106">
        <v>0</v>
      </c>
      <c r="G20" s="106">
        <v>0</v>
      </c>
      <c r="H20" s="106">
        <v>75875</v>
      </c>
      <c r="I20" s="106">
        <v>-21976</v>
      </c>
      <c r="J20" s="106">
        <v>53899</v>
      </c>
      <c r="K20" s="106">
        <v>0</v>
      </c>
      <c r="L20" s="106">
        <v>0</v>
      </c>
      <c r="M20" s="106">
        <v>0</v>
      </c>
      <c r="N20" s="106">
        <v>53899</v>
      </c>
    </row>
    <row r="21" spans="1:14" outlineLevel="2" x14ac:dyDescent="0.35">
      <c r="A21" s="108" t="s">
        <v>598</v>
      </c>
      <c r="B21" s="108" t="s">
        <v>208</v>
      </c>
      <c r="C21" s="106">
        <v>509634</v>
      </c>
      <c r="D21" s="106">
        <v>-3575</v>
      </c>
      <c r="E21" s="106">
        <v>0</v>
      </c>
      <c r="F21" s="106">
        <v>0</v>
      </c>
      <c r="G21" s="106">
        <v>0</v>
      </c>
      <c r="H21" s="106">
        <v>506059</v>
      </c>
      <c r="I21" s="106">
        <v>-343920</v>
      </c>
      <c r="J21" s="106">
        <v>162139</v>
      </c>
      <c r="K21" s="106">
        <v>0</v>
      </c>
      <c r="L21" s="106">
        <v>0</v>
      </c>
      <c r="M21" s="106">
        <v>0</v>
      </c>
      <c r="N21" s="106">
        <v>162139</v>
      </c>
    </row>
    <row r="22" spans="1:14" outlineLevel="2" x14ac:dyDescent="0.35">
      <c r="A22" s="108" t="s">
        <v>598</v>
      </c>
      <c r="B22" s="108" t="s">
        <v>206</v>
      </c>
      <c r="C22" s="106">
        <v>407141</v>
      </c>
      <c r="D22" s="106">
        <v>-2806</v>
      </c>
      <c r="E22" s="106">
        <v>0</v>
      </c>
      <c r="F22" s="106">
        <v>0</v>
      </c>
      <c r="G22" s="106">
        <v>0</v>
      </c>
      <c r="H22" s="106">
        <v>404335</v>
      </c>
      <c r="I22" s="106">
        <v>-284067</v>
      </c>
      <c r="J22" s="106">
        <v>120268</v>
      </c>
      <c r="K22" s="106">
        <v>0</v>
      </c>
      <c r="L22" s="106">
        <v>0</v>
      </c>
      <c r="M22" s="106">
        <v>0</v>
      </c>
      <c r="N22" s="106">
        <v>120268</v>
      </c>
    </row>
    <row r="23" spans="1:14" outlineLevel="2" x14ac:dyDescent="0.35">
      <c r="A23" s="108" t="s">
        <v>598</v>
      </c>
      <c r="B23" s="108" t="s">
        <v>205</v>
      </c>
      <c r="C23" s="106">
        <v>166085</v>
      </c>
      <c r="D23" s="106">
        <v>-2401</v>
      </c>
      <c r="E23" s="106">
        <v>0</v>
      </c>
      <c r="F23" s="106">
        <v>0</v>
      </c>
      <c r="G23" s="106">
        <v>0</v>
      </c>
      <c r="H23" s="106">
        <v>163684</v>
      </c>
      <c r="I23" s="106">
        <v>-121828</v>
      </c>
      <c r="J23" s="106">
        <v>41856</v>
      </c>
      <c r="K23" s="106">
        <v>0</v>
      </c>
      <c r="L23" s="106">
        <v>0</v>
      </c>
      <c r="M23" s="106">
        <v>0</v>
      </c>
      <c r="N23" s="106">
        <v>41856</v>
      </c>
    </row>
    <row r="24" spans="1:14" outlineLevel="2" x14ac:dyDescent="0.35">
      <c r="A24" s="108" t="s">
        <v>598</v>
      </c>
      <c r="B24" s="108" t="s">
        <v>204</v>
      </c>
      <c r="C24" s="106">
        <v>125406</v>
      </c>
      <c r="D24" s="106">
        <v>-326</v>
      </c>
      <c r="E24" s="106">
        <v>0</v>
      </c>
      <c r="F24" s="106">
        <v>0</v>
      </c>
      <c r="G24" s="106">
        <v>0</v>
      </c>
      <c r="H24" s="106">
        <v>125080</v>
      </c>
      <c r="I24" s="106">
        <v>-102415</v>
      </c>
      <c r="J24" s="106">
        <v>22665</v>
      </c>
      <c r="K24" s="106">
        <v>0</v>
      </c>
      <c r="L24" s="106">
        <v>0</v>
      </c>
      <c r="M24" s="106">
        <v>0</v>
      </c>
      <c r="N24" s="106">
        <v>22665</v>
      </c>
    </row>
    <row r="25" spans="1:14" outlineLevel="2" x14ac:dyDescent="0.35">
      <c r="A25" s="108" t="s">
        <v>598</v>
      </c>
      <c r="B25" s="108" t="s">
        <v>203</v>
      </c>
      <c r="C25" s="106">
        <v>117996</v>
      </c>
      <c r="D25" s="106">
        <v>-319</v>
      </c>
      <c r="E25" s="106">
        <v>0</v>
      </c>
      <c r="F25" s="106">
        <v>0</v>
      </c>
      <c r="G25" s="106">
        <v>0</v>
      </c>
      <c r="H25" s="106">
        <v>117677</v>
      </c>
      <c r="I25" s="106">
        <v>-104958</v>
      </c>
      <c r="J25" s="106">
        <v>12719</v>
      </c>
      <c r="K25" s="106">
        <v>0</v>
      </c>
      <c r="L25" s="106">
        <v>0</v>
      </c>
      <c r="M25" s="106">
        <v>0</v>
      </c>
      <c r="N25" s="106">
        <v>12719</v>
      </c>
    </row>
    <row r="26" spans="1:14" outlineLevel="2" x14ac:dyDescent="0.35">
      <c r="A26" s="108" t="s">
        <v>598</v>
      </c>
      <c r="B26" s="108" t="s">
        <v>202</v>
      </c>
      <c r="C26" s="106">
        <v>110695</v>
      </c>
      <c r="D26" s="106">
        <v>-320</v>
      </c>
      <c r="E26" s="106">
        <v>0</v>
      </c>
      <c r="F26" s="106">
        <v>0</v>
      </c>
      <c r="G26" s="106">
        <v>0</v>
      </c>
      <c r="H26" s="106">
        <v>110375</v>
      </c>
      <c r="I26" s="106">
        <v>-106797</v>
      </c>
      <c r="J26" s="106">
        <v>3578</v>
      </c>
      <c r="K26" s="106">
        <v>0</v>
      </c>
      <c r="L26" s="106">
        <v>0</v>
      </c>
      <c r="M26" s="106">
        <v>0</v>
      </c>
      <c r="N26" s="106">
        <v>3578</v>
      </c>
    </row>
    <row r="27" spans="1:14" outlineLevel="2" x14ac:dyDescent="0.35">
      <c r="A27" s="108" t="s">
        <v>598</v>
      </c>
      <c r="B27" s="108" t="s">
        <v>201</v>
      </c>
      <c r="C27" s="106">
        <v>91911</v>
      </c>
      <c r="D27" s="106">
        <v>-337</v>
      </c>
      <c r="E27" s="106">
        <v>0</v>
      </c>
      <c r="F27" s="106">
        <v>0</v>
      </c>
      <c r="G27" s="106">
        <v>0</v>
      </c>
      <c r="H27" s="106">
        <v>91574</v>
      </c>
      <c r="I27" s="106">
        <v>-89307</v>
      </c>
      <c r="J27" s="106">
        <v>2267</v>
      </c>
      <c r="K27" s="106">
        <v>0</v>
      </c>
      <c r="L27" s="106">
        <v>0</v>
      </c>
      <c r="M27" s="106">
        <v>0</v>
      </c>
      <c r="N27" s="106">
        <v>2267</v>
      </c>
    </row>
    <row r="28" spans="1:14" outlineLevel="2" x14ac:dyDescent="0.35">
      <c r="A28" s="108" t="s">
        <v>598</v>
      </c>
      <c r="B28" s="108" t="s">
        <v>200</v>
      </c>
      <c r="C28" s="106">
        <v>84082</v>
      </c>
      <c r="D28" s="106">
        <v>-314</v>
      </c>
      <c r="E28" s="106">
        <v>0</v>
      </c>
      <c r="F28" s="106">
        <v>0</v>
      </c>
      <c r="G28" s="106">
        <v>0</v>
      </c>
      <c r="H28" s="106">
        <v>83768</v>
      </c>
      <c r="I28" s="106">
        <v>-83768</v>
      </c>
      <c r="J28" s="106">
        <v>0</v>
      </c>
      <c r="K28" s="106">
        <v>0</v>
      </c>
      <c r="L28" s="106">
        <v>0</v>
      </c>
      <c r="M28" s="106">
        <v>0</v>
      </c>
      <c r="N28" s="106">
        <v>0</v>
      </c>
    </row>
    <row r="29" spans="1:14" outlineLevel="2" x14ac:dyDescent="0.35">
      <c r="A29" s="108" t="s">
        <v>598</v>
      </c>
      <c r="B29" s="108" t="s">
        <v>199</v>
      </c>
      <c r="C29" s="106">
        <v>74814</v>
      </c>
      <c r="D29" s="106">
        <v>-303</v>
      </c>
      <c r="E29" s="106">
        <v>0</v>
      </c>
      <c r="F29" s="106">
        <v>0</v>
      </c>
      <c r="G29" s="106">
        <v>0</v>
      </c>
      <c r="H29" s="106">
        <v>74511</v>
      </c>
      <c r="I29" s="106">
        <v>-74511</v>
      </c>
      <c r="J29" s="106">
        <v>0</v>
      </c>
      <c r="K29" s="106">
        <v>0</v>
      </c>
      <c r="L29" s="106">
        <v>0</v>
      </c>
      <c r="M29" s="106">
        <v>0</v>
      </c>
      <c r="N29" s="106">
        <v>0</v>
      </c>
    </row>
    <row r="30" spans="1:14" outlineLevel="2" x14ac:dyDescent="0.35">
      <c r="A30" s="108" t="s">
        <v>598</v>
      </c>
      <c r="B30" s="108" t="s">
        <v>198</v>
      </c>
      <c r="C30" s="106">
        <v>61408</v>
      </c>
      <c r="D30" s="106">
        <v>-274</v>
      </c>
      <c r="E30" s="106">
        <v>0</v>
      </c>
      <c r="F30" s="106">
        <v>0</v>
      </c>
      <c r="G30" s="106">
        <v>0</v>
      </c>
      <c r="H30" s="106">
        <v>61134</v>
      </c>
      <c r="I30" s="106">
        <v>-61134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</row>
    <row r="31" spans="1:14" outlineLevel="2" x14ac:dyDescent="0.35">
      <c r="A31" s="108" t="s">
        <v>598</v>
      </c>
      <c r="B31" s="108" t="s">
        <v>197</v>
      </c>
      <c r="C31" s="106">
        <v>57831</v>
      </c>
      <c r="D31" s="106">
        <v>-270</v>
      </c>
      <c r="E31" s="106">
        <v>0</v>
      </c>
      <c r="F31" s="106">
        <v>0</v>
      </c>
      <c r="G31" s="106">
        <v>0</v>
      </c>
      <c r="H31" s="106">
        <v>57561</v>
      </c>
      <c r="I31" s="106">
        <v>-57561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</row>
    <row r="32" spans="1:14" outlineLevel="1" x14ac:dyDescent="0.35">
      <c r="A32" s="108" t="s">
        <v>598</v>
      </c>
      <c r="B32" s="108" t="s">
        <v>196</v>
      </c>
      <c r="C32" s="106">
        <v>51386</v>
      </c>
      <c r="D32" s="106">
        <v>-236</v>
      </c>
      <c r="E32" s="106">
        <v>0</v>
      </c>
      <c r="F32" s="106">
        <v>0</v>
      </c>
      <c r="G32" s="106">
        <v>0</v>
      </c>
      <c r="H32" s="106">
        <v>51150</v>
      </c>
      <c r="I32" s="106">
        <v>-51150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</row>
    <row r="33" spans="1:14" ht="15" customHeight="1" outlineLevel="1" thickBot="1" x14ac:dyDescent="0.4">
      <c r="A33" s="105" t="s">
        <v>477</v>
      </c>
      <c r="B33" s="79" t="s">
        <v>12</v>
      </c>
      <c r="C33" s="103">
        <f>SUBTOTAL(109,Program305[(C)
Program
Costs])</f>
        <v>1952120</v>
      </c>
      <c r="D33" s="103">
        <f>SUBTOTAL(109,Program305[(D)
Prior Period Adjustments])</f>
        <v>-13325</v>
      </c>
      <c r="E33" s="103">
        <f>SUBTOTAL(109,Program305[(E)
Current Period Desk 
Reviews])</f>
        <v>-1217</v>
      </c>
      <c r="F33" s="103">
        <f>SUBTOTAL(109,Program305[(F)
Current Period 
Final 
Audits])</f>
        <v>0</v>
      </c>
      <c r="G33" s="103">
        <f>SUBTOTAL(109,Program305[(G)
Current Period 
Other Adjustments])</f>
        <v>0</v>
      </c>
      <c r="H33" s="103">
        <f>SUBTOTAL(109,Program305[(H)
Net Program Costs
Sum (C through G)])</f>
        <v>1937578</v>
      </c>
      <c r="I33" s="103">
        <f>SUBTOTAL(109,Program305[(I)
Payments
 and Offsets])</f>
        <v>-1511597</v>
      </c>
      <c r="J33" s="103">
        <f>SUBTOTAL(109,Program305[(J)
Accounts Payable Balance
(H + I)])</f>
        <v>425981</v>
      </c>
      <c r="K33" s="103">
        <f>SUBTOTAL(109,Program305[(K)
Established 
Accounts Receivable])</f>
        <v>1000</v>
      </c>
      <c r="L33" s="103">
        <f>SUBTOTAL(109,Program305[(L)
Recovered
 Accounts Receivable])</f>
        <v>0</v>
      </c>
      <c r="M33" s="103">
        <f>SUBTOTAL(109,Program305[(M)
Accounts Receivable Balance
(K + L)])</f>
        <v>1000</v>
      </c>
      <c r="N33" s="103">
        <f>SUBTOTAL(109,Program305[(N)
Net Balance
(J minus M)])</f>
        <v>424981</v>
      </c>
    </row>
    <row r="34" spans="1:14" outlineLevel="2" x14ac:dyDescent="0.35">
      <c r="A34" s="116" t="s">
        <v>33</v>
      </c>
      <c r="B34" s="115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  <row r="35" spans="1:14" ht="77.5" outlineLevel="2" x14ac:dyDescent="0.35">
      <c r="A35" s="60" t="s">
        <v>185</v>
      </c>
      <c r="B35" s="59" t="s">
        <v>184</v>
      </c>
      <c r="C35" s="58" t="s">
        <v>183</v>
      </c>
      <c r="D35" s="58" t="s">
        <v>182</v>
      </c>
      <c r="E35" s="56" t="s">
        <v>181</v>
      </c>
      <c r="F35" s="56" t="s">
        <v>180</v>
      </c>
      <c r="G35" s="56" t="s">
        <v>179</v>
      </c>
      <c r="H35" s="57" t="s">
        <v>674</v>
      </c>
      <c r="I35" s="55" t="s">
        <v>178</v>
      </c>
      <c r="J35" s="55" t="s">
        <v>177</v>
      </c>
      <c r="K35" s="56" t="s">
        <v>176</v>
      </c>
      <c r="L35" s="55" t="s">
        <v>175</v>
      </c>
      <c r="M35" s="55" t="s">
        <v>174</v>
      </c>
      <c r="N35" s="54" t="s">
        <v>173</v>
      </c>
    </row>
    <row r="36" spans="1:14" outlineLevel="2" x14ac:dyDescent="0.35">
      <c r="A36" s="108" t="s">
        <v>597</v>
      </c>
      <c r="B36" s="108" t="s">
        <v>208</v>
      </c>
      <c r="C36" s="106">
        <v>4614</v>
      </c>
      <c r="D36" s="106">
        <v>0</v>
      </c>
      <c r="E36" s="106">
        <v>0</v>
      </c>
      <c r="F36" s="106">
        <v>0</v>
      </c>
      <c r="G36" s="106">
        <v>0</v>
      </c>
      <c r="H36" s="106">
        <v>4614</v>
      </c>
      <c r="I36" s="106">
        <v>-4614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</row>
    <row r="37" spans="1:14" outlineLevel="2" x14ac:dyDescent="0.35">
      <c r="A37" s="108" t="s">
        <v>597</v>
      </c>
      <c r="B37" s="108" t="s">
        <v>206</v>
      </c>
      <c r="C37" s="106">
        <v>8679</v>
      </c>
      <c r="D37" s="106">
        <v>0</v>
      </c>
      <c r="E37" s="106">
        <v>0</v>
      </c>
      <c r="F37" s="106">
        <v>0</v>
      </c>
      <c r="G37" s="106">
        <v>0</v>
      </c>
      <c r="H37" s="106">
        <v>8679</v>
      </c>
      <c r="I37" s="106">
        <v>-6144</v>
      </c>
      <c r="J37" s="106">
        <v>2535</v>
      </c>
      <c r="K37" s="106">
        <v>0</v>
      </c>
      <c r="L37" s="106">
        <v>0</v>
      </c>
      <c r="M37" s="106">
        <v>0</v>
      </c>
      <c r="N37" s="106">
        <v>2535</v>
      </c>
    </row>
    <row r="38" spans="1:14" outlineLevel="2" x14ac:dyDescent="0.35">
      <c r="A38" s="108" t="s">
        <v>597</v>
      </c>
      <c r="B38" s="108" t="s">
        <v>205</v>
      </c>
      <c r="C38" s="106">
        <v>12816</v>
      </c>
      <c r="D38" s="106">
        <v>-346</v>
      </c>
      <c r="E38" s="106">
        <v>0</v>
      </c>
      <c r="F38" s="106">
        <v>0</v>
      </c>
      <c r="G38" s="106">
        <v>0</v>
      </c>
      <c r="H38" s="106">
        <v>12470</v>
      </c>
      <c r="I38" s="106">
        <v>-9355</v>
      </c>
      <c r="J38" s="106">
        <v>3115</v>
      </c>
      <c r="K38" s="106">
        <v>0</v>
      </c>
      <c r="L38" s="106">
        <v>0</v>
      </c>
      <c r="M38" s="106">
        <v>0</v>
      </c>
      <c r="N38" s="106">
        <v>3115</v>
      </c>
    </row>
    <row r="39" spans="1:14" outlineLevel="2" x14ac:dyDescent="0.35">
      <c r="A39" s="108" t="s">
        <v>597</v>
      </c>
      <c r="B39" s="108" t="s">
        <v>204</v>
      </c>
      <c r="C39" s="106">
        <v>27373</v>
      </c>
      <c r="D39" s="106">
        <v>0</v>
      </c>
      <c r="E39" s="106">
        <v>0</v>
      </c>
      <c r="F39" s="106">
        <v>0</v>
      </c>
      <c r="G39" s="106">
        <v>0</v>
      </c>
      <c r="H39" s="106">
        <v>27373</v>
      </c>
      <c r="I39" s="106">
        <v>-27373</v>
      </c>
      <c r="J39" s="106">
        <v>0</v>
      </c>
      <c r="K39" s="106">
        <v>0</v>
      </c>
      <c r="L39" s="106">
        <v>0</v>
      </c>
      <c r="M39" s="106">
        <v>0</v>
      </c>
      <c r="N39" s="106">
        <v>0</v>
      </c>
    </row>
    <row r="40" spans="1:14" outlineLevel="2" x14ac:dyDescent="0.35">
      <c r="A40" s="108" t="s">
        <v>597</v>
      </c>
      <c r="B40" s="108" t="s">
        <v>203</v>
      </c>
      <c r="C40" s="106">
        <v>5436</v>
      </c>
      <c r="D40" s="106">
        <v>-169</v>
      </c>
      <c r="E40" s="106">
        <v>0</v>
      </c>
      <c r="F40" s="106">
        <v>0</v>
      </c>
      <c r="G40" s="106">
        <v>0</v>
      </c>
      <c r="H40" s="106">
        <v>5267</v>
      </c>
      <c r="I40" s="106">
        <v>-5267</v>
      </c>
      <c r="J40" s="106">
        <v>0</v>
      </c>
      <c r="K40" s="106">
        <v>0</v>
      </c>
      <c r="L40" s="106">
        <v>0</v>
      </c>
      <c r="M40" s="106">
        <v>0</v>
      </c>
      <c r="N40" s="106">
        <v>0</v>
      </c>
    </row>
    <row r="41" spans="1:14" outlineLevel="2" x14ac:dyDescent="0.35">
      <c r="A41" s="108" t="s">
        <v>597</v>
      </c>
      <c r="B41" s="108" t="s">
        <v>202</v>
      </c>
      <c r="C41" s="106">
        <v>6011</v>
      </c>
      <c r="D41" s="106">
        <v>0</v>
      </c>
      <c r="E41" s="106">
        <v>0</v>
      </c>
      <c r="F41" s="106">
        <v>0</v>
      </c>
      <c r="G41" s="106">
        <v>0</v>
      </c>
      <c r="H41" s="106">
        <v>6011</v>
      </c>
      <c r="I41" s="106">
        <v>-4843</v>
      </c>
      <c r="J41" s="106">
        <v>1168</v>
      </c>
      <c r="K41" s="106">
        <v>0</v>
      </c>
      <c r="L41" s="106">
        <v>0</v>
      </c>
      <c r="M41" s="106">
        <v>0</v>
      </c>
      <c r="N41" s="106">
        <v>1168</v>
      </c>
    </row>
    <row r="42" spans="1:14" outlineLevel="2" x14ac:dyDescent="0.35">
      <c r="A42" s="108" t="s">
        <v>597</v>
      </c>
      <c r="B42" s="108" t="s">
        <v>201</v>
      </c>
      <c r="C42" s="106">
        <v>13956</v>
      </c>
      <c r="D42" s="106">
        <v>-124</v>
      </c>
      <c r="E42" s="106">
        <v>0</v>
      </c>
      <c r="F42" s="106">
        <v>0</v>
      </c>
      <c r="G42" s="106">
        <v>0</v>
      </c>
      <c r="H42" s="106">
        <v>13832</v>
      </c>
      <c r="I42" s="106">
        <v>-12143</v>
      </c>
      <c r="J42" s="106">
        <v>1689</v>
      </c>
      <c r="K42" s="106">
        <v>0</v>
      </c>
      <c r="L42" s="106">
        <v>0</v>
      </c>
      <c r="M42" s="106">
        <v>0</v>
      </c>
      <c r="N42" s="106">
        <v>1689</v>
      </c>
    </row>
    <row r="43" spans="1:14" outlineLevel="2" x14ac:dyDescent="0.35">
      <c r="A43" s="108" t="s">
        <v>597</v>
      </c>
      <c r="B43" s="108" t="s">
        <v>200</v>
      </c>
      <c r="C43" s="106">
        <v>11498</v>
      </c>
      <c r="D43" s="106">
        <v>0</v>
      </c>
      <c r="E43" s="106">
        <v>0</v>
      </c>
      <c r="F43" s="106">
        <v>0</v>
      </c>
      <c r="G43" s="106">
        <v>0</v>
      </c>
      <c r="H43" s="106">
        <v>11498</v>
      </c>
      <c r="I43" s="106">
        <v>-10225</v>
      </c>
      <c r="J43" s="106">
        <v>1273</v>
      </c>
      <c r="K43" s="106">
        <v>0</v>
      </c>
      <c r="L43" s="106">
        <v>0</v>
      </c>
      <c r="M43" s="106">
        <v>0</v>
      </c>
      <c r="N43" s="106">
        <v>1273</v>
      </c>
    </row>
    <row r="44" spans="1:14" outlineLevel="2" x14ac:dyDescent="0.35">
      <c r="A44" s="108" t="s">
        <v>597</v>
      </c>
      <c r="B44" s="108" t="s">
        <v>199</v>
      </c>
      <c r="C44" s="106">
        <v>8283</v>
      </c>
      <c r="D44" s="106">
        <v>0</v>
      </c>
      <c r="E44" s="106">
        <v>0</v>
      </c>
      <c r="F44" s="106">
        <v>0</v>
      </c>
      <c r="G44" s="106">
        <v>0</v>
      </c>
      <c r="H44" s="106">
        <v>8283</v>
      </c>
      <c r="I44" s="106">
        <v>-8283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</row>
    <row r="45" spans="1:14" outlineLevel="2" x14ac:dyDescent="0.35">
      <c r="A45" s="108" t="s">
        <v>597</v>
      </c>
      <c r="B45" s="108" t="s">
        <v>198</v>
      </c>
      <c r="C45" s="106">
        <v>8599</v>
      </c>
      <c r="D45" s="106">
        <v>0</v>
      </c>
      <c r="E45" s="106">
        <v>0</v>
      </c>
      <c r="F45" s="106">
        <v>0</v>
      </c>
      <c r="G45" s="106">
        <v>0</v>
      </c>
      <c r="H45" s="106">
        <v>8599</v>
      </c>
      <c r="I45" s="106">
        <v>-8599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</row>
    <row r="46" spans="1:14" outlineLevel="1" x14ac:dyDescent="0.35">
      <c r="A46" s="108" t="s">
        <v>597</v>
      </c>
      <c r="B46" s="108" t="s">
        <v>197</v>
      </c>
      <c r="C46" s="106">
        <v>8200</v>
      </c>
      <c r="D46" s="106">
        <v>0</v>
      </c>
      <c r="E46" s="106">
        <v>0</v>
      </c>
      <c r="F46" s="106">
        <v>0</v>
      </c>
      <c r="G46" s="106">
        <v>0</v>
      </c>
      <c r="H46" s="106">
        <v>8200</v>
      </c>
      <c r="I46" s="106">
        <v>-8200</v>
      </c>
      <c r="J46" s="106">
        <v>0</v>
      </c>
      <c r="K46" s="106">
        <v>0</v>
      </c>
      <c r="L46" s="106">
        <v>0</v>
      </c>
      <c r="M46" s="106">
        <v>0</v>
      </c>
      <c r="N46" s="106">
        <v>0</v>
      </c>
    </row>
    <row r="47" spans="1:14" ht="15.65" customHeight="1" outlineLevel="1" x14ac:dyDescent="0.35">
      <c r="A47" s="108" t="s">
        <v>597</v>
      </c>
      <c r="B47" s="108" t="s">
        <v>196</v>
      </c>
      <c r="C47" s="106">
        <v>2469</v>
      </c>
      <c r="D47" s="106">
        <v>0</v>
      </c>
      <c r="E47" s="106">
        <v>0</v>
      </c>
      <c r="F47" s="106">
        <v>0</v>
      </c>
      <c r="G47" s="106">
        <v>0</v>
      </c>
      <c r="H47" s="106">
        <v>2469</v>
      </c>
      <c r="I47" s="106">
        <v>-2469</v>
      </c>
      <c r="J47" s="106">
        <v>0</v>
      </c>
      <c r="K47" s="106">
        <v>0</v>
      </c>
      <c r="L47" s="106">
        <v>0</v>
      </c>
      <c r="M47" s="106">
        <v>0</v>
      </c>
      <c r="N47" s="106">
        <v>0</v>
      </c>
    </row>
    <row r="48" spans="1:14" ht="16" outlineLevel="2" thickBot="1" x14ac:dyDescent="0.4">
      <c r="A48" s="105" t="s">
        <v>476</v>
      </c>
      <c r="B48" s="79" t="s">
        <v>12</v>
      </c>
      <c r="C48" s="103">
        <f>SUBTOTAL(109,Program269[(C)
Program
Costs])</f>
        <v>117934</v>
      </c>
      <c r="D48" s="103">
        <f>SUBTOTAL(109,Program269[(D)
Prior Period Adjustments])</f>
        <v>-639</v>
      </c>
      <c r="E48" s="103">
        <f>SUBTOTAL(109,Program269[(E)
Current Period Desk 
Reviews])</f>
        <v>0</v>
      </c>
      <c r="F48" s="103">
        <f>SUBTOTAL(109,Program269[(F)
Current Period 
Final 
Audits])</f>
        <v>0</v>
      </c>
      <c r="G48" s="103">
        <f>SUBTOTAL(109,Program269[(G)
Current Period 
Other Adjustments])</f>
        <v>0</v>
      </c>
      <c r="H48" s="103">
        <f>SUBTOTAL(109,Program269[(H)
Net Program Costs
Sum (C through G)])</f>
        <v>117295</v>
      </c>
      <c r="I48" s="103">
        <f>SUBTOTAL(109,Program269[(I)
Payments
 and Offsets])</f>
        <v>-107515</v>
      </c>
      <c r="J48" s="103">
        <f>SUBTOTAL(109,Program269[(J)
Accounts Payable Balance
(H + I)])</f>
        <v>9780</v>
      </c>
      <c r="K48" s="103">
        <f>SUBTOTAL(109,Program269[(K)
Established 
Accounts Receivable])</f>
        <v>0</v>
      </c>
      <c r="L48" s="103">
        <f>SUBTOTAL(109,Program269[(L)
Recovered
 Accounts Receivable])</f>
        <v>0</v>
      </c>
      <c r="M48" s="103">
        <f>SUBTOTAL(109,Program269[(M)
Accounts Receivable Balance
(K + L)])</f>
        <v>0</v>
      </c>
      <c r="N48" s="103">
        <f>SUBTOTAL(109,Program269[(N)
Net Balance
(J minus M)])</f>
        <v>9780</v>
      </c>
    </row>
    <row r="49" spans="1:14" outlineLevel="2" x14ac:dyDescent="0.35">
      <c r="A49" s="116" t="s">
        <v>33</v>
      </c>
      <c r="B49" s="115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</row>
    <row r="50" spans="1:14" ht="77.5" outlineLevel="2" x14ac:dyDescent="0.35">
      <c r="A50" s="60" t="s">
        <v>185</v>
      </c>
      <c r="B50" s="59" t="s">
        <v>184</v>
      </c>
      <c r="C50" s="58" t="s">
        <v>183</v>
      </c>
      <c r="D50" s="58" t="s">
        <v>182</v>
      </c>
      <c r="E50" s="56" t="s">
        <v>181</v>
      </c>
      <c r="F50" s="56" t="s">
        <v>180</v>
      </c>
      <c r="G50" s="56" t="s">
        <v>179</v>
      </c>
      <c r="H50" s="57" t="s">
        <v>674</v>
      </c>
      <c r="I50" s="55" t="s">
        <v>178</v>
      </c>
      <c r="J50" s="55" t="s">
        <v>177</v>
      </c>
      <c r="K50" s="56" t="s">
        <v>176</v>
      </c>
      <c r="L50" s="55" t="s">
        <v>175</v>
      </c>
      <c r="M50" s="55" t="s">
        <v>174</v>
      </c>
      <c r="N50" s="54" t="s">
        <v>173</v>
      </c>
    </row>
    <row r="51" spans="1:14" outlineLevel="2" x14ac:dyDescent="0.35">
      <c r="A51" s="108" t="s">
        <v>596</v>
      </c>
      <c r="B51" s="108" t="s">
        <v>198</v>
      </c>
      <c r="C51" s="106">
        <v>3350959</v>
      </c>
      <c r="D51" s="106">
        <v>-6362</v>
      </c>
      <c r="E51" s="106">
        <v>0</v>
      </c>
      <c r="F51" s="106">
        <v>0</v>
      </c>
      <c r="G51" s="106">
        <v>0</v>
      </c>
      <c r="H51" s="106">
        <v>3344597</v>
      </c>
      <c r="I51" s="106">
        <v>-3344597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</row>
    <row r="52" spans="1:14" outlineLevel="2" x14ac:dyDescent="0.35">
      <c r="A52" s="108" t="s">
        <v>596</v>
      </c>
      <c r="B52" s="108" t="s">
        <v>197</v>
      </c>
      <c r="C52" s="106">
        <v>3803117</v>
      </c>
      <c r="D52" s="106">
        <v>-240010</v>
      </c>
      <c r="E52" s="106">
        <v>0</v>
      </c>
      <c r="F52" s="106">
        <v>0</v>
      </c>
      <c r="G52" s="106">
        <v>0</v>
      </c>
      <c r="H52" s="106">
        <v>3563107</v>
      </c>
      <c r="I52" s="106">
        <v>-3563107</v>
      </c>
      <c r="J52" s="106">
        <v>0</v>
      </c>
      <c r="K52" s="106">
        <v>838033</v>
      </c>
      <c r="L52" s="106">
        <v>-832320</v>
      </c>
      <c r="M52" s="106">
        <v>5713</v>
      </c>
      <c r="N52" s="106">
        <v>-5713</v>
      </c>
    </row>
    <row r="53" spans="1:14" outlineLevel="2" x14ac:dyDescent="0.35">
      <c r="A53" s="108" t="s">
        <v>596</v>
      </c>
      <c r="B53" s="108" t="s">
        <v>196</v>
      </c>
      <c r="C53" s="106">
        <v>3613576</v>
      </c>
      <c r="D53" s="106">
        <v>-372513</v>
      </c>
      <c r="E53" s="106">
        <v>0</v>
      </c>
      <c r="F53" s="106">
        <v>0</v>
      </c>
      <c r="G53" s="106">
        <v>0</v>
      </c>
      <c r="H53" s="106">
        <v>3241063</v>
      </c>
      <c r="I53" s="106">
        <v>-3241063</v>
      </c>
      <c r="J53" s="106">
        <v>0</v>
      </c>
      <c r="K53" s="106">
        <v>1226753</v>
      </c>
      <c r="L53" s="106">
        <v>-1226753</v>
      </c>
      <c r="M53" s="106">
        <v>0</v>
      </c>
      <c r="N53" s="106">
        <v>0</v>
      </c>
    </row>
    <row r="54" spans="1:14" outlineLevel="2" x14ac:dyDescent="0.35">
      <c r="A54" s="108" t="s">
        <v>596</v>
      </c>
      <c r="B54" s="108" t="s">
        <v>195</v>
      </c>
      <c r="C54" s="106">
        <v>3630124</v>
      </c>
      <c r="D54" s="106">
        <v>-76310</v>
      </c>
      <c r="E54" s="106">
        <v>0</v>
      </c>
      <c r="F54" s="106">
        <v>0</v>
      </c>
      <c r="G54" s="106">
        <v>0</v>
      </c>
      <c r="H54" s="106">
        <v>3553814</v>
      </c>
      <c r="I54" s="106">
        <v>-3553814</v>
      </c>
      <c r="J54" s="106">
        <v>0</v>
      </c>
      <c r="K54" s="106">
        <v>914986</v>
      </c>
      <c r="L54" s="106">
        <v>-914986</v>
      </c>
      <c r="M54" s="106">
        <v>0</v>
      </c>
      <c r="N54" s="106">
        <v>0</v>
      </c>
    </row>
    <row r="55" spans="1:14" outlineLevel="2" x14ac:dyDescent="0.35">
      <c r="A55" s="108" t="s">
        <v>596</v>
      </c>
      <c r="B55" s="108" t="s">
        <v>194</v>
      </c>
      <c r="C55" s="106">
        <v>3300658</v>
      </c>
      <c r="D55" s="106">
        <v>-9154</v>
      </c>
      <c r="E55" s="106">
        <v>0</v>
      </c>
      <c r="F55" s="106">
        <v>0</v>
      </c>
      <c r="G55" s="106">
        <v>0</v>
      </c>
      <c r="H55" s="106">
        <v>3291504</v>
      </c>
      <c r="I55" s="106">
        <v>-3291504</v>
      </c>
      <c r="J55" s="106">
        <v>0</v>
      </c>
      <c r="K55" s="106">
        <v>565922</v>
      </c>
      <c r="L55" s="106">
        <v>-565922</v>
      </c>
      <c r="M55" s="106">
        <v>0</v>
      </c>
      <c r="N55" s="106">
        <v>0</v>
      </c>
    </row>
    <row r="56" spans="1:14" outlineLevel="2" x14ac:dyDescent="0.35">
      <c r="A56" s="108" t="s">
        <v>596</v>
      </c>
      <c r="B56" s="108" t="s">
        <v>193</v>
      </c>
      <c r="C56" s="106">
        <v>3300363</v>
      </c>
      <c r="D56" s="106">
        <v>-46224</v>
      </c>
      <c r="E56" s="106">
        <v>0</v>
      </c>
      <c r="F56" s="106">
        <v>0</v>
      </c>
      <c r="G56" s="106">
        <v>0</v>
      </c>
      <c r="H56" s="106">
        <v>3254139</v>
      </c>
      <c r="I56" s="106">
        <v>-3254139</v>
      </c>
      <c r="J56" s="106">
        <v>0</v>
      </c>
      <c r="K56" s="106">
        <v>731342</v>
      </c>
      <c r="L56" s="106">
        <v>-731342</v>
      </c>
      <c r="M56" s="106">
        <v>0</v>
      </c>
      <c r="N56" s="106">
        <v>0</v>
      </c>
    </row>
    <row r="57" spans="1:14" outlineLevel="2" x14ac:dyDescent="0.35">
      <c r="A57" s="108" t="s">
        <v>596</v>
      </c>
      <c r="B57" s="108" t="s">
        <v>192</v>
      </c>
      <c r="C57" s="106">
        <v>2655673</v>
      </c>
      <c r="D57" s="106">
        <v>-18074</v>
      </c>
      <c r="E57" s="106">
        <v>0</v>
      </c>
      <c r="F57" s="106">
        <v>0</v>
      </c>
      <c r="G57" s="106">
        <v>0</v>
      </c>
      <c r="H57" s="106">
        <v>2637599</v>
      </c>
      <c r="I57" s="106">
        <v>-2637599</v>
      </c>
      <c r="J57" s="106">
        <v>0</v>
      </c>
      <c r="K57" s="106">
        <v>593397</v>
      </c>
      <c r="L57" s="106">
        <v>-593397</v>
      </c>
      <c r="M57" s="106">
        <v>0</v>
      </c>
      <c r="N57" s="106">
        <v>0</v>
      </c>
    </row>
    <row r="58" spans="1:14" outlineLevel="2" x14ac:dyDescent="0.35">
      <c r="A58" s="108" t="s">
        <v>596</v>
      </c>
      <c r="B58" s="108" t="s">
        <v>191</v>
      </c>
      <c r="C58" s="106">
        <v>2087568</v>
      </c>
      <c r="D58" s="106">
        <v>-24552</v>
      </c>
      <c r="E58" s="106">
        <v>0</v>
      </c>
      <c r="F58" s="106">
        <v>0</v>
      </c>
      <c r="G58" s="106">
        <v>0</v>
      </c>
      <c r="H58" s="106">
        <v>2063016</v>
      </c>
      <c r="I58" s="106">
        <v>-2063016</v>
      </c>
      <c r="J58" s="106">
        <v>0</v>
      </c>
      <c r="K58" s="106">
        <v>691837</v>
      </c>
      <c r="L58" s="106">
        <v>-691774</v>
      </c>
      <c r="M58" s="106">
        <v>63</v>
      </c>
      <c r="N58" s="106">
        <v>-63</v>
      </c>
    </row>
    <row r="59" spans="1:14" outlineLevel="2" x14ac:dyDescent="0.35">
      <c r="A59" s="108" t="s">
        <v>596</v>
      </c>
      <c r="B59" s="108" t="s">
        <v>190</v>
      </c>
      <c r="C59" s="106">
        <v>2963217</v>
      </c>
      <c r="D59" s="106">
        <v>-487170</v>
      </c>
      <c r="E59" s="106">
        <v>0</v>
      </c>
      <c r="F59" s="106">
        <v>0</v>
      </c>
      <c r="G59" s="106">
        <v>0</v>
      </c>
      <c r="H59" s="106">
        <v>2476047</v>
      </c>
      <c r="I59" s="106">
        <v>-2476047</v>
      </c>
      <c r="J59" s="106">
        <v>0</v>
      </c>
      <c r="K59" s="106">
        <v>111275</v>
      </c>
      <c r="L59" s="106">
        <v>-111275</v>
      </c>
      <c r="M59" s="106">
        <v>0</v>
      </c>
      <c r="N59" s="106">
        <v>0</v>
      </c>
    </row>
    <row r="60" spans="1:14" outlineLevel="1" x14ac:dyDescent="0.35">
      <c r="A60" s="108" t="s">
        <v>596</v>
      </c>
      <c r="B60" s="108" t="s">
        <v>189</v>
      </c>
      <c r="C60" s="106">
        <v>2857669</v>
      </c>
      <c r="D60" s="106">
        <v>-482720</v>
      </c>
      <c r="E60" s="106">
        <v>0</v>
      </c>
      <c r="F60" s="106">
        <v>0</v>
      </c>
      <c r="G60" s="106">
        <v>0</v>
      </c>
      <c r="H60" s="106">
        <v>2374949</v>
      </c>
      <c r="I60" s="106">
        <v>-2374949</v>
      </c>
      <c r="J60" s="106">
        <v>0</v>
      </c>
      <c r="K60" s="106">
        <v>204300</v>
      </c>
      <c r="L60" s="106">
        <v>-204300</v>
      </c>
      <c r="M60" s="106">
        <v>0</v>
      </c>
      <c r="N60" s="106">
        <v>0</v>
      </c>
    </row>
    <row r="61" spans="1:14" ht="15.65" customHeight="1" outlineLevel="1" x14ac:dyDescent="0.35">
      <c r="A61" s="108" t="s">
        <v>596</v>
      </c>
      <c r="B61" s="108" t="s">
        <v>188</v>
      </c>
      <c r="C61" s="106">
        <v>2753125</v>
      </c>
      <c r="D61" s="106">
        <v>-482039</v>
      </c>
      <c r="E61" s="106">
        <v>0</v>
      </c>
      <c r="F61" s="106">
        <v>0</v>
      </c>
      <c r="G61" s="106">
        <v>0</v>
      </c>
      <c r="H61" s="106">
        <v>2271086</v>
      </c>
      <c r="I61" s="106">
        <v>-2271086</v>
      </c>
      <c r="J61" s="106">
        <v>0</v>
      </c>
      <c r="K61" s="106">
        <v>196542</v>
      </c>
      <c r="L61" s="106">
        <v>-196542</v>
      </c>
      <c r="M61" s="106">
        <v>0</v>
      </c>
      <c r="N61" s="106">
        <v>0</v>
      </c>
    </row>
    <row r="62" spans="1:14" ht="15" customHeight="1" outlineLevel="1" x14ac:dyDescent="0.35">
      <c r="A62" s="108" t="s">
        <v>596</v>
      </c>
      <c r="B62" s="108" t="s">
        <v>186</v>
      </c>
      <c r="C62" s="106">
        <v>1882495</v>
      </c>
      <c r="D62" s="106">
        <v>-360016</v>
      </c>
      <c r="E62" s="106">
        <v>0</v>
      </c>
      <c r="F62" s="106">
        <v>0</v>
      </c>
      <c r="G62" s="106">
        <v>0</v>
      </c>
      <c r="H62" s="106">
        <v>1522479</v>
      </c>
      <c r="I62" s="106">
        <v>-1522479</v>
      </c>
      <c r="J62" s="106">
        <v>0</v>
      </c>
      <c r="K62" s="106">
        <v>175293</v>
      </c>
      <c r="L62" s="106">
        <v>-175293</v>
      </c>
      <c r="M62" s="106">
        <v>0</v>
      </c>
      <c r="N62" s="106">
        <v>0</v>
      </c>
    </row>
    <row r="63" spans="1:14" ht="16" outlineLevel="2" thickBot="1" x14ac:dyDescent="0.4">
      <c r="A63" s="105" t="s">
        <v>475</v>
      </c>
      <c r="B63" s="79" t="s">
        <v>12</v>
      </c>
      <c r="C63" s="103">
        <f>SUBTOTAL(109,Program123[(C)
Program
Costs])</f>
        <v>36198544</v>
      </c>
      <c r="D63" s="103">
        <f>SUBTOTAL(109,Program123[(D)
Prior Period Adjustments])</f>
        <v>-2605144</v>
      </c>
      <c r="E63" s="103">
        <f>SUBTOTAL(109,Program123[(E)
Current Period Desk 
Reviews])</f>
        <v>0</v>
      </c>
      <c r="F63" s="103">
        <f>SUBTOTAL(109,Program123[(F)
Current Period 
Final 
Audits])</f>
        <v>0</v>
      </c>
      <c r="G63" s="103">
        <f>SUBTOTAL(109,Program123[(G)
Current Period 
Other Adjustments])</f>
        <v>0</v>
      </c>
      <c r="H63" s="103">
        <f>SUBTOTAL(109,Program123[(H)
Net Program Costs
Sum (C through G)])</f>
        <v>33593400</v>
      </c>
      <c r="I63" s="103">
        <f>SUBTOTAL(109,Program123[(I)
Payments
 and Offsets])</f>
        <v>-33593400</v>
      </c>
      <c r="J63" s="103">
        <f>SUBTOTAL(109,Program123[(J)
Accounts Payable Balance
(H + I)])</f>
        <v>0</v>
      </c>
      <c r="K63" s="103">
        <f>SUBTOTAL(109,Program123[(K)
Established 
Accounts Receivable])</f>
        <v>6249680</v>
      </c>
      <c r="L63" s="103">
        <f>SUBTOTAL(109,Program123[(L)
Recovered
 Accounts Receivable])</f>
        <v>-6243904</v>
      </c>
      <c r="M63" s="103">
        <f>SUBTOTAL(109,Program123[(M)
Accounts Receivable Balance
(K + L)])</f>
        <v>5776</v>
      </c>
      <c r="N63" s="103">
        <f>SUBTOTAL(109,Program123[(N)
Net Balance
(J minus M)])</f>
        <v>-5776</v>
      </c>
    </row>
    <row r="64" spans="1:14" outlineLevel="2" x14ac:dyDescent="0.35">
      <c r="A64" s="116" t="s">
        <v>33</v>
      </c>
      <c r="B64" s="115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</row>
    <row r="65" spans="1:14" ht="77.5" outlineLevel="2" x14ac:dyDescent="0.35">
      <c r="A65" s="60" t="s">
        <v>185</v>
      </c>
      <c r="B65" s="59" t="s">
        <v>184</v>
      </c>
      <c r="C65" s="58" t="s">
        <v>183</v>
      </c>
      <c r="D65" s="58" t="s">
        <v>182</v>
      </c>
      <c r="E65" s="56" t="s">
        <v>181</v>
      </c>
      <c r="F65" s="56" t="s">
        <v>180</v>
      </c>
      <c r="G65" s="56" t="s">
        <v>179</v>
      </c>
      <c r="H65" s="57" t="s">
        <v>674</v>
      </c>
      <c r="I65" s="55" t="s">
        <v>178</v>
      </c>
      <c r="J65" s="55" t="s">
        <v>177</v>
      </c>
      <c r="K65" s="56" t="s">
        <v>176</v>
      </c>
      <c r="L65" s="55" t="s">
        <v>175</v>
      </c>
      <c r="M65" s="55" t="s">
        <v>174</v>
      </c>
      <c r="N65" s="54" t="s">
        <v>173</v>
      </c>
    </row>
    <row r="66" spans="1:14" outlineLevel="2" x14ac:dyDescent="0.35">
      <c r="A66" s="108" t="s">
        <v>595</v>
      </c>
      <c r="B66" s="108" t="s">
        <v>215</v>
      </c>
      <c r="C66" s="106">
        <v>15908</v>
      </c>
      <c r="D66" s="106">
        <v>0</v>
      </c>
      <c r="E66" s="106">
        <v>0</v>
      </c>
      <c r="F66" s="106">
        <v>0</v>
      </c>
      <c r="G66" s="106">
        <v>0</v>
      </c>
      <c r="H66" s="106">
        <v>15908</v>
      </c>
      <c r="I66" s="106">
        <v>0</v>
      </c>
      <c r="J66" s="106">
        <v>15908</v>
      </c>
      <c r="K66" s="106">
        <v>0</v>
      </c>
      <c r="L66" s="106">
        <v>0</v>
      </c>
      <c r="M66" s="106">
        <v>0</v>
      </c>
      <c r="N66" s="106">
        <v>15908</v>
      </c>
    </row>
    <row r="67" spans="1:14" outlineLevel="2" x14ac:dyDescent="0.35">
      <c r="A67" s="108" t="s">
        <v>595</v>
      </c>
      <c r="B67" s="108" t="s">
        <v>214</v>
      </c>
      <c r="C67" s="106">
        <v>18960</v>
      </c>
      <c r="D67" s="106">
        <v>0</v>
      </c>
      <c r="E67" s="106">
        <v>0</v>
      </c>
      <c r="F67" s="106">
        <v>0</v>
      </c>
      <c r="G67" s="106">
        <v>0</v>
      </c>
      <c r="H67" s="106">
        <v>18960</v>
      </c>
      <c r="I67" s="106">
        <v>-1000</v>
      </c>
      <c r="J67" s="106">
        <v>17960</v>
      </c>
      <c r="K67" s="106">
        <v>0</v>
      </c>
      <c r="L67" s="106">
        <v>0</v>
      </c>
      <c r="M67" s="106">
        <v>0</v>
      </c>
      <c r="N67" s="106">
        <v>17960</v>
      </c>
    </row>
    <row r="68" spans="1:14" outlineLevel="2" x14ac:dyDescent="0.35">
      <c r="A68" s="108" t="s">
        <v>595</v>
      </c>
      <c r="B68" s="108" t="s">
        <v>212</v>
      </c>
      <c r="C68" s="106">
        <v>45017</v>
      </c>
      <c r="D68" s="106">
        <v>0</v>
      </c>
      <c r="E68" s="106">
        <v>0</v>
      </c>
      <c r="F68" s="106">
        <v>0</v>
      </c>
      <c r="G68" s="106">
        <v>0</v>
      </c>
      <c r="H68" s="106">
        <v>45017</v>
      </c>
      <c r="I68" s="106">
        <v>-1000</v>
      </c>
      <c r="J68" s="106">
        <v>44017</v>
      </c>
      <c r="K68" s="106">
        <v>0</v>
      </c>
      <c r="L68" s="106">
        <v>0</v>
      </c>
      <c r="M68" s="106">
        <v>0</v>
      </c>
      <c r="N68" s="106">
        <v>44017</v>
      </c>
    </row>
    <row r="69" spans="1:14" outlineLevel="2" x14ac:dyDescent="0.35">
      <c r="A69" s="108" t="s">
        <v>595</v>
      </c>
      <c r="B69" s="108" t="s">
        <v>220</v>
      </c>
      <c r="C69" s="106">
        <v>77440</v>
      </c>
      <c r="D69" s="106">
        <v>0</v>
      </c>
      <c r="E69" s="106">
        <v>0</v>
      </c>
      <c r="F69" s="106">
        <v>0</v>
      </c>
      <c r="G69" s="106">
        <v>0</v>
      </c>
      <c r="H69" s="106">
        <v>77440</v>
      </c>
      <c r="I69" s="106">
        <v>-1000</v>
      </c>
      <c r="J69" s="106">
        <v>76440</v>
      </c>
      <c r="K69" s="106">
        <v>0</v>
      </c>
      <c r="L69" s="106">
        <v>0</v>
      </c>
      <c r="M69" s="106">
        <v>0</v>
      </c>
      <c r="N69" s="106">
        <v>76440</v>
      </c>
    </row>
    <row r="70" spans="1:14" outlineLevel="2" x14ac:dyDescent="0.35">
      <c r="A70" s="108" t="s">
        <v>595</v>
      </c>
      <c r="B70" s="108" t="s">
        <v>219</v>
      </c>
      <c r="C70" s="106">
        <v>70758</v>
      </c>
      <c r="D70" s="106">
        <v>0</v>
      </c>
      <c r="E70" s="106">
        <v>0</v>
      </c>
      <c r="F70" s="106">
        <v>0</v>
      </c>
      <c r="G70" s="106">
        <v>0</v>
      </c>
      <c r="H70" s="106">
        <v>70758</v>
      </c>
      <c r="I70" s="106">
        <v>-4554</v>
      </c>
      <c r="J70" s="106">
        <v>66204</v>
      </c>
      <c r="K70" s="106">
        <v>0</v>
      </c>
      <c r="L70" s="106">
        <v>0</v>
      </c>
      <c r="M70" s="106">
        <v>0</v>
      </c>
      <c r="N70" s="106">
        <v>66204</v>
      </c>
    </row>
    <row r="71" spans="1:14" outlineLevel="2" x14ac:dyDescent="0.35">
      <c r="A71" s="108" t="s">
        <v>595</v>
      </c>
      <c r="B71" s="108" t="s">
        <v>218</v>
      </c>
      <c r="C71" s="106">
        <v>85659</v>
      </c>
      <c r="D71" s="106">
        <v>-1220</v>
      </c>
      <c r="E71" s="106">
        <v>0</v>
      </c>
      <c r="F71" s="106">
        <v>0</v>
      </c>
      <c r="G71" s="106">
        <v>0</v>
      </c>
      <c r="H71" s="106">
        <v>84439</v>
      </c>
      <c r="I71" s="106">
        <v>-13627</v>
      </c>
      <c r="J71" s="106">
        <v>70812</v>
      </c>
      <c r="K71" s="106">
        <v>0</v>
      </c>
      <c r="L71" s="106">
        <v>0</v>
      </c>
      <c r="M71" s="106">
        <v>0</v>
      </c>
      <c r="N71" s="106">
        <v>70812</v>
      </c>
    </row>
    <row r="72" spans="1:14" outlineLevel="2" x14ac:dyDescent="0.35">
      <c r="A72" s="108" t="s">
        <v>595</v>
      </c>
      <c r="B72" s="108" t="s">
        <v>209</v>
      </c>
      <c r="C72" s="106">
        <v>140238</v>
      </c>
      <c r="D72" s="106">
        <v>0</v>
      </c>
      <c r="E72" s="106">
        <v>0</v>
      </c>
      <c r="F72" s="106">
        <v>0</v>
      </c>
      <c r="G72" s="106">
        <v>0</v>
      </c>
      <c r="H72" s="106">
        <v>140238</v>
      </c>
      <c r="I72" s="106">
        <v>-56175</v>
      </c>
      <c r="J72" s="106">
        <v>84063</v>
      </c>
      <c r="K72" s="106">
        <v>0</v>
      </c>
      <c r="L72" s="106">
        <v>0</v>
      </c>
      <c r="M72" s="106">
        <v>0</v>
      </c>
      <c r="N72" s="106">
        <v>84063</v>
      </c>
    </row>
    <row r="73" spans="1:14" outlineLevel="2" x14ac:dyDescent="0.35">
      <c r="A73" s="108" t="s">
        <v>595</v>
      </c>
      <c r="B73" s="108" t="s">
        <v>208</v>
      </c>
      <c r="C73" s="106">
        <v>1401071</v>
      </c>
      <c r="D73" s="106">
        <v>-34979</v>
      </c>
      <c r="E73" s="106">
        <v>0</v>
      </c>
      <c r="F73" s="106">
        <v>0</v>
      </c>
      <c r="G73" s="106">
        <v>0</v>
      </c>
      <c r="H73" s="106">
        <v>1366092</v>
      </c>
      <c r="I73" s="106">
        <v>-680526</v>
      </c>
      <c r="J73" s="106">
        <v>685566</v>
      </c>
      <c r="K73" s="106">
        <v>0</v>
      </c>
      <c r="L73" s="106">
        <v>0</v>
      </c>
      <c r="M73" s="106">
        <v>0</v>
      </c>
      <c r="N73" s="106">
        <v>685566</v>
      </c>
    </row>
    <row r="74" spans="1:14" outlineLevel="2" x14ac:dyDescent="0.35">
      <c r="A74" s="108" t="s">
        <v>595</v>
      </c>
      <c r="B74" s="108" t="s">
        <v>206</v>
      </c>
      <c r="C74" s="106">
        <v>1285592</v>
      </c>
      <c r="D74" s="106">
        <v>-723</v>
      </c>
      <c r="E74" s="106">
        <v>0</v>
      </c>
      <c r="F74" s="106">
        <v>0</v>
      </c>
      <c r="G74" s="106">
        <v>0</v>
      </c>
      <c r="H74" s="106">
        <v>1284869</v>
      </c>
      <c r="I74" s="106">
        <v>-670698</v>
      </c>
      <c r="J74" s="106">
        <v>614171</v>
      </c>
      <c r="K74" s="106">
        <v>0</v>
      </c>
      <c r="L74" s="106">
        <v>0</v>
      </c>
      <c r="M74" s="106">
        <v>0</v>
      </c>
      <c r="N74" s="106">
        <v>614171</v>
      </c>
    </row>
    <row r="75" spans="1:14" outlineLevel="2" x14ac:dyDescent="0.35">
      <c r="A75" s="108" t="s">
        <v>595</v>
      </c>
      <c r="B75" s="108" t="s">
        <v>205</v>
      </c>
      <c r="C75" s="106">
        <v>1438239</v>
      </c>
      <c r="D75" s="106">
        <v>-55487</v>
      </c>
      <c r="E75" s="106">
        <v>0</v>
      </c>
      <c r="F75" s="106">
        <v>0</v>
      </c>
      <c r="G75" s="106">
        <v>0</v>
      </c>
      <c r="H75" s="106">
        <v>1382752</v>
      </c>
      <c r="I75" s="106">
        <v>-1354624</v>
      </c>
      <c r="J75" s="106">
        <v>28128</v>
      </c>
      <c r="K75" s="106">
        <v>0</v>
      </c>
      <c r="L75" s="106">
        <v>0</v>
      </c>
      <c r="M75" s="106">
        <v>0</v>
      </c>
      <c r="N75" s="106">
        <v>28128</v>
      </c>
    </row>
    <row r="76" spans="1:14" outlineLevel="2" x14ac:dyDescent="0.35">
      <c r="A76" s="108" t="s">
        <v>595</v>
      </c>
      <c r="B76" s="108" t="s">
        <v>204</v>
      </c>
      <c r="C76" s="106">
        <v>1583253</v>
      </c>
      <c r="D76" s="106">
        <v>-167</v>
      </c>
      <c r="E76" s="106">
        <v>0</v>
      </c>
      <c r="F76" s="106">
        <v>0</v>
      </c>
      <c r="G76" s="106">
        <v>0</v>
      </c>
      <c r="H76" s="106">
        <v>1583086</v>
      </c>
      <c r="I76" s="106">
        <v>-1583086</v>
      </c>
      <c r="J76" s="106">
        <v>0</v>
      </c>
      <c r="K76" s="106">
        <v>5161</v>
      </c>
      <c r="L76" s="106">
        <v>-4112</v>
      </c>
      <c r="M76" s="106">
        <v>1049</v>
      </c>
      <c r="N76" s="106">
        <v>-1049</v>
      </c>
    </row>
    <row r="77" spans="1:14" outlineLevel="2" x14ac:dyDescent="0.35">
      <c r="A77" s="108" t="s">
        <v>595</v>
      </c>
      <c r="B77" s="108" t="s">
        <v>203</v>
      </c>
      <c r="C77" s="106">
        <v>1729086</v>
      </c>
      <c r="D77" s="106">
        <v>-19305</v>
      </c>
      <c r="E77" s="106">
        <v>0</v>
      </c>
      <c r="F77" s="106">
        <v>0</v>
      </c>
      <c r="G77" s="106">
        <v>0</v>
      </c>
      <c r="H77" s="106">
        <v>1709781</v>
      </c>
      <c r="I77" s="106">
        <v>-1015426</v>
      </c>
      <c r="J77" s="106">
        <v>694355</v>
      </c>
      <c r="K77" s="106">
        <v>7</v>
      </c>
      <c r="L77" s="106">
        <v>-4</v>
      </c>
      <c r="M77" s="106">
        <v>3</v>
      </c>
      <c r="N77" s="106">
        <v>694352</v>
      </c>
    </row>
    <row r="78" spans="1:14" outlineLevel="2" x14ac:dyDescent="0.35">
      <c r="A78" s="108" t="s">
        <v>595</v>
      </c>
      <c r="B78" s="108" t="s">
        <v>202</v>
      </c>
      <c r="C78" s="106">
        <v>1564795</v>
      </c>
      <c r="D78" s="106">
        <v>-4394</v>
      </c>
      <c r="E78" s="106">
        <v>0</v>
      </c>
      <c r="F78" s="106">
        <v>0</v>
      </c>
      <c r="G78" s="106">
        <v>0</v>
      </c>
      <c r="H78" s="106">
        <v>1560401</v>
      </c>
      <c r="I78" s="106">
        <v>-1454516</v>
      </c>
      <c r="J78" s="106">
        <v>105885</v>
      </c>
      <c r="K78" s="106">
        <v>54327</v>
      </c>
      <c r="L78" s="106">
        <v>-52385</v>
      </c>
      <c r="M78" s="106">
        <v>1942</v>
      </c>
      <c r="N78" s="106">
        <v>103943</v>
      </c>
    </row>
    <row r="79" spans="1:14" outlineLevel="2" x14ac:dyDescent="0.35">
      <c r="A79" s="108" t="s">
        <v>595</v>
      </c>
      <c r="B79" s="108" t="s">
        <v>201</v>
      </c>
      <c r="C79" s="106">
        <v>1546207</v>
      </c>
      <c r="D79" s="106">
        <v>-16565</v>
      </c>
      <c r="E79" s="106">
        <v>0</v>
      </c>
      <c r="F79" s="106">
        <v>0</v>
      </c>
      <c r="G79" s="106">
        <v>0</v>
      </c>
      <c r="H79" s="106">
        <v>1529642</v>
      </c>
      <c r="I79" s="106">
        <v>-1448507</v>
      </c>
      <c r="J79" s="106">
        <v>81135</v>
      </c>
      <c r="K79" s="106">
        <v>0</v>
      </c>
      <c r="L79" s="106">
        <v>0</v>
      </c>
      <c r="M79" s="106">
        <v>0</v>
      </c>
      <c r="N79" s="106">
        <v>81135</v>
      </c>
    </row>
    <row r="80" spans="1:14" outlineLevel="2" x14ac:dyDescent="0.35">
      <c r="A80" s="108" t="s">
        <v>595</v>
      </c>
      <c r="B80" s="108" t="s">
        <v>200</v>
      </c>
      <c r="C80" s="106">
        <v>1667873</v>
      </c>
      <c r="D80" s="106">
        <v>-4059</v>
      </c>
      <c r="E80" s="106">
        <v>0</v>
      </c>
      <c r="F80" s="106">
        <v>0</v>
      </c>
      <c r="G80" s="106">
        <v>0</v>
      </c>
      <c r="H80" s="106">
        <v>1663814</v>
      </c>
      <c r="I80" s="106">
        <v>-1663814</v>
      </c>
      <c r="J80" s="106">
        <v>0</v>
      </c>
      <c r="K80" s="106">
        <v>1097</v>
      </c>
      <c r="L80" s="106">
        <v>-1097</v>
      </c>
      <c r="M80" s="106">
        <v>0</v>
      </c>
      <c r="N80" s="106">
        <v>0</v>
      </c>
    </row>
    <row r="81" spans="1:14" outlineLevel="2" x14ac:dyDescent="0.35">
      <c r="A81" s="108" t="s">
        <v>595</v>
      </c>
      <c r="B81" s="108" t="s">
        <v>199</v>
      </c>
      <c r="C81" s="106">
        <v>2009966</v>
      </c>
      <c r="D81" s="106">
        <v>-1881</v>
      </c>
      <c r="E81" s="106">
        <v>0</v>
      </c>
      <c r="F81" s="106">
        <v>0</v>
      </c>
      <c r="G81" s="106">
        <v>0</v>
      </c>
      <c r="H81" s="106">
        <v>2008085</v>
      </c>
      <c r="I81" s="106">
        <v>-2008085</v>
      </c>
      <c r="J81" s="106">
        <v>0</v>
      </c>
      <c r="K81" s="106">
        <v>0</v>
      </c>
      <c r="L81" s="106">
        <v>0</v>
      </c>
      <c r="M81" s="106">
        <v>0</v>
      </c>
      <c r="N81" s="106">
        <v>0</v>
      </c>
    </row>
    <row r="82" spans="1:14" outlineLevel="2" x14ac:dyDescent="0.35">
      <c r="A82" s="108" t="s">
        <v>595</v>
      </c>
      <c r="B82" s="108" t="s">
        <v>198</v>
      </c>
      <c r="C82" s="106">
        <v>15022</v>
      </c>
      <c r="D82" s="106">
        <v>0</v>
      </c>
      <c r="E82" s="106">
        <v>0</v>
      </c>
      <c r="F82" s="106">
        <v>0</v>
      </c>
      <c r="G82" s="106">
        <v>0</v>
      </c>
      <c r="H82" s="106">
        <v>15022</v>
      </c>
      <c r="I82" s="106">
        <v>-15022</v>
      </c>
      <c r="J82" s="106">
        <v>0</v>
      </c>
      <c r="K82" s="106">
        <v>0</v>
      </c>
      <c r="L82" s="106">
        <v>0</v>
      </c>
      <c r="M82" s="106">
        <v>0</v>
      </c>
      <c r="N82" s="106">
        <v>0</v>
      </c>
    </row>
    <row r="83" spans="1:14" outlineLevel="1" x14ac:dyDescent="0.35">
      <c r="A83" s="108" t="s">
        <v>595</v>
      </c>
      <c r="B83" s="108" t="s">
        <v>197</v>
      </c>
      <c r="C83" s="106">
        <v>2849</v>
      </c>
      <c r="D83" s="106">
        <v>0</v>
      </c>
      <c r="E83" s="106">
        <v>0</v>
      </c>
      <c r="F83" s="106">
        <v>0</v>
      </c>
      <c r="G83" s="106">
        <v>0</v>
      </c>
      <c r="H83" s="106">
        <v>2849</v>
      </c>
      <c r="I83" s="106">
        <v>-2849</v>
      </c>
      <c r="J83" s="106">
        <v>0</v>
      </c>
      <c r="K83" s="106">
        <v>0</v>
      </c>
      <c r="L83" s="106">
        <v>0</v>
      </c>
      <c r="M83" s="106">
        <v>0</v>
      </c>
      <c r="N83" s="106">
        <v>0</v>
      </c>
    </row>
    <row r="84" spans="1:14" ht="15.65" customHeight="1" outlineLevel="1" x14ac:dyDescent="0.35">
      <c r="A84" s="108" t="s">
        <v>595</v>
      </c>
      <c r="B84" s="108" t="s">
        <v>196</v>
      </c>
      <c r="C84" s="106">
        <v>4834</v>
      </c>
      <c r="D84" s="106">
        <v>0</v>
      </c>
      <c r="E84" s="106">
        <v>0</v>
      </c>
      <c r="F84" s="106">
        <v>0</v>
      </c>
      <c r="G84" s="106">
        <v>0</v>
      </c>
      <c r="H84" s="106">
        <v>4834</v>
      </c>
      <c r="I84" s="106">
        <v>-4834</v>
      </c>
      <c r="J84" s="106">
        <v>0</v>
      </c>
      <c r="K84" s="106">
        <v>0</v>
      </c>
      <c r="L84" s="106">
        <v>0</v>
      </c>
      <c r="M84" s="106">
        <v>0</v>
      </c>
      <c r="N84" s="106">
        <v>0</v>
      </c>
    </row>
    <row r="85" spans="1:14" ht="15" customHeight="1" outlineLevel="1" x14ac:dyDescent="0.35">
      <c r="A85" s="108" t="s">
        <v>595</v>
      </c>
      <c r="B85" s="108" t="s">
        <v>195</v>
      </c>
      <c r="C85" s="106">
        <v>2942</v>
      </c>
      <c r="D85" s="106">
        <v>0</v>
      </c>
      <c r="E85" s="106">
        <v>0</v>
      </c>
      <c r="F85" s="106">
        <v>0</v>
      </c>
      <c r="G85" s="106">
        <v>0</v>
      </c>
      <c r="H85" s="106">
        <v>2942</v>
      </c>
      <c r="I85" s="106">
        <v>-2942</v>
      </c>
      <c r="J85" s="106">
        <v>0</v>
      </c>
      <c r="K85" s="106">
        <v>0</v>
      </c>
      <c r="L85" s="106">
        <v>0</v>
      </c>
      <c r="M85" s="106">
        <v>0</v>
      </c>
      <c r="N85" s="106">
        <v>0</v>
      </c>
    </row>
    <row r="86" spans="1:14" outlineLevel="2" x14ac:dyDescent="0.35">
      <c r="A86" s="108" t="s">
        <v>595</v>
      </c>
      <c r="B86" s="108" t="s">
        <v>194</v>
      </c>
      <c r="C86" s="106">
        <v>3018</v>
      </c>
      <c r="D86" s="106">
        <v>0</v>
      </c>
      <c r="E86" s="106">
        <v>0</v>
      </c>
      <c r="F86" s="106">
        <v>0</v>
      </c>
      <c r="G86" s="106">
        <v>0</v>
      </c>
      <c r="H86" s="106">
        <v>3018</v>
      </c>
      <c r="I86" s="106">
        <v>-3018</v>
      </c>
      <c r="J86" s="106">
        <v>0</v>
      </c>
      <c r="K86" s="106">
        <v>0</v>
      </c>
      <c r="L86" s="106">
        <v>0</v>
      </c>
      <c r="M86" s="106">
        <v>0</v>
      </c>
      <c r="N86" s="106">
        <v>0</v>
      </c>
    </row>
    <row r="87" spans="1:14" ht="16" outlineLevel="2" thickBot="1" x14ac:dyDescent="0.4">
      <c r="A87" s="105" t="s">
        <v>474</v>
      </c>
      <c r="B87" s="79" t="s">
        <v>12</v>
      </c>
      <c r="C87" s="103">
        <f>SUBTOTAL(109,Program250[(C)
Program
Costs])</f>
        <v>14708727</v>
      </c>
      <c r="D87" s="103">
        <f>SUBTOTAL(109,Program250[(D)
Prior Period Adjustments])</f>
        <v>-138780</v>
      </c>
      <c r="E87" s="103">
        <f>SUBTOTAL(109,Program250[(E)
Current Period Desk 
Reviews])</f>
        <v>0</v>
      </c>
      <c r="F87" s="103">
        <f>SUBTOTAL(109,Program250[(F)
Current Period 
Final 
Audits])</f>
        <v>0</v>
      </c>
      <c r="G87" s="103">
        <f>SUBTOTAL(109,Program250[(G)
Current Period 
Other Adjustments])</f>
        <v>0</v>
      </c>
      <c r="H87" s="103">
        <f>SUBTOTAL(109,Program250[(H)
Net Program Costs
Sum (C through G)])</f>
        <v>14569947</v>
      </c>
      <c r="I87" s="103">
        <f>SUBTOTAL(109,Program250[(I)
Payments
 and Offsets])</f>
        <v>-11985303</v>
      </c>
      <c r="J87" s="103">
        <f>SUBTOTAL(109,Program250[(J)
Accounts Payable Balance
(H + I)])</f>
        <v>2584644</v>
      </c>
      <c r="K87" s="103">
        <f>SUBTOTAL(109,Program250[(K)
Established 
Accounts Receivable])</f>
        <v>60592</v>
      </c>
      <c r="L87" s="103">
        <f>SUBTOTAL(109,Program250[(L)
Recovered
 Accounts Receivable])</f>
        <v>-57598</v>
      </c>
      <c r="M87" s="103">
        <f>SUBTOTAL(109,Program250[(M)
Accounts Receivable Balance
(K + L)])</f>
        <v>2994</v>
      </c>
      <c r="N87" s="103">
        <f>SUBTOTAL(109,Program250[(N)
Net Balance
(J minus M)])</f>
        <v>2581650</v>
      </c>
    </row>
    <row r="88" spans="1:14" outlineLevel="2" x14ac:dyDescent="0.35">
      <c r="A88" s="116" t="s">
        <v>33</v>
      </c>
      <c r="B88" s="115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</row>
    <row r="89" spans="1:14" ht="77.5" outlineLevel="2" x14ac:dyDescent="0.35">
      <c r="A89" s="60" t="s">
        <v>185</v>
      </c>
      <c r="B89" s="59" t="s">
        <v>184</v>
      </c>
      <c r="C89" s="58" t="s">
        <v>183</v>
      </c>
      <c r="D89" s="58" t="s">
        <v>182</v>
      </c>
      <c r="E89" s="56" t="s">
        <v>181</v>
      </c>
      <c r="F89" s="56" t="s">
        <v>180</v>
      </c>
      <c r="G89" s="56" t="s">
        <v>179</v>
      </c>
      <c r="H89" s="57" t="s">
        <v>674</v>
      </c>
      <c r="I89" s="55" t="s">
        <v>178</v>
      </c>
      <c r="J89" s="55" t="s">
        <v>177</v>
      </c>
      <c r="K89" s="56" t="s">
        <v>176</v>
      </c>
      <c r="L89" s="55" t="s">
        <v>175</v>
      </c>
      <c r="M89" s="55" t="s">
        <v>174</v>
      </c>
      <c r="N89" s="54" t="s">
        <v>173</v>
      </c>
    </row>
    <row r="90" spans="1:14" ht="31" outlineLevel="2" x14ac:dyDescent="0.35">
      <c r="A90" s="77" t="s">
        <v>594</v>
      </c>
      <c r="B90" s="108" t="s">
        <v>200</v>
      </c>
      <c r="C90" s="106">
        <v>37551</v>
      </c>
      <c r="D90" s="106">
        <v>-1728</v>
      </c>
      <c r="E90" s="106">
        <v>0</v>
      </c>
      <c r="F90" s="106">
        <v>0</v>
      </c>
      <c r="G90" s="106">
        <v>0</v>
      </c>
      <c r="H90" s="106">
        <v>35823</v>
      </c>
      <c r="I90" s="106">
        <v>-35823</v>
      </c>
      <c r="J90" s="106">
        <v>0</v>
      </c>
      <c r="K90" s="106">
        <v>1728</v>
      </c>
      <c r="L90" s="106">
        <v>0</v>
      </c>
      <c r="M90" s="106">
        <v>1728</v>
      </c>
      <c r="N90" s="106">
        <v>-1728</v>
      </c>
    </row>
    <row r="91" spans="1:14" ht="31" outlineLevel="2" x14ac:dyDescent="0.35">
      <c r="A91" s="77" t="s">
        <v>594</v>
      </c>
      <c r="B91" s="108" t="s">
        <v>199</v>
      </c>
      <c r="C91" s="106">
        <v>101209</v>
      </c>
      <c r="D91" s="106">
        <v>0</v>
      </c>
      <c r="E91" s="106">
        <v>0</v>
      </c>
      <c r="F91" s="106">
        <v>0</v>
      </c>
      <c r="G91" s="106">
        <v>0</v>
      </c>
      <c r="H91" s="106">
        <v>101209</v>
      </c>
      <c r="I91" s="106">
        <v>-101209</v>
      </c>
      <c r="J91" s="106">
        <v>0</v>
      </c>
      <c r="K91" s="106">
        <v>0</v>
      </c>
      <c r="L91" s="106">
        <v>0</v>
      </c>
      <c r="M91" s="106">
        <v>0</v>
      </c>
      <c r="N91" s="106">
        <v>0</v>
      </c>
    </row>
    <row r="92" spans="1:14" ht="31" outlineLevel="2" x14ac:dyDescent="0.35">
      <c r="A92" s="77" t="s">
        <v>594</v>
      </c>
      <c r="B92" s="108" t="s">
        <v>198</v>
      </c>
      <c r="C92" s="106">
        <v>111706</v>
      </c>
      <c r="D92" s="106">
        <v>0</v>
      </c>
      <c r="E92" s="106">
        <v>0</v>
      </c>
      <c r="F92" s="106">
        <v>0</v>
      </c>
      <c r="G92" s="106">
        <v>0</v>
      </c>
      <c r="H92" s="106">
        <v>111706</v>
      </c>
      <c r="I92" s="106">
        <v>-111706</v>
      </c>
      <c r="J92" s="106">
        <v>0</v>
      </c>
      <c r="K92" s="106">
        <v>0</v>
      </c>
      <c r="L92" s="106">
        <v>0</v>
      </c>
      <c r="M92" s="106">
        <v>0</v>
      </c>
      <c r="N92" s="106">
        <v>0</v>
      </c>
    </row>
    <row r="93" spans="1:14" ht="31" outlineLevel="2" x14ac:dyDescent="0.35">
      <c r="A93" s="77" t="s">
        <v>594</v>
      </c>
      <c r="B93" s="108" t="s">
        <v>197</v>
      </c>
      <c r="C93" s="106">
        <v>193848</v>
      </c>
      <c r="D93" s="106">
        <v>-1402</v>
      </c>
      <c r="E93" s="106">
        <v>0</v>
      </c>
      <c r="F93" s="106">
        <v>0</v>
      </c>
      <c r="G93" s="106">
        <v>0</v>
      </c>
      <c r="H93" s="106">
        <v>192446</v>
      </c>
      <c r="I93" s="106">
        <v>-192446</v>
      </c>
      <c r="J93" s="106">
        <v>0</v>
      </c>
      <c r="K93" s="106">
        <v>21615</v>
      </c>
      <c r="L93" s="106">
        <v>-21615</v>
      </c>
      <c r="M93" s="106">
        <v>0</v>
      </c>
      <c r="N93" s="106">
        <v>0</v>
      </c>
    </row>
    <row r="94" spans="1:14" ht="31" outlineLevel="1" x14ac:dyDescent="0.35">
      <c r="A94" s="77" t="s">
        <v>594</v>
      </c>
      <c r="B94" s="108" t="s">
        <v>196</v>
      </c>
      <c r="C94" s="106">
        <v>389183</v>
      </c>
      <c r="D94" s="106">
        <v>-23388</v>
      </c>
      <c r="E94" s="106">
        <v>0</v>
      </c>
      <c r="F94" s="106">
        <v>0</v>
      </c>
      <c r="G94" s="106">
        <v>0</v>
      </c>
      <c r="H94" s="106">
        <v>365795</v>
      </c>
      <c r="I94" s="106">
        <v>-365795</v>
      </c>
      <c r="J94" s="106">
        <v>0</v>
      </c>
      <c r="K94" s="106">
        <v>57790</v>
      </c>
      <c r="L94" s="106">
        <v>-57790</v>
      </c>
      <c r="M94" s="106">
        <v>0</v>
      </c>
      <c r="N94" s="106">
        <v>0</v>
      </c>
    </row>
    <row r="95" spans="1:14" ht="30" customHeight="1" outlineLevel="1" x14ac:dyDescent="0.35">
      <c r="A95" s="77" t="s">
        <v>594</v>
      </c>
      <c r="B95" s="108" t="s">
        <v>195</v>
      </c>
      <c r="C95" s="106">
        <v>395245</v>
      </c>
      <c r="D95" s="106">
        <v>-2724</v>
      </c>
      <c r="E95" s="106">
        <v>0</v>
      </c>
      <c r="F95" s="106">
        <v>0</v>
      </c>
      <c r="G95" s="106">
        <v>0</v>
      </c>
      <c r="H95" s="106">
        <v>392521</v>
      </c>
      <c r="I95" s="106">
        <v>-392521</v>
      </c>
      <c r="J95" s="106">
        <v>0</v>
      </c>
      <c r="K95" s="106">
        <v>0</v>
      </c>
      <c r="L95" s="106">
        <v>0</v>
      </c>
      <c r="M95" s="106">
        <v>0</v>
      </c>
      <c r="N95" s="106">
        <v>0</v>
      </c>
    </row>
    <row r="96" spans="1:14" ht="30" customHeight="1" outlineLevel="1" x14ac:dyDescent="0.35">
      <c r="A96" s="77" t="s">
        <v>594</v>
      </c>
      <c r="B96" s="108" t="s">
        <v>194</v>
      </c>
      <c r="C96" s="106">
        <v>321588</v>
      </c>
      <c r="D96" s="106">
        <v>-1240</v>
      </c>
      <c r="E96" s="106">
        <v>0</v>
      </c>
      <c r="F96" s="106">
        <v>0</v>
      </c>
      <c r="G96" s="106">
        <v>0</v>
      </c>
      <c r="H96" s="106">
        <v>320348</v>
      </c>
      <c r="I96" s="106">
        <v>-320348</v>
      </c>
      <c r="J96" s="106">
        <v>0</v>
      </c>
      <c r="K96" s="106">
        <v>0</v>
      </c>
      <c r="L96" s="106">
        <v>0</v>
      </c>
      <c r="M96" s="106">
        <v>0</v>
      </c>
      <c r="N96" s="106">
        <v>0</v>
      </c>
    </row>
    <row r="97" spans="1:14" ht="31" outlineLevel="2" x14ac:dyDescent="0.35">
      <c r="A97" s="77" t="s">
        <v>594</v>
      </c>
      <c r="B97" s="108" t="s">
        <v>193</v>
      </c>
      <c r="C97" s="106">
        <v>153404</v>
      </c>
      <c r="D97" s="106">
        <v>-55</v>
      </c>
      <c r="E97" s="106">
        <v>0</v>
      </c>
      <c r="F97" s="106">
        <v>0</v>
      </c>
      <c r="G97" s="106">
        <v>0</v>
      </c>
      <c r="H97" s="106">
        <v>153349</v>
      </c>
      <c r="I97" s="106">
        <v>-153349</v>
      </c>
      <c r="J97" s="106">
        <v>0</v>
      </c>
      <c r="K97" s="106">
        <v>0</v>
      </c>
      <c r="L97" s="106">
        <v>0</v>
      </c>
      <c r="M97" s="106">
        <v>0</v>
      </c>
      <c r="N97" s="106">
        <v>0</v>
      </c>
    </row>
    <row r="98" spans="1:14" ht="31" outlineLevel="2" x14ac:dyDescent="0.35">
      <c r="A98" s="77" t="s">
        <v>594</v>
      </c>
      <c r="B98" s="108" t="s">
        <v>192</v>
      </c>
      <c r="C98" s="106">
        <v>79301</v>
      </c>
      <c r="D98" s="106">
        <v>0</v>
      </c>
      <c r="E98" s="106">
        <v>0</v>
      </c>
      <c r="F98" s="106">
        <v>0</v>
      </c>
      <c r="G98" s="106">
        <v>0</v>
      </c>
      <c r="H98" s="106">
        <v>79301</v>
      </c>
      <c r="I98" s="106">
        <v>-79301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</row>
    <row r="99" spans="1:14" ht="16" outlineLevel="2" thickBot="1" x14ac:dyDescent="0.4">
      <c r="A99" s="105" t="s">
        <v>473</v>
      </c>
      <c r="B99" s="79" t="s">
        <v>12</v>
      </c>
      <c r="C99" s="103">
        <f>SUBTOTAL(109,Program179[(C)
Program
Costs])</f>
        <v>1783035</v>
      </c>
      <c r="D99" s="103">
        <f>SUBTOTAL(109,Program179[(D)
Prior Period Adjustments])</f>
        <v>-30537</v>
      </c>
      <c r="E99" s="103">
        <f>SUBTOTAL(109,Program179[(E)
Current Period Desk 
Reviews])</f>
        <v>0</v>
      </c>
      <c r="F99" s="103">
        <f>SUBTOTAL(109,Program179[(F)
Current Period 
Final 
Audits])</f>
        <v>0</v>
      </c>
      <c r="G99" s="103">
        <f>SUBTOTAL(109,Program179[(G)
Current Period 
Other Adjustments])</f>
        <v>0</v>
      </c>
      <c r="H99" s="103">
        <f>SUBTOTAL(109,Program179[(H)
Net Program Costs
Sum (C through G)])</f>
        <v>1752498</v>
      </c>
      <c r="I99" s="103">
        <f>SUBTOTAL(109,Program179[(I)
Payments
 and Offsets])</f>
        <v>-1752498</v>
      </c>
      <c r="J99" s="103">
        <f>SUBTOTAL(109,Program179[(J)
Accounts Payable Balance
(H + I)])</f>
        <v>0</v>
      </c>
      <c r="K99" s="103">
        <f>SUBTOTAL(109,Program179[(K)
Established 
Accounts Receivable])</f>
        <v>81133</v>
      </c>
      <c r="L99" s="103">
        <f>SUBTOTAL(109,Program179[(L)
Recovered
 Accounts Receivable])</f>
        <v>-79405</v>
      </c>
      <c r="M99" s="103">
        <f>SUBTOTAL(109,Program179[(M)
Accounts Receivable Balance
(K + L)])</f>
        <v>1728</v>
      </c>
      <c r="N99" s="103">
        <f>SUBTOTAL(109,Program179[(N)
Net Balance
(J minus M)])</f>
        <v>-1728</v>
      </c>
    </row>
    <row r="100" spans="1:14" outlineLevel="2" x14ac:dyDescent="0.35">
      <c r="A100" s="116" t="s">
        <v>33</v>
      </c>
      <c r="B100" s="115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</row>
    <row r="101" spans="1:14" ht="77.5" outlineLevel="2" x14ac:dyDescent="0.35">
      <c r="A101" s="60" t="s">
        <v>185</v>
      </c>
      <c r="B101" s="59" t="s">
        <v>184</v>
      </c>
      <c r="C101" s="58" t="s">
        <v>183</v>
      </c>
      <c r="D101" s="58" t="s">
        <v>182</v>
      </c>
      <c r="E101" s="56" t="s">
        <v>181</v>
      </c>
      <c r="F101" s="56" t="s">
        <v>180</v>
      </c>
      <c r="G101" s="56" t="s">
        <v>179</v>
      </c>
      <c r="H101" s="57" t="s">
        <v>674</v>
      </c>
      <c r="I101" s="55" t="s">
        <v>178</v>
      </c>
      <c r="J101" s="55" t="s">
        <v>177</v>
      </c>
      <c r="K101" s="56" t="s">
        <v>176</v>
      </c>
      <c r="L101" s="55" t="s">
        <v>175</v>
      </c>
      <c r="M101" s="55" t="s">
        <v>174</v>
      </c>
      <c r="N101" s="54" t="s">
        <v>173</v>
      </c>
    </row>
    <row r="102" spans="1:14" outlineLevel="2" x14ac:dyDescent="0.35">
      <c r="A102" s="108" t="s">
        <v>593</v>
      </c>
      <c r="B102" s="108" t="s">
        <v>195</v>
      </c>
      <c r="C102" s="106">
        <v>0</v>
      </c>
      <c r="D102" s="106">
        <v>0</v>
      </c>
      <c r="E102" s="106">
        <v>0</v>
      </c>
      <c r="F102" s="106">
        <v>0</v>
      </c>
      <c r="G102" s="106">
        <v>0</v>
      </c>
      <c r="H102" s="106">
        <v>0</v>
      </c>
      <c r="I102" s="106">
        <v>0</v>
      </c>
      <c r="J102" s="106">
        <v>0</v>
      </c>
      <c r="K102" s="106">
        <v>452</v>
      </c>
      <c r="L102" s="106">
        <v>-452</v>
      </c>
      <c r="M102" s="106">
        <v>0</v>
      </c>
      <c r="N102" s="106">
        <v>0</v>
      </c>
    </row>
    <row r="103" spans="1:14" outlineLevel="2" x14ac:dyDescent="0.35">
      <c r="A103" s="108" t="s">
        <v>593</v>
      </c>
      <c r="B103" s="108" t="s">
        <v>194</v>
      </c>
      <c r="C103" s="106">
        <v>3680683</v>
      </c>
      <c r="D103" s="106">
        <v>-550155</v>
      </c>
      <c r="E103" s="106">
        <v>0</v>
      </c>
      <c r="F103" s="106">
        <v>0</v>
      </c>
      <c r="G103" s="106">
        <v>0</v>
      </c>
      <c r="H103" s="106">
        <v>3130528</v>
      </c>
      <c r="I103" s="106">
        <v>-3130528</v>
      </c>
      <c r="J103" s="106">
        <v>0</v>
      </c>
      <c r="K103" s="106">
        <v>168667</v>
      </c>
      <c r="L103" s="106">
        <v>-168667</v>
      </c>
      <c r="M103" s="106">
        <v>0</v>
      </c>
      <c r="N103" s="106">
        <v>0</v>
      </c>
    </row>
    <row r="104" spans="1:14" outlineLevel="1" x14ac:dyDescent="0.35">
      <c r="A104" s="108" t="s">
        <v>593</v>
      </c>
      <c r="B104" s="108" t="s">
        <v>193</v>
      </c>
      <c r="C104" s="106">
        <v>3546280</v>
      </c>
      <c r="D104" s="106">
        <v>-590294</v>
      </c>
      <c r="E104" s="106">
        <v>0</v>
      </c>
      <c r="F104" s="106">
        <v>0</v>
      </c>
      <c r="G104" s="106">
        <v>0</v>
      </c>
      <c r="H104" s="106">
        <v>2955986</v>
      </c>
      <c r="I104" s="106">
        <v>-2955986</v>
      </c>
      <c r="J104" s="106">
        <v>0</v>
      </c>
      <c r="K104" s="106">
        <v>43464</v>
      </c>
      <c r="L104" s="106">
        <v>-43464</v>
      </c>
      <c r="M104" s="106">
        <v>0</v>
      </c>
      <c r="N104" s="106">
        <v>0</v>
      </c>
    </row>
    <row r="105" spans="1:14" ht="15.65" customHeight="1" outlineLevel="1" x14ac:dyDescent="0.35">
      <c r="A105" s="108" t="s">
        <v>593</v>
      </c>
      <c r="B105" s="108" t="s">
        <v>192</v>
      </c>
      <c r="C105" s="106">
        <v>3076221</v>
      </c>
      <c r="D105" s="106">
        <v>-79754</v>
      </c>
      <c r="E105" s="106">
        <v>0</v>
      </c>
      <c r="F105" s="106">
        <v>0</v>
      </c>
      <c r="G105" s="106">
        <v>0</v>
      </c>
      <c r="H105" s="106">
        <v>2996467</v>
      </c>
      <c r="I105" s="106">
        <v>-2996467</v>
      </c>
      <c r="J105" s="106">
        <v>0</v>
      </c>
      <c r="K105" s="106">
        <v>10272</v>
      </c>
      <c r="L105" s="106">
        <v>-10272</v>
      </c>
      <c r="M105" s="106">
        <v>0</v>
      </c>
      <c r="N105" s="106">
        <v>0</v>
      </c>
    </row>
    <row r="106" spans="1:14" ht="15" customHeight="1" outlineLevel="1" x14ac:dyDescent="0.35">
      <c r="A106" s="108" t="s">
        <v>593</v>
      </c>
      <c r="B106" s="108" t="s">
        <v>191</v>
      </c>
      <c r="C106" s="106">
        <v>2904283</v>
      </c>
      <c r="D106" s="106">
        <v>-95601</v>
      </c>
      <c r="E106" s="106">
        <v>0</v>
      </c>
      <c r="F106" s="106">
        <v>0</v>
      </c>
      <c r="G106" s="106">
        <v>0</v>
      </c>
      <c r="H106" s="106">
        <v>2808682</v>
      </c>
      <c r="I106" s="106">
        <v>-2808682</v>
      </c>
      <c r="J106" s="106">
        <v>0</v>
      </c>
      <c r="K106" s="106">
        <v>8702</v>
      </c>
      <c r="L106" s="106">
        <v>-8702</v>
      </c>
      <c r="M106" s="106">
        <v>0</v>
      </c>
      <c r="N106" s="106">
        <v>0</v>
      </c>
    </row>
    <row r="107" spans="1:14" outlineLevel="2" x14ac:dyDescent="0.35">
      <c r="A107" s="108" t="s">
        <v>593</v>
      </c>
      <c r="B107" s="108" t="s">
        <v>190</v>
      </c>
      <c r="C107" s="106">
        <v>2757138</v>
      </c>
      <c r="D107" s="106">
        <v>-80755</v>
      </c>
      <c r="E107" s="106">
        <v>0</v>
      </c>
      <c r="F107" s="106">
        <v>0</v>
      </c>
      <c r="G107" s="106">
        <v>0</v>
      </c>
      <c r="H107" s="106">
        <v>2676383</v>
      </c>
      <c r="I107" s="106">
        <v>-2676383</v>
      </c>
      <c r="J107" s="106">
        <v>0</v>
      </c>
      <c r="K107" s="106">
        <v>10572</v>
      </c>
      <c r="L107" s="106">
        <v>-10572</v>
      </c>
      <c r="M107" s="106">
        <v>0</v>
      </c>
      <c r="N107" s="106">
        <v>0</v>
      </c>
    </row>
    <row r="108" spans="1:14" outlineLevel="2" x14ac:dyDescent="0.35">
      <c r="A108" s="108" t="s">
        <v>593</v>
      </c>
      <c r="B108" s="108" t="s">
        <v>189</v>
      </c>
      <c r="C108" s="106">
        <v>1154276</v>
      </c>
      <c r="D108" s="106">
        <v>-70302</v>
      </c>
      <c r="E108" s="106">
        <v>0</v>
      </c>
      <c r="F108" s="106">
        <v>0</v>
      </c>
      <c r="G108" s="106">
        <v>0</v>
      </c>
      <c r="H108" s="106">
        <v>1083974</v>
      </c>
      <c r="I108" s="106">
        <v>-1083974</v>
      </c>
      <c r="J108" s="106">
        <v>0</v>
      </c>
      <c r="K108" s="106">
        <v>6939</v>
      </c>
      <c r="L108" s="106">
        <v>-6939</v>
      </c>
      <c r="M108" s="106">
        <v>0</v>
      </c>
      <c r="N108" s="106">
        <v>0</v>
      </c>
    </row>
    <row r="109" spans="1:14" outlineLevel="2" x14ac:dyDescent="0.35">
      <c r="A109" s="108" t="s">
        <v>593</v>
      </c>
      <c r="B109" s="108" t="s">
        <v>188</v>
      </c>
      <c r="C109" s="106">
        <v>54770</v>
      </c>
      <c r="D109" s="106">
        <v>-16445</v>
      </c>
      <c r="E109" s="106">
        <v>0</v>
      </c>
      <c r="F109" s="106">
        <v>0</v>
      </c>
      <c r="G109" s="106">
        <v>0</v>
      </c>
      <c r="H109" s="106">
        <v>38325</v>
      </c>
      <c r="I109" s="106">
        <v>-38325</v>
      </c>
      <c r="J109" s="106">
        <v>0</v>
      </c>
      <c r="K109" s="106">
        <v>420</v>
      </c>
      <c r="L109" s="106">
        <v>-420</v>
      </c>
      <c r="M109" s="106">
        <v>0</v>
      </c>
      <c r="N109" s="106">
        <v>0</v>
      </c>
    </row>
    <row r="110" spans="1:14" ht="16" outlineLevel="1" thickBot="1" x14ac:dyDescent="0.4">
      <c r="A110" s="105" t="s">
        <v>472</v>
      </c>
      <c r="B110" s="79" t="s">
        <v>12</v>
      </c>
      <c r="C110" s="103">
        <f>SUBTOTAL(109,Program145[(C)
Program
Costs])</f>
        <v>17173651</v>
      </c>
      <c r="D110" s="103">
        <f>SUBTOTAL(109,Program145[(D)
Prior Period Adjustments])</f>
        <v>-1483306</v>
      </c>
      <c r="E110" s="103">
        <f>SUBTOTAL(109,Program145[(E)
Current Period Desk 
Reviews])</f>
        <v>0</v>
      </c>
      <c r="F110" s="103">
        <f>SUBTOTAL(109,Program145[(F)
Current Period 
Final 
Audits])</f>
        <v>0</v>
      </c>
      <c r="G110" s="103">
        <f>SUBTOTAL(109,Program145[(G)
Current Period 
Other Adjustments])</f>
        <v>0</v>
      </c>
      <c r="H110" s="103">
        <f>SUBTOTAL(109,Program145[(H)
Net Program Costs
Sum (C through G)])</f>
        <v>15690345</v>
      </c>
      <c r="I110" s="103">
        <f>SUBTOTAL(109,Program145[(I)
Payments
 and Offsets])</f>
        <v>-15690345</v>
      </c>
      <c r="J110" s="103">
        <f>SUBTOTAL(109,Program145[(J)
Accounts Payable Balance
(H + I)])</f>
        <v>0</v>
      </c>
      <c r="K110" s="103">
        <f>SUBTOTAL(109,Program145[(K)
Established 
Accounts Receivable])</f>
        <v>249488</v>
      </c>
      <c r="L110" s="103">
        <f>SUBTOTAL(109,Program145[(L)
Recovered
 Accounts Receivable])</f>
        <v>-249488</v>
      </c>
      <c r="M110" s="103">
        <f>SUBTOTAL(109,Program145[(M)
Accounts Receivable Balance
(K + L)])</f>
        <v>0</v>
      </c>
      <c r="N110" s="103">
        <f>SUBTOTAL(109,Program145[(N)
Net Balance
(J minus M)])</f>
        <v>0</v>
      </c>
    </row>
    <row r="111" spans="1:14" ht="15.65" customHeight="1" outlineLevel="1" x14ac:dyDescent="0.35">
      <c r="A111" s="116" t="s">
        <v>33</v>
      </c>
      <c r="B111" s="115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</row>
    <row r="112" spans="1:14" ht="78.75" customHeight="1" outlineLevel="1" x14ac:dyDescent="0.35">
      <c r="A112" s="60" t="s">
        <v>185</v>
      </c>
      <c r="B112" s="59" t="s">
        <v>184</v>
      </c>
      <c r="C112" s="58" t="s">
        <v>183</v>
      </c>
      <c r="D112" s="58" t="s">
        <v>182</v>
      </c>
      <c r="E112" s="56" t="s">
        <v>181</v>
      </c>
      <c r="F112" s="56" t="s">
        <v>180</v>
      </c>
      <c r="G112" s="56" t="s">
        <v>179</v>
      </c>
      <c r="H112" s="57" t="s">
        <v>674</v>
      </c>
      <c r="I112" s="55" t="s">
        <v>178</v>
      </c>
      <c r="J112" s="55" t="s">
        <v>177</v>
      </c>
      <c r="K112" s="56" t="s">
        <v>176</v>
      </c>
      <c r="L112" s="55" t="s">
        <v>175</v>
      </c>
      <c r="M112" s="55" t="s">
        <v>174</v>
      </c>
      <c r="N112" s="54" t="s">
        <v>173</v>
      </c>
    </row>
    <row r="113" spans="1:14" outlineLevel="2" x14ac:dyDescent="0.35">
      <c r="A113" s="108" t="s">
        <v>592</v>
      </c>
      <c r="B113" s="108" t="s">
        <v>196</v>
      </c>
      <c r="C113" s="106">
        <v>5328341</v>
      </c>
      <c r="D113" s="106">
        <v>1015455</v>
      </c>
      <c r="E113" s="106">
        <v>0</v>
      </c>
      <c r="F113" s="106">
        <v>0</v>
      </c>
      <c r="G113" s="106">
        <v>0</v>
      </c>
      <c r="H113" s="106">
        <v>6343796</v>
      </c>
      <c r="I113" s="106">
        <v>-6343796</v>
      </c>
      <c r="J113" s="106">
        <v>0</v>
      </c>
      <c r="K113" s="106">
        <v>152726</v>
      </c>
      <c r="L113" s="106">
        <v>-152726</v>
      </c>
      <c r="M113" s="106">
        <v>0</v>
      </c>
      <c r="N113" s="106">
        <v>0</v>
      </c>
    </row>
    <row r="114" spans="1:14" outlineLevel="2" x14ac:dyDescent="0.35">
      <c r="A114" s="108" t="s">
        <v>592</v>
      </c>
      <c r="B114" s="108" t="s">
        <v>195</v>
      </c>
      <c r="C114" s="106">
        <v>5159059</v>
      </c>
      <c r="D114" s="106">
        <v>-31581</v>
      </c>
      <c r="E114" s="106">
        <v>0</v>
      </c>
      <c r="F114" s="106">
        <v>0</v>
      </c>
      <c r="G114" s="106">
        <v>0</v>
      </c>
      <c r="H114" s="106">
        <v>5127478</v>
      </c>
      <c r="I114" s="106">
        <v>-5127478</v>
      </c>
      <c r="J114" s="106">
        <v>0</v>
      </c>
      <c r="K114" s="106">
        <v>40993</v>
      </c>
      <c r="L114" s="106">
        <v>-40993</v>
      </c>
      <c r="M114" s="106">
        <v>0</v>
      </c>
      <c r="N114" s="106">
        <v>0</v>
      </c>
    </row>
    <row r="115" spans="1:14" outlineLevel="2" x14ac:dyDescent="0.35">
      <c r="A115" s="108" t="s">
        <v>592</v>
      </c>
      <c r="B115" s="108" t="s">
        <v>194</v>
      </c>
      <c r="C115" s="106">
        <v>3879423</v>
      </c>
      <c r="D115" s="106">
        <v>-2791447</v>
      </c>
      <c r="E115" s="106">
        <v>0</v>
      </c>
      <c r="F115" s="106">
        <v>0</v>
      </c>
      <c r="G115" s="106">
        <v>0</v>
      </c>
      <c r="H115" s="106">
        <v>1087976</v>
      </c>
      <c r="I115" s="106">
        <v>-1087976</v>
      </c>
      <c r="J115" s="106">
        <v>0</v>
      </c>
      <c r="K115" s="106">
        <v>699336</v>
      </c>
      <c r="L115" s="106">
        <v>-699336</v>
      </c>
      <c r="M115" s="106">
        <v>0</v>
      </c>
      <c r="N115" s="106">
        <v>0</v>
      </c>
    </row>
    <row r="116" spans="1:14" outlineLevel="2" x14ac:dyDescent="0.35">
      <c r="A116" s="108" t="s">
        <v>592</v>
      </c>
      <c r="B116" s="108" t="s">
        <v>193</v>
      </c>
      <c r="C116" s="106">
        <v>3112275</v>
      </c>
      <c r="D116" s="106">
        <v>-2599493</v>
      </c>
      <c r="E116" s="106">
        <v>0</v>
      </c>
      <c r="F116" s="106">
        <v>0</v>
      </c>
      <c r="G116" s="106">
        <v>0</v>
      </c>
      <c r="H116" s="106">
        <v>512782</v>
      </c>
      <c r="I116" s="106">
        <v>-512782</v>
      </c>
      <c r="J116" s="106">
        <v>0</v>
      </c>
      <c r="K116" s="106">
        <v>586851</v>
      </c>
      <c r="L116" s="106">
        <v>-586851</v>
      </c>
      <c r="M116" s="106">
        <v>0</v>
      </c>
      <c r="N116" s="106">
        <v>0</v>
      </c>
    </row>
    <row r="117" spans="1:14" ht="16" outlineLevel="2" thickBot="1" x14ac:dyDescent="0.4">
      <c r="A117" s="105" t="s">
        <v>471</v>
      </c>
      <c r="B117" s="79" t="s">
        <v>12</v>
      </c>
      <c r="C117" s="103">
        <f>SUBTOTAL(109,Program189[(C)
Program
Costs])</f>
        <v>17479098</v>
      </c>
      <c r="D117" s="103">
        <f>SUBTOTAL(109,Program189[(D)
Prior Period Adjustments])</f>
        <v>-4407066</v>
      </c>
      <c r="E117" s="103">
        <f>SUBTOTAL(109,Program189[(E)
Current Period Desk 
Reviews])</f>
        <v>0</v>
      </c>
      <c r="F117" s="103">
        <f>SUBTOTAL(109,Program189[(F)
Current Period 
Final 
Audits])</f>
        <v>0</v>
      </c>
      <c r="G117" s="103">
        <f>SUBTOTAL(109,Program189[(G)
Current Period 
Other Adjustments])</f>
        <v>0</v>
      </c>
      <c r="H117" s="103">
        <f>SUBTOTAL(109,Program189[(H)
Net Program Costs
Sum (C through G)])</f>
        <v>13072032</v>
      </c>
      <c r="I117" s="103">
        <f>SUBTOTAL(109,Program189[(I)
Payments
 and Offsets])</f>
        <v>-13072032</v>
      </c>
      <c r="J117" s="103">
        <f>SUBTOTAL(109,Program189[(J)
Accounts Payable Balance
(H + I)])</f>
        <v>0</v>
      </c>
      <c r="K117" s="103">
        <f>SUBTOTAL(109,Program189[(K)
Established 
Accounts Receivable])</f>
        <v>1479906</v>
      </c>
      <c r="L117" s="103">
        <f>SUBTOTAL(109,Program189[(L)
Recovered
 Accounts Receivable])</f>
        <v>-1479906</v>
      </c>
      <c r="M117" s="103">
        <f>SUBTOTAL(109,Program189[(M)
Accounts Receivable Balance
(K + L)])</f>
        <v>0</v>
      </c>
      <c r="N117" s="103">
        <f>SUBTOTAL(109,Program189[(N)
Net Balance
(J minus M)])</f>
        <v>0</v>
      </c>
    </row>
    <row r="118" spans="1:14" outlineLevel="1" x14ac:dyDescent="0.35">
      <c r="A118" s="116" t="s">
        <v>33</v>
      </c>
      <c r="B118" s="115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</row>
    <row r="119" spans="1:14" ht="78.75" customHeight="1" outlineLevel="1" x14ac:dyDescent="0.35">
      <c r="A119" s="60" t="s">
        <v>185</v>
      </c>
      <c r="B119" s="59" t="s">
        <v>184</v>
      </c>
      <c r="C119" s="58" t="s">
        <v>183</v>
      </c>
      <c r="D119" s="58" t="s">
        <v>182</v>
      </c>
      <c r="E119" s="56" t="s">
        <v>181</v>
      </c>
      <c r="F119" s="56" t="s">
        <v>180</v>
      </c>
      <c r="G119" s="56" t="s">
        <v>179</v>
      </c>
      <c r="H119" s="57" t="s">
        <v>674</v>
      </c>
      <c r="I119" s="55" t="s">
        <v>178</v>
      </c>
      <c r="J119" s="55" t="s">
        <v>177</v>
      </c>
      <c r="K119" s="56" t="s">
        <v>176</v>
      </c>
      <c r="L119" s="55" t="s">
        <v>175</v>
      </c>
      <c r="M119" s="55" t="s">
        <v>174</v>
      </c>
      <c r="N119" s="54" t="s">
        <v>173</v>
      </c>
    </row>
    <row r="120" spans="1:14" ht="15" customHeight="1" outlineLevel="1" x14ac:dyDescent="0.35">
      <c r="A120" s="108" t="s">
        <v>591</v>
      </c>
      <c r="B120" s="108" t="s">
        <v>200</v>
      </c>
      <c r="C120" s="106">
        <v>6566928</v>
      </c>
      <c r="D120" s="106">
        <v>-16288</v>
      </c>
      <c r="E120" s="106">
        <v>0</v>
      </c>
      <c r="F120" s="106">
        <v>0</v>
      </c>
      <c r="G120" s="106">
        <v>0</v>
      </c>
      <c r="H120" s="106">
        <v>6550640</v>
      </c>
      <c r="I120" s="106">
        <v>-6550640</v>
      </c>
      <c r="J120" s="106">
        <v>0</v>
      </c>
      <c r="K120" s="106">
        <v>11682</v>
      </c>
      <c r="L120" s="106">
        <v>-1131</v>
      </c>
      <c r="M120" s="106">
        <v>10551</v>
      </c>
      <c r="N120" s="106">
        <v>-10551</v>
      </c>
    </row>
    <row r="121" spans="1:14" outlineLevel="2" x14ac:dyDescent="0.35">
      <c r="A121" s="108" t="s">
        <v>591</v>
      </c>
      <c r="B121" s="108" t="s">
        <v>199</v>
      </c>
      <c r="C121" s="106">
        <v>6080461</v>
      </c>
      <c r="D121" s="106">
        <v>-21114</v>
      </c>
      <c r="E121" s="106">
        <v>0</v>
      </c>
      <c r="F121" s="106">
        <v>0</v>
      </c>
      <c r="G121" s="106">
        <v>0</v>
      </c>
      <c r="H121" s="106">
        <v>6059347</v>
      </c>
      <c r="I121" s="106">
        <v>-6059347</v>
      </c>
      <c r="J121" s="106">
        <v>0</v>
      </c>
      <c r="K121" s="106">
        <v>0</v>
      </c>
      <c r="L121" s="106">
        <v>0</v>
      </c>
      <c r="M121" s="106">
        <v>0</v>
      </c>
      <c r="N121" s="106">
        <v>0</v>
      </c>
    </row>
    <row r="122" spans="1:14" outlineLevel="1" x14ac:dyDescent="0.35">
      <c r="A122" s="108" t="s">
        <v>591</v>
      </c>
      <c r="B122" s="108" t="s">
        <v>198</v>
      </c>
      <c r="C122" s="106">
        <v>5582724</v>
      </c>
      <c r="D122" s="106">
        <v>-9136</v>
      </c>
      <c r="E122" s="106">
        <v>0</v>
      </c>
      <c r="F122" s="106">
        <v>0</v>
      </c>
      <c r="G122" s="106">
        <v>0</v>
      </c>
      <c r="H122" s="106">
        <v>5573588</v>
      </c>
      <c r="I122" s="106">
        <v>-5573588</v>
      </c>
      <c r="J122" s="106">
        <v>0</v>
      </c>
      <c r="K122" s="106">
        <v>0</v>
      </c>
      <c r="L122" s="106">
        <v>0</v>
      </c>
      <c r="M122" s="106">
        <v>0</v>
      </c>
      <c r="N122" s="106">
        <v>0</v>
      </c>
    </row>
    <row r="123" spans="1:14" ht="15.65" customHeight="1" outlineLevel="1" x14ac:dyDescent="0.35">
      <c r="A123" s="108" t="s">
        <v>591</v>
      </c>
      <c r="B123" s="108" t="s">
        <v>197</v>
      </c>
      <c r="C123" s="106">
        <v>5686897</v>
      </c>
      <c r="D123" s="106">
        <v>-128358</v>
      </c>
      <c r="E123" s="106">
        <v>0</v>
      </c>
      <c r="F123" s="106">
        <v>0</v>
      </c>
      <c r="G123" s="106">
        <v>0</v>
      </c>
      <c r="H123" s="106">
        <v>5558539</v>
      </c>
      <c r="I123" s="106">
        <v>-5558539</v>
      </c>
      <c r="J123" s="106">
        <v>0</v>
      </c>
      <c r="K123" s="106">
        <v>101641</v>
      </c>
      <c r="L123" s="106">
        <v>-101641</v>
      </c>
      <c r="M123" s="106">
        <v>0</v>
      </c>
      <c r="N123" s="106">
        <v>0</v>
      </c>
    </row>
    <row r="124" spans="1:14" ht="15" customHeight="1" outlineLevel="1" x14ac:dyDescent="0.35">
      <c r="A124" s="108" t="s">
        <v>591</v>
      </c>
      <c r="B124" s="108" t="s">
        <v>196</v>
      </c>
      <c r="C124" s="106">
        <v>2026624</v>
      </c>
      <c r="D124" s="106">
        <v>-85303</v>
      </c>
      <c r="E124" s="106">
        <v>0</v>
      </c>
      <c r="F124" s="106">
        <v>0</v>
      </c>
      <c r="G124" s="106">
        <v>0</v>
      </c>
      <c r="H124" s="106">
        <v>1941321</v>
      </c>
      <c r="I124" s="106">
        <v>-1941321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</row>
    <row r="125" spans="1:14" outlineLevel="2" x14ac:dyDescent="0.35">
      <c r="A125" s="108" t="s">
        <v>591</v>
      </c>
      <c r="B125" s="108" t="s">
        <v>195</v>
      </c>
      <c r="C125" s="106">
        <v>5712333</v>
      </c>
      <c r="D125" s="106">
        <v>-1231</v>
      </c>
      <c r="E125" s="106">
        <v>0</v>
      </c>
      <c r="F125" s="106">
        <v>0</v>
      </c>
      <c r="G125" s="106">
        <v>0</v>
      </c>
      <c r="H125" s="106">
        <v>5711102</v>
      </c>
      <c r="I125" s="106">
        <v>-5711102</v>
      </c>
      <c r="J125" s="106">
        <v>0</v>
      </c>
      <c r="K125" s="106">
        <v>1122</v>
      </c>
      <c r="L125" s="106">
        <v>-1122</v>
      </c>
      <c r="M125" s="106">
        <v>0</v>
      </c>
      <c r="N125" s="106">
        <v>0</v>
      </c>
    </row>
    <row r="126" spans="1:14" ht="16" outlineLevel="2" thickBot="1" x14ac:dyDescent="0.4">
      <c r="A126" s="105" t="s">
        <v>470</v>
      </c>
      <c r="B126" s="79" t="s">
        <v>12</v>
      </c>
      <c r="C126" s="103">
        <f>SUBTOTAL(109,Program221[(C)
Program
Costs])</f>
        <v>31655967</v>
      </c>
      <c r="D126" s="103">
        <f>SUBTOTAL(109,Program221[(D)
Prior Period Adjustments])</f>
        <v>-261430</v>
      </c>
      <c r="E126" s="103">
        <f>SUBTOTAL(109,Program221[(E)
Current Period Desk 
Reviews])</f>
        <v>0</v>
      </c>
      <c r="F126" s="103">
        <f>SUBTOTAL(109,Program221[(F)
Current Period 
Final 
Audits])</f>
        <v>0</v>
      </c>
      <c r="G126" s="103">
        <f>SUBTOTAL(109,Program221[(G)
Current Period 
Other Adjustments])</f>
        <v>0</v>
      </c>
      <c r="H126" s="103">
        <f>SUBTOTAL(109,Program221[(H)
Net Program Costs
Sum (C through G)])</f>
        <v>31394537</v>
      </c>
      <c r="I126" s="103">
        <f>SUBTOTAL(109,Program221[(I)
Payments
 and Offsets])</f>
        <v>-31394537</v>
      </c>
      <c r="J126" s="103">
        <f>SUBTOTAL(109,Program221[(J)
Accounts Payable Balance
(H + I)])</f>
        <v>0</v>
      </c>
      <c r="K126" s="103">
        <f>SUBTOTAL(109,Program221[(K)
Established 
Accounts Receivable])</f>
        <v>114445</v>
      </c>
      <c r="L126" s="103">
        <f>SUBTOTAL(109,Program221[(L)
Recovered
 Accounts Receivable])</f>
        <v>-103894</v>
      </c>
      <c r="M126" s="103">
        <f>SUBTOTAL(109,Program221[(M)
Accounts Receivable Balance
(K + L)])</f>
        <v>10551</v>
      </c>
      <c r="N126" s="103">
        <f>SUBTOTAL(109,Program221[(N)
Net Balance
(J minus M)])</f>
        <v>-10551</v>
      </c>
    </row>
    <row r="127" spans="1:14" outlineLevel="2" x14ac:dyDescent="0.35">
      <c r="A127" s="116" t="s">
        <v>33</v>
      </c>
      <c r="B127" s="115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</row>
    <row r="128" spans="1:14" ht="77.5" outlineLevel="2" x14ac:dyDescent="0.35">
      <c r="A128" s="60" t="s">
        <v>185</v>
      </c>
      <c r="B128" s="59" t="s">
        <v>184</v>
      </c>
      <c r="C128" s="58" t="s">
        <v>183</v>
      </c>
      <c r="D128" s="58" t="s">
        <v>182</v>
      </c>
      <c r="E128" s="56" t="s">
        <v>181</v>
      </c>
      <c r="F128" s="56" t="s">
        <v>180</v>
      </c>
      <c r="G128" s="56" t="s">
        <v>179</v>
      </c>
      <c r="H128" s="57" t="s">
        <v>674</v>
      </c>
      <c r="I128" s="55" t="s">
        <v>178</v>
      </c>
      <c r="J128" s="55" t="s">
        <v>177</v>
      </c>
      <c r="K128" s="56" t="s">
        <v>176</v>
      </c>
      <c r="L128" s="55" t="s">
        <v>175</v>
      </c>
      <c r="M128" s="55" t="s">
        <v>174</v>
      </c>
      <c r="N128" s="54" t="s">
        <v>173</v>
      </c>
    </row>
    <row r="129" spans="1:14" outlineLevel="2" x14ac:dyDescent="0.35">
      <c r="A129" s="108" t="s">
        <v>590</v>
      </c>
      <c r="B129" s="108" t="s">
        <v>194</v>
      </c>
      <c r="C129" s="106">
        <v>54393</v>
      </c>
      <c r="D129" s="106">
        <v>0</v>
      </c>
      <c r="E129" s="106">
        <v>0</v>
      </c>
      <c r="F129" s="106">
        <v>0</v>
      </c>
      <c r="G129" s="106">
        <v>0</v>
      </c>
      <c r="H129" s="106">
        <v>54393</v>
      </c>
      <c r="I129" s="106">
        <v>-54393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</row>
    <row r="130" spans="1:14" ht="16" outlineLevel="2" thickBot="1" x14ac:dyDescent="0.4">
      <c r="A130" s="105" t="s">
        <v>469</v>
      </c>
      <c r="B130" s="79" t="s">
        <v>12</v>
      </c>
      <c r="C130" s="119">
        <f>SUBTOTAL(109,Program229[(C)
Program
Costs])</f>
        <v>54393</v>
      </c>
      <c r="D130" s="119">
        <f>SUBTOTAL(109,Program229[(D)
Prior Period Adjustments])</f>
        <v>0</v>
      </c>
      <c r="E130" s="119">
        <f>SUBTOTAL(109,Program229[(E)
Current Period Desk 
Reviews])</f>
        <v>0</v>
      </c>
      <c r="F130" s="119">
        <f>SUBTOTAL(109,Program229[(F)
Current Period 
Final 
Audits])</f>
        <v>0</v>
      </c>
      <c r="G130" s="119">
        <f>SUBTOTAL(109,Program229[(G)
Current Period 
Other Adjustments])</f>
        <v>0</v>
      </c>
      <c r="H130" s="119">
        <f>SUBTOTAL(109,Program229[(H)
Net Program Costs
Sum (C through G)])</f>
        <v>54393</v>
      </c>
      <c r="I130" s="119">
        <f>SUBTOTAL(109,Program229[(I)
Payments
 and Offsets])</f>
        <v>-54393</v>
      </c>
      <c r="J130" s="119">
        <f>SUBTOTAL(109,Program229[(J)
Accounts Payable Balance
(H + I)])</f>
        <v>0</v>
      </c>
      <c r="K130" s="119">
        <f>SUBTOTAL(109,Program229[(K)
Established 
Accounts Receivable])</f>
        <v>0</v>
      </c>
      <c r="L130" s="119">
        <f>SUBTOTAL(109,Program229[(L)
Recovered
 Accounts Receivable])</f>
        <v>0</v>
      </c>
      <c r="M130" s="119">
        <f>SUBTOTAL(109,Program229[(M)
Accounts Receivable Balance
(K + L)])</f>
        <v>0</v>
      </c>
      <c r="N130" s="119">
        <f>SUBTOTAL(109,Program229[(N)
Net Balance
(J minus M)])</f>
        <v>0</v>
      </c>
    </row>
    <row r="131" spans="1:14" outlineLevel="2" x14ac:dyDescent="0.35">
      <c r="A131" s="116" t="s">
        <v>33</v>
      </c>
      <c r="B131" s="115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</row>
    <row r="132" spans="1:14" ht="77.5" outlineLevel="2" x14ac:dyDescent="0.35">
      <c r="A132" s="60" t="s">
        <v>185</v>
      </c>
      <c r="B132" s="59" t="s">
        <v>184</v>
      </c>
      <c r="C132" s="58" t="s">
        <v>183</v>
      </c>
      <c r="D132" s="58" t="s">
        <v>182</v>
      </c>
      <c r="E132" s="56" t="s">
        <v>181</v>
      </c>
      <c r="F132" s="56" t="s">
        <v>180</v>
      </c>
      <c r="G132" s="56" t="s">
        <v>179</v>
      </c>
      <c r="H132" s="57" t="s">
        <v>674</v>
      </c>
      <c r="I132" s="55" t="s">
        <v>178</v>
      </c>
      <c r="J132" s="55" t="s">
        <v>177</v>
      </c>
      <c r="K132" s="56" t="s">
        <v>176</v>
      </c>
      <c r="L132" s="55" t="s">
        <v>175</v>
      </c>
      <c r="M132" s="55" t="s">
        <v>174</v>
      </c>
      <c r="N132" s="54" t="s">
        <v>173</v>
      </c>
    </row>
    <row r="133" spans="1:14" ht="31" outlineLevel="2" x14ac:dyDescent="0.35">
      <c r="A133" s="77" t="s">
        <v>589</v>
      </c>
      <c r="B133" s="108" t="s">
        <v>208</v>
      </c>
      <c r="C133" s="106">
        <v>57779373</v>
      </c>
      <c r="D133" s="106">
        <v>-56297188</v>
      </c>
      <c r="E133" s="106">
        <v>0</v>
      </c>
      <c r="F133" s="106">
        <v>0</v>
      </c>
      <c r="G133" s="106">
        <v>0</v>
      </c>
      <c r="H133" s="106">
        <v>1482185</v>
      </c>
      <c r="I133" s="106">
        <v>-1046875</v>
      </c>
      <c r="J133" s="106">
        <v>435310</v>
      </c>
      <c r="K133" s="106">
        <v>0</v>
      </c>
      <c r="L133" s="106">
        <v>0</v>
      </c>
      <c r="M133" s="106">
        <v>0</v>
      </c>
      <c r="N133" s="106">
        <v>435310</v>
      </c>
    </row>
    <row r="134" spans="1:14" ht="31" outlineLevel="2" x14ac:dyDescent="0.35">
      <c r="A134" s="77" t="s">
        <v>589</v>
      </c>
      <c r="B134" s="108" t="s">
        <v>206</v>
      </c>
      <c r="C134" s="106">
        <v>56330780</v>
      </c>
      <c r="D134" s="106">
        <v>-55107028</v>
      </c>
      <c r="E134" s="106">
        <v>0</v>
      </c>
      <c r="F134" s="106">
        <v>0</v>
      </c>
      <c r="G134" s="106">
        <v>0</v>
      </c>
      <c r="H134" s="106">
        <v>1223752</v>
      </c>
      <c r="I134" s="106">
        <v>-860241</v>
      </c>
      <c r="J134" s="106">
        <v>363511</v>
      </c>
      <c r="K134" s="106">
        <v>0</v>
      </c>
      <c r="L134" s="106">
        <v>0</v>
      </c>
      <c r="M134" s="106">
        <v>0</v>
      </c>
      <c r="N134" s="106">
        <v>363511</v>
      </c>
    </row>
    <row r="135" spans="1:14" ht="31" outlineLevel="2" x14ac:dyDescent="0.35">
      <c r="A135" s="77" t="s">
        <v>589</v>
      </c>
      <c r="B135" s="108" t="s">
        <v>205</v>
      </c>
      <c r="C135" s="106">
        <v>55236129</v>
      </c>
      <c r="D135" s="106">
        <v>-961239</v>
      </c>
      <c r="E135" s="106">
        <v>0</v>
      </c>
      <c r="F135" s="106">
        <v>0</v>
      </c>
      <c r="G135" s="106">
        <v>0</v>
      </c>
      <c r="H135" s="106">
        <v>54274890</v>
      </c>
      <c r="I135" s="106">
        <v>-43186728</v>
      </c>
      <c r="J135" s="106">
        <v>11088162</v>
      </c>
      <c r="K135" s="106">
        <v>0</v>
      </c>
      <c r="L135" s="106">
        <v>0</v>
      </c>
      <c r="M135" s="106">
        <v>0</v>
      </c>
      <c r="N135" s="106">
        <v>11088162</v>
      </c>
    </row>
    <row r="136" spans="1:14" ht="31" outlineLevel="2" x14ac:dyDescent="0.35">
      <c r="A136" s="77" t="s">
        <v>589</v>
      </c>
      <c r="B136" s="108" t="s">
        <v>204</v>
      </c>
      <c r="C136" s="106">
        <v>55847343</v>
      </c>
      <c r="D136" s="106">
        <v>-927197</v>
      </c>
      <c r="E136" s="106">
        <v>0</v>
      </c>
      <c r="F136" s="106">
        <v>0</v>
      </c>
      <c r="G136" s="106">
        <v>0</v>
      </c>
      <c r="H136" s="106">
        <v>54920146</v>
      </c>
      <c r="I136" s="106">
        <v>-44829887</v>
      </c>
      <c r="J136" s="106">
        <v>10090259</v>
      </c>
      <c r="K136" s="106">
        <v>0</v>
      </c>
      <c r="L136" s="106">
        <v>0</v>
      </c>
      <c r="M136" s="106">
        <v>0</v>
      </c>
      <c r="N136" s="106">
        <v>10090259</v>
      </c>
    </row>
    <row r="137" spans="1:14" ht="31" outlineLevel="2" x14ac:dyDescent="0.35">
      <c r="A137" s="77" t="s">
        <v>589</v>
      </c>
      <c r="B137" s="108" t="s">
        <v>203</v>
      </c>
      <c r="C137" s="106">
        <v>54759166</v>
      </c>
      <c r="D137" s="106">
        <v>-891952</v>
      </c>
      <c r="E137" s="106">
        <v>0</v>
      </c>
      <c r="F137" s="106">
        <v>0</v>
      </c>
      <c r="G137" s="106">
        <v>0</v>
      </c>
      <c r="H137" s="106">
        <v>53867214</v>
      </c>
      <c r="I137" s="106">
        <v>-45736429</v>
      </c>
      <c r="J137" s="106">
        <v>8130785</v>
      </c>
      <c r="K137" s="106">
        <v>0</v>
      </c>
      <c r="L137" s="106">
        <v>0</v>
      </c>
      <c r="M137" s="106">
        <v>0</v>
      </c>
      <c r="N137" s="106">
        <v>8130785</v>
      </c>
    </row>
    <row r="138" spans="1:14" ht="31" outlineLevel="2" x14ac:dyDescent="0.35">
      <c r="A138" s="77" t="s">
        <v>589</v>
      </c>
      <c r="B138" s="108" t="s">
        <v>202</v>
      </c>
      <c r="C138" s="106">
        <v>51534451</v>
      </c>
      <c r="D138" s="106">
        <v>-807165</v>
      </c>
      <c r="E138" s="106">
        <v>0</v>
      </c>
      <c r="F138" s="106">
        <v>0</v>
      </c>
      <c r="G138" s="106">
        <v>0</v>
      </c>
      <c r="H138" s="106">
        <v>50727286</v>
      </c>
      <c r="I138" s="106">
        <v>-43697065</v>
      </c>
      <c r="J138" s="106">
        <v>7030221</v>
      </c>
      <c r="K138" s="106">
        <v>0</v>
      </c>
      <c r="L138" s="106">
        <v>0</v>
      </c>
      <c r="M138" s="106">
        <v>0</v>
      </c>
      <c r="N138" s="106">
        <v>7030221</v>
      </c>
    </row>
    <row r="139" spans="1:14" ht="31" outlineLevel="2" x14ac:dyDescent="0.35">
      <c r="A139" s="77" t="s">
        <v>589</v>
      </c>
      <c r="B139" s="108" t="s">
        <v>201</v>
      </c>
      <c r="C139" s="106">
        <v>49291977</v>
      </c>
      <c r="D139" s="106">
        <v>-753834</v>
      </c>
      <c r="E139" s="106">
        <v>0</v>
      </c>
      <c r="F139" s="106">
        <v>0</v>
      </c>
      <c r="G139" s="106">
        <v>0</v>
      </c>
      <c r="H139" s="106">
        <v>48538143</v>
      </c>
      <c r="I139" s="106">
        <v>-42415623</v>
      </c>
      <c r="J139" s="106">
        <v>6122520</v>
      </c>
      <c r="K139" s="106">
        <v>0</v>
      </c>
      <c r="L139" s="106">
        <v>0</v>
      </c>
      <c r="M139" s="106">
        <v>0</v>
      </c>
      <c r="N139" s="106">
        <v>6122520</v>
      </c>
    </row>
    <row r="140" spans="1:14" ht="31" outlineLevel="2" x14ac:dyDescent="0.35">
      <c r="A140" s="77" t="s">
        <v>589</v>
      </c>
      <c r="B140" s="108" t="s">
        <v>200</v>
      </c>
      <c r="C140" s="106">
        <v>46473382</v>
      </c>
      <c r="D140" s="106">
        <v>-688755</v>
      </c>
      <c r="E140" s="106">
        <v>0</v>
      </c>
      <c r="F140" s="106">
        <v>0</v>
      </c>
      <c r="G140" s="106">
        <v>0</v>
      </c>
      <c r="H140" s="106">
        <v>45784627</v>
      </c>
      <c r="I140" s="106">
        <v>-40536570</v>
      </c>
      <c r="J140" s="106">
        <v>5248057</v>
      </c>
      <c r="K140" s="106">
        <v>0</v>
      </c>
      <c r="L140" s="106">
        <v>0</v>
      </c>
      <c r="M140" s="106">
        <v>0</v>
      </c>
      <c r="N140" s="106">
        <v>5248057</v>
      </c>
    </row>
    <row r="141" spans="1:14" ht="31" outlineLevel="2" x14ac:dyDescent="0.35">
      <c r="A141" s="77" t="s">
        <v>589</v>
      </c>
      <c r="B141" s="108" t="s">
        <v>199</v>
      </c>
      <c r="C141" s="106">
        <v>43760523</v>
      </c>
      <c r="D141" s="106">
        <v>-608383</v>
      </c>
      <c r="E141" s="106">
        <v>0</v>
      </c>
      <c r="F141" s="106">
        <v>0</v>
      </c>
      <c r="G141" s="106">
        <v>0</v>
      </c>
      <c r="H141" s="106">
        <v>43152140</v>
      </c>
      <c r="I141" s="106">
        <v>-38771342</v>
      </c>
      <c r="J141" s="106">
        <v>4380798</v>
      </c>
      <c r="K141" s="106">
        <v>0</v>
      </c>
      <c r="L141" s="106">
        <v>0</v>
      </c>
      <c r="M141" s="106">
        <v>0</v>
      </c>
      <c r="N141" s="106">
        <v>4380798</v>
      </c>
    </row>
    <row r="142" spans="1:14" ht="31" outlineLevel="1" x14ac:dyDescent="0.35">
      <c r="A142" s="77" t="s">
        <v>589</v>
      </c>
      <c r="B142" s="108" t="s">
        <v>198</v>
      </c>
      <c r="C142" s="106">
        <v>41954863</v>
      </c>
      <c r="D142" s="106">
        <v>-591709</v>
      </c>
      <c r="E142" s="106">
        <v>0</v>
      </c>
      <c r="F142" s="106">
        <v>0</v>
      </c>
      <c r="G142" s="106">
        <v>0</v>
      </c>
      <c r="H142" s="106">
        <v>41363154</v>
      </c>
      <c r="I142" s="106">
        <v>-37738313</v>
      </c>
      <c r="J142" s="106">
        <v>3624841</v>
      </c>
      <c r="K142" s="106">
        <v>0</v>
      </c>
      <c r="L142" s="106">
        <v>0</v>
      </c>
      <c r="M142" s="106">
        <v>0</v>
      </c>
      <c r="N142" s="106">
        <v>3624841</v>
      </c>
    </row>
    <row r="143" spans="1:14" ht="31" outlineLevel="1" x14ac:dyDescent="0.35">
      <c r="A143" s="77" t="s">
        <v>589</v>
      </c>
      <c r="B143" s="108" t="s">
        <v>197</v>
      </c>
      <c r="C143" s="106">
        <v>39550486</v>
      </c>
      <c r="D143" s="106">
        <v>-540615</v>
      </c>
      <c r="E143" s="106">
        <v>0</v>
      </c>
      <c r="F143" s="106">
        <v>0</v>
      </c>
      <c r="G143" s="106">
        <v>0</v>
      </c>
      <c r="H143" s="106">
        <v>39009871</v>
      </c>
      <c r="I143" s="106">
        <v>-35783447</v>
      </c>
      <c r="J143" s="106">
        <v>3226424</v>
      </c>
      <c r="K143" s="106">
        <v>0</v>
      </c>
      <c r="L143" s="106">
        <v>0</v>
      </c>
      <c r="M143" s="106">
        <v>0</v>
      </c>
      <c r="N143" s="106">
        <v>3226424</v>
      </c>
    </row>
    <row r="144" spans="1:14" ht="31" outlineLevel="1" x14ac:dyDescent="0.35">
      <c r="A144" s="77" t="s">
        <v>589</v>
      </c>
      <c r="B144" s="108" t="s">
        <v>196</v>
      </c>
      <c r="C144" s="106">
        <v>37994751</v>
      </c>
      <c r="D144" s="106">
        <v>-487582</v>
      </c>
      <c r="E144" s="106">
        <v>0</v>
      </c>
      <c r="F144" s="106">
        <v>0</v>
      </c>
      <c r="G144" s="106">
        <v>0</v>
      </c>
      <c r="H144" s="106">
        <v>37507169</v>
      </c>
      <c r="I144" s="106">
        <v>-34737941</v>
      </c>
      <c r="J144" s="106">
        <v>2769228</v>
      </c>
      <c r="K144" s="106">
        <v>0</v>
      </c>
      <c r="L144" s="106">
        <v>0</v>
      </c>
      <c r="M144" s="106">
        <v>0</v>
      </c>
      <c r="N144" s="106">
        <v>2769228</v>
      </c>
    </row>
    <row r="145" spans="1:14" ht="31" outlineLevel="1" x14ac:dyDescent="0.35">
      <c r="A145" s="77" t="s">
        <v>589</v>
      </c>
      <c r="B145" s="108" t="s">
        <v>195</v>
      </c>
      <c r="C145" s="106">
        <v>35654717</v>
      </c>
      <c r="D145" s="106">
        <v>-426206</v>
      </c>
      <c r="E145" s="106">
        <v>0</v>
      </c>
      <c r="F145" s="106">
        <v>0</v>
      </c>
      <c r="G145" s="106">
        <v>0</v>
      </c>
      <c r="H145" s="106">
        <v>35228511</v>
      </c>
      <c r="I145" s="106">
        <v>-32753841</v>
      </c>
      <c r="J145" s="106">
        <v>2474670</v>
      </c>
      <c r="K145" s="106">
        <v>0</v>
      </c>
      <c r="L145" s="106">
        <v>0</v>
      </c>
      <c r="M145" s="106">
        <v>0</v>
      </c>
      <c r="N145" s="106">
        <v>2474670</v>
      </c>
    </row>
    <row r="146" spans="1:14" ht="31" outlineLevel="1" x14ac:dyDescent="0.35">
      <c r="A146" s="77" t="s">
        <v>589</v>
      </c>
      <c r="B146" s="108" t="s">
        <v>194</v>
      </c>
      <c r="C146" s="106">
        <v>33835597</v>
      </c>
      <c r="D146" s="106">
        <v>-395777</v>
      </c>
      <c r="E146" s="106">
        <v>0</v>
      </c>
      <c r="F146" s="106">
        <v>0</v>
      </c>
      <c r="G146" s="106">
        <v>0</v>
      </c>
      <c r="H146" s="106">
        <v>33439820</v>
      </c>
      <c r="I146" s="106">
        <v>-31066839</v>
      </c>
      <c r="J146" s="106">
        <v>2372981</v>
      </c>
      <c r="K146" s="106">
        <v>0</v>
      </c>
      <c r="L146" s="106">
        <v>0</v>
      </c>
      <c r="M146" s="106">
        <v>0</v>
      </c>
      <c r="N146" s="106">
        <v>2372981</v>
      </c>
    </row>
    <row r="147" spans="1:14" ht="31" outlineLevel="1" x14ac:dyDescent="0.35">
      <c r="A147" s="77" t="s">
        <v>589</v>
      </c>
      <c r="B147" s="108" t="s">
        <v>193</v>
      </c>
      <c r="C147" s="106">
        <v>33383819</v>
      </c>
      <c r="D147" s="106">
        <v>-386421</v>
      </c>
      <c r="E147" s="106">
        <v>0</v>
      </c>
      <c r="F147" s="106">
        <v>0</v>
      </c>
      <c r="G147" s="106">
        <v>0</v>
      </c>
      <c r="H147" s="106">
        <v>32997398</v>
      </c>
      <c r="I147" s="106">
        <v>-30671594</v>
      </c>
      <c r="J147" s="106">
        <v>2325804</v>
      </c>
      <c r="K147" s="106">
        <v>0</v>
      </c>
      <c r="L147" s="106">
        <v>0</v>
      </c>
      <c r="M147" s="106">
        <v>0</v>
      </c>
      <c r="N147" s="106">
        <v>2325804</v>
      </c>
    </row>
    <row r="148" spans="1:14" ht="31" outlineLevel="1" x14ac:dyDescent="0.35">
      <c r="A148" s="77" t="s">
        <v>589</v>
      </c>
      <c r="B148" s="108" t="s">
        <v>192</v>
      </c>
      <c r="C148" s="106">
        <v>32098530</v>
      </c>
      <c r="D148" s="106">
        <v>-369938</v>
      </c>
      <c r="E148" s="106">
        <v>0</v>
      </c>
      <c r="F148" s="106">
        <v>0</v>
      </c>
      <c r="G148" s="106">
        <v>0</v>
      </c>
      <c r="H148" s="106">
        <v>31728592</v>
      </c>
      <c r="I148" s="106">
        <v>-29479003</v>
      </c>
      <c r="J148" s="106">
        <v>2249589</v>
      </c>
      <c r="K148" s="106">
        <v>0</v>
      </c>
      <c r="L148" s="106">
        <v>0</v>
      </c>
      <c r="M148" s="106">
        <v>0</v>
      </c>
      <c r="N148" s="106">
        <v>2249589</v>
      </c>
    </row>
    <row r="149" spans="1:14" ht="31" outlineLevel="1" x14ac:dyDescent="0.35">
      <c r="A149" s="77" t="s">
        <v>589</v>
      </c>
      <c r="B149" s="108" t="s">
        <v>191</v>
      </c>
      <c r="C149" s="106">
        <v>30405477</v>
      </c>
      <c r="D149" s="106">
        <v>-340705</v>
      </c>
      <c r="E149" s="106">
        <v>0</v>
      </c>
      <c r="F149" s="106">
        <v>0</v>
      </c>
      <c r="G149" s="106">
        <v>0</v>
      </c>
      <c r="H149" s="106">
        <v>30064772</v>
      </c>
      <c r="I149" s="106">
        <v>-27948374</v>
      </c>
      <c r="J149" s="106">
        <v>2116398</v>
      </c>
      <c r="K149" s="106">
        <v>0</v>
      </c>
      <c r="L149" s="106">
        <v>0</v>
      </c>
      <c r="M149" s="106">
        <v>0</v>
      </c>
      <c r="N149" s="106">
        <v>2116398</v>
      </c>
    </row>
    <row r="150" spans="1:14" ht="31" outlineLevel="2" x14ac:dyDescent="0.35">
      <c r="A150" s="77" t="s">
        <v>589</v>
      </c>
      <c r="B150" s="108" t="s">
        <v>190</v>
      </c>
      <c r="C150" s="106">
        <v>28713900</v>
      </c>
      <c r="D150" s="106">
        <v>-313247</v>
      </c>
      <c r="E150" s="106">
        <v>0</v>
      </c>
      <c r="F150" s="106">
        <v>0</v>
      </c>
      <c r="G150" s="106">
        <v>0</v>
      </c>
      <c r="H150" s="106">
        <v>28400653</v>
      </c>
      <c r="I150" s="106">
        <v>-26404035</v>
      </c>
      <c r="J150" s="106">
        <v>1996618</v>
      </c>
      <c r="K150" s="106">
        <v>0</v>
      </c>
      <c r="L150" s="106">
        <v>0</v>
      </c>
      <c r="M150" s="106">
        <v>0</v>
      </c>
      <c r="N150" s="106">
        <v>1996618</v>
      </c>
    </row>
    <row r="151" spans="1:14" ht="31" outlineLevel="2" x14ac:dyDescent="0.35">
      <c r="A151" s="77" t="s">
        <v>589</v>
      </c>
      <c r="B151" s="108" t="s">
        <v>189</v>
      </c>
      <c r="C151" s="106">
        <v>27838777</v>
      </c>
      <c r="D151" s="106">
        <v>-242281</v>
      </c>
      <c r="E151" s="106">
        <v>0</v>
      </c>
      <c r="F151" s="106">
        <v>0</v>
      </c>
      <c r="G151" s="106">
        <v>0</v>
      </c>
      <c r="H151" s="106">
        <v>27596496</v>
      </c>
      <c r="I151" s="106">
        <v>-25255912</v>
      </c>
      <c r="J151" s="106">
        <v>2340584</v>
      </c>
      <c r="K151" s="106">
        <v>0</v>
      </c>
      <c r="L151" s="106">
        <v>0</v>
      </c>
      <c r="M151" s="106">
        <v>0</v>
      </c>
      <c r="N151" s="106">
        <v>2340584</v>
      </c>
    </row>
    <row r="152" spans="1:14" ht="16" outlineLevel="2" thickBot="1" x14ac:dyDescent="0.4">
      <c r="A152" s="105" t="s">
        <v>468</v>
      </c>
      <c r="B152" s="79" t="s">
        <v>12</v>
      </c>
      <c r="C152" s="103">
        <f>SUBTOTAL(109,Program348[(C)
Program
Costs])</f>
        <v>812444041</v>
      </c>
      <c r="D152" s="103">
        <f>SUBTOTAL(109,Program348[(D)
Prior Period Adjustments])</f>
        <v>-121137222</v>
      </c>
      <c r="E152" s="103">
        <f>SUBTOTAL(109,Program348[(E)
Current Period Desk 
Reviews])</f>
        <v>0</v>
      </c>
      <c r="F152" s="103">
        <f>SUBTOTAL(109,Program348[(F)
Current Period 
Final 
Audits])</f>
        <v>0</v>
      </c>
      <c r="G152" s="103">
        <f>SUBTOTAL(109,Program348[(G)
Current Period 
Other Adjustments])</f>
        <v>0</v>
      </c>
      <c r="H152" s="103">
        <f>SUBTOTAL(109,Program348[(H)
Net Program Costs
Sum (C through G)])</f>
        <v>691306819</v>
      </c>
      <c r="I152" s="103">
        <f>SUBTOTAL(109,Program348[(I)
Payments
 and Offsets])</f>
        <v>-612920059</v>
      </c>
      <c r="J152" s="103">
        <f>SUBTOTAL(109,Program348[(J)
Accounts Payable Balance
(H + I)])</f>
        <v>78386760</v>
      </c>
      <c r="K152" s="103">
        <f>SUBTOTAL(109,Program348[(K)
Established 
Accounts Receivable])</f>
        <v>0</v>
      </c>
      <c r="L152" s="103">
        <f>SUBTOTAL(109,Program348[(L)
Recovered
 Accounts Receivable])</f>
        <v>0</v>
      </c>
      <c r="M152" s="103">
        <f>SUBTOTAL(109,Program348[(M)
Accounts Receivable Balance
(K + L)])</f>
        <v>0</v>
      </c>
      <c r="N152" s="103">
        <f>SUBTOTAL(109,Program348[(N)
Net Balance
(J minus M)])</f>
        <v>78386760</v>
      </c>
    </row>
    <row r="153" spans="1:14" outlineLevel="1" x14ac:dyDescent="0.35">
      <c r="A153" s="116" t="s">
        <v>33</v>
      </c>
      <c r="B153" s="115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</row>
    <row r="154" spans="1:14" ht="78.75" customHeight="1" outlineLevel="1" x14ac:dyDescent="0.35">
      <c r="A154" s="113" t="s">
        <v>185</v>
      </c>
      <c r="B154" s="112" t="s">
        <v>184</v>
      </c>
      <c r="C154" s="111" t="s">
        <v>183</v>
      </c>
      <c r="D154" s="111" t="s">
        <v>182</v>
      </c>
      <c r="E154" s="111" t="s">
        <v>181</v>
      </c>
      <c r="F154" s="111" t="s">
        <v>180</v>
      </c>
      <c r="G154" s="111" t="s">
        <v>179</v>
      </c>
      <c r="H154" s="110" t="s">
        <v>674</v>
      </c>
      <c r="I154" s="110" t="s">
        <v>178</v>
      </c>
      <c r="J154" s="110" t="s">
        <v>177</v>
      </c>
      <c r="K154" s="111" t="s">
        <v>176</v>
      </c>
      <c r="L154" s="110" t="s">
        <v>175</v>
      </c>
      <c r="M154" s="110" t="s">
        <v>174</v>
      </c>
      <c r="N154" s="109" t="s">
        <v>173</v>
      </c>
    </row>
    <row r="155" spans="1:14" ht="30" customHeight="1" outlineLevel="1" x14ac:dyDescent="0.35">
      <c r="A155" s="77" t="s">
        <v>588</v>
      </c>
      <c r="B155" s="108" t="s">
        <v>218</v>
      </c>
      <c r="C155" s="106">
        <v>127851</v>
      </c>
      <c r="D155" s="106">
        <v>-127851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</row>
    <row r="156" spans="1:14" ht="31" outlineLevel="2" x14ac:dyDescent="0.35">
      <c r="A156" s="77" t="s">
        <v>588</v>
      </c>
      <c r="B156" s="108" t="s">
        <v>209</v>
      </c>
      <c r="C156" s="106">
        <v>5574938</v>
      </c>
      <c r="D156" s="106">
        <v>-5007423</v>
      </c>
      <c r="E156" s="106">
        <v>0</v>
      </c>
      <c r="F156" s="106">
        <v>0</v>
      </c>
      <c r="G156" s="106">
        <v>0</v>
      </c>
      <c r="H156" s="106">
        <v>567515</v>
      </c>
      <c r="I156" s="106">
        <v>-339292</v>
      </c>
      <c r="J156" s="106">
        <v>228223</v>
      </c>
      <c r="K156" s="106">
        <v>0</v>
      </c>
      <c r="L156" s="106">
        <v>0</v>
      </c>
      <c r="M156" s="106">
        <v>0</v>
      </c>
      <c r="N156" s="106">
        <v>228223</v>
      </c>
    </row>
    <row r="157" spans="1:14" ht="16" outlineLevel="2" thickBot="1" x14ac:dyDescent="0.4">
      <c r="A157" s="105" t="s">
        <v>467</v>
      </c>
      <c r="B157" s="79" t="s">
        <v>12</v>
      </c>
      <c r="C157" s="48">
        <f>SUBTOTAL(109,Program349[(C)
Program
Costs])</f>
        <v>5702789</v>
      </c>
      <c r="D157" s="48">
        <f>SUBTOTAL(109,Program349[(D)
Prior Period Adjustments])</f>
        <v>-5135274</v>
      </c>
      <c r="E157" s="48">
        <f>SUBTOTAL(109,Program349[(E)
Current Period Desk 
Reviews])</f>
        <v>0</v>
      </c>
      <c r="F157" s="48">
        <f>SUBTOTAL(109,Program349[(F)
Current Period 
Final 
Audits])</f>
        <v>0</v>
      </c>
      <c r="G157" s="48">
        <f>SUBTOTAL(109,Program349[(G)
Current Period 
Other Adjustments])</f>
        <v>0</v>
      </c>
      <c r="H157" s="48">
        <f>SUBTOTAL(109,Program349[(H)
Net Program Costs
Sum (C through G)])</f>
        <v>567515</v>
      </c>
      <c r="I157" s="48">
        <f>SUBTOTAL(109,Program349[(I)
Payments
 and Offsets])</f>
        <v>-339292</v>
      </c>
      <c r="J157" s="48">
        <f>SUBTOTAL(109,Program349[(J)
Accounts Payable Balance
(H + I)])</f>
        <v>228223</v>
      </c>
      <c r="K157" s="48">
        <f>SUBTOTAL(109,Program349[(K)
Established 
Accounts Receivable])</f>
        <v>0</v>
      </c>
      <c r="L157" s="48">
        <f>SUBTOTAL(109,Program349[(L)
Recovered
 Accounts Receivable])</f>
        <v>0</v>
      </c>
      <c r="M157" s="48">
        <f>SUBTOTAL(109,Program349[(M)
Accounts Receivable Balance
(K + L)])</f>
        <v>0</v>
      </c>
      <c r="N157" s="48">
        <f>SUBTOTAL(109,Program349[(N)
Net Balance
(J minus M)])</f>
        <v>228223</v>
      </c>
    </row>
    <row r="158" spans="1:14" outlineLevel="2" x14ac:dyDescent="0.35">
      <c r="A158" s="116" t="s">
        <v>33</v>
      </c>
      <c r="B158" s="115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</row>
    <row r="159" spans="1:14" ht="77.5" outlineLevel="2" x14ac:dyDescent="0.35">
      <c r="A159" s="113" t="s">
        <v>185</v>
      </c>
      <c r="B159" s="112" t="s">
        <v>184</v>
      </c>
      <c r="C159" s="111" t="s">
        <v>183</v>
      </c>
      <c r="D159" s="111" t="s">
        <v>182</v>
      </c>
      <c r="E159" s="111" t="s">
        <v>181</v>
      </c>
      <c r="F159" s="111" t="s">
        <v>180</v>
      </c>
      <c r="G159" s="111" t="s">
        <v>179</v>
      </c>
      <c r="H159" s="110" t="s">
        <v>674</v>
      </c>
      <c r="I159" s="110" t="s">
        <v>178</v>
      </c>
      <c r="J159" s="110" t="s">
        <v>177</v>
      </c>
      <c r="K159" s="111" t="s">
        <v>176</v>
      </c>
      <c r="L159" s="110" t="s">
        <v>175</v>
      </c>
      <c r="M159" s="110" t="s">
        <v>174</v>
      </c>
      <c r="N159" s="109" t="s">
        <v>173</v>
      </c>
    </row>
    <row r="160" spans="1:14" ht="30" customHeight="1" outlineLevel="2" x14ac:dyDescent="0.35">
      <c r="A160" s="77" t="s">
        <v>587</v>
      </c>
      <c r="B160" s="108" t="s">
        <v>215</v>
      </c>
      <c r="C160" s="106">
        <v>49754</v>
      </c>
      <c r="D160" s="106">
        <v>0</v>
      </c>
      <c r="E160" s="106">
        <v>0</v>
      </c>
      <c r="F160" s="106">
        <v>0</v>
      </c>
      <c r="G160" s="106">
        <v>0</v>
      </c>
      <c r="H160" s="106">
        <v>49754</v>
      </c>
      <c r="I160" s="106">
        <v>0</v>
      </c>
      <c r="J160" s="106">
        <v>49754</v>
      </c>
      <c r="K160" s="106">
        <v>0</v>
      </c>
      <c r="L160" s="106">
        <v>0</v>
      </c>
      <c r="M160" s="106">
        <v>0</v>
      </c>
      <c r="N160" s="106">
        <v>49754</v>
      </c>
    </row>
    <row r="161" spans="1:14" ht="30" customHeight="1" outlineLevel="1" x14ac:dyDescent="0.35">
      <c r="A161" s="77" t="s">
        <v>587</v>
      </c>
      <c r="B161" s="108" t="s">
        <v>214</v>
      </c>
      <c r="C161" s="106">
        <v>209840</v>
      </c>
      <c r="D161" s="106">
        <v>0</v>
      </c>
      <c r="E161" s="106">
        <v>0</v>
      </c>
      <c r="F161" s="106">
        <v>0</v>
      </c>
      <c r="G161" s="106">
        <v>-3315</v>
      </c>
      <c r="H161" s="106">
        <v>206525</v>
      </c>
      <c r="I161" s="106">
        <v>-1000</v>
      </c>
      <c r="J161" s="106">
        <v>205525</v>
      </c>
      <c r="K161" s="106">
        <v>0</v>
      </c>
      <c r="L161" s="106">
        <v>0</v>
      </c>
      <c r="M161" s="106">
        <v>0</v>
      </c>
      <c r="N161" s="106">
        <v>205525</v>
      </c>
    </row>
    <row r="162" spans="1:14" ht="30" customHeight="1" outlineLevel="1" x14ac:dyDescent="0.35">
      <c r="A162" s="77" t="s">
        <v>587</v>
      </c>
      <c r="B162" s="108" t="s">
        <v>212</v>
      </c>
      <c r="C162" s="106">
        <v>232272</v>
      </c>
      <c r="D162" s="106">
        <v>0</v>
      </c>
      <c r="E162" s="106">
        <v>0</v>
      </c>
      <c r="F162" s="106">
        <v>0</v>
      </c>
      <c r="G162" s="106">
        <v>-4364</v>
      </c>
      <c r="H162" s="106">
        <v>227908</v>
      </c>
      <c r="I162" s="106">
        <v>0</v>
      </c>
      <c r="J162" s="106">
        <v>227908</v>
      </c>
      <c r="K162" s="106">
        <v>0</v>
      </c>
      <c r="L162" s="106">
        <v>0</v>
      </c>
      <c r="M162" s="106">
        <v>0</v>
      </c>
      <c r="N162" s="106">
        <v>227908</v>
      </c>
    </row>
    <row r="163" spans="1:14" ht="30" customHeight="1" outlineLevel="1" x14ac:dyDescent="0.35">
      <c r="A163" s="77" t="s">
        <v>587</v>
      </c>
      <c r="B163" s="108" t="s">
        <v>220</v>
      </c>
      <c r="C163" s="106">
        <v>184814</v>
      </c>
      <c r="D163" s="106">
        <v>0</v>
      </c>
      <c r="E163" s="106">
        <v>0</v>
      </c>
      <c r="F163" s="106">
        <v>0</v>
      </c>
      <c r="G163" s="106">
        <v>-2560</v>
      </c>
      <c r="H163" s="106">
        <v>182254</v>
      </c>
      <c r="I163" s="106">
        <v>0</v>
      </c>
      <c r="J163" s="106">
        <v>182254</v>
      </c>
      <c r="K163" s="106">
        <v>0</v>
      </c>
      <c r="L163" s="106">
        <v>0</v>
      </c>
      <c r="M163" s="106">
        <v>0</v>
      </c>
      <c r="N163" s="106">
        <v>182254</v>
      </c>
    </row>
    <row r="164" spans="1:14" ht="16" outlineLevel="2" thickBot="1" x14ac:dyDescent="0.4">
      <c r="A164" s="105" t="s">
        <v>466</v>
      </c>
      <c r="B164" s="79" t="s">
        <v>12</v>
      </c>
      <c r="C164" s="103">
        <f>SUBTOTAL(109,Program370[(C)
Program
Costs])</f>
        <v>676680</v>
      </c>
      <c r="D164" s="103">
        <f>SUBTOTAL(109,Program370[(D)
Prior Period Adjustments])</f>
        <v>0</v>
      </c>
      <c r="E164" s="103">
        <f>SUBTOTAL(109,Program370[(E)
Current Period Desk 
Reviews])</f>
        <v>0</v>
      </c>
      <c r="F164" s="103">
        <f>SUBTOTAL(109,Program370[(F)
Current Period 
Final 
Audits])</f>
        <v>0</v>
      </c>
      <c r="G164" s="103">
        <f>SUBTOTAL(109,Program370[(G)
Current Period 
Other Adjustments])</f>
        <v>-10239</v>
      </c>
      <c r="H164" s="103">
        <f>SUBTOTAL(109,Program370[(H)
Net Program Costs
Sum (C through G)])</f>
        <v>666441</v>
      </c>
      <c r="I164" s="103">
        <f>SUBTOTAL(109,Program370[(I)
Payments
 and Offsets])</f>
        <v>-1000</v>
      </c>
      <c r="J164" s="103">
        <f>SUBTOTAL(109,Program370[(J)
Accounts Payable Balance
(H + I)])</f>
        <v>665441</v>
      </c>
      <c r="K164" s="103">
        <f>SUBTOTAL(109,Program370[(K)
Established 
Accounts Receivable])</f>
        <v>0</v>
      </c>
      <c r="L164" s="103">
        <f>SUBTOTAL(109,Program370[(L)
Recovered
 Accounts Receivable])</f>
        <v>0</v>
      </c>
      <c r="M164" s="103">
        <f>SUBTOTAL(109,Program370[(M)
Accounts Receivable Balance
(K + L)])</f>
        <v>0</v>
      </c>
      <c r="N164" s="103">
        <f>SUBTOTAL(109,Program370[(N)
Net Balance
(J minus M)])</f>
        <v>665441</v>
      </c>
    </row>
    <row r="165" spans="1:14" outlineLevel="2" x14ac:dyDescent="0.35">
      <c r="A165" s="116" t="s">
        <v>33</v>
      </c>
      <c r="B165" s="115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</row>
    <row r="166" spans="1:14" ht="77.5" outlineLevel="2" x14ac:dyDescent="0.35">
      <c r="A166" s="113" t="s">
        <v>185</v>
      </c>
      <c r="B166" s="112" t="s">
        <v>184</v>
      </c>
      <c r="C166" s="111" t="s">
        <v>183</v>
      </c>
      <c r="D166" s="111" t="s">
        <v>182</v>
      </c>
      <c r="E166" s="111" t="s">
        <v>181</v>
      </c>
      <c r="F166" s="111" t="s">
        <v>180</v>
      </c>
      <c r="G166" s="111" t="s">
        <v>179</v>
      </c>
      <c r="H166" s="110" t="s">
        <v>674</v>
      </c>
      <c r="I166" s="110" t="s">
        <v>178</v>
      </c>
      <c r="J166" s="110" t="s">
        <v>177</v>
      </c>
      <c r="K166" s="111" t="s">
        <v>176</v>
      </c>
      <c r="L166" s="110" t="s">
        <v>175</v>
      </c>
      <c r="M166" s="110" t="s">
        <v>174</v>
      </c>
      <c r="N166" s="109" t="s">
        <v>173</v>
      </c>
    </row>
    <row r="167" spans="1:14" ht="31" outlineLevel="2" x14ac:dyDescent="0.35">
      <c r="A167" s="77" t="s">
        <v>586</v>
      </c>
      <c r="B167" s="108" t="s">
        <v>215</v>
      </c>
      <c r="C167" s="106">
        <v>73358</v>
      </c>
      <c r="D167" s="106">
        <v>0</v>
      </c>
      <c r="E167" s="106">
        <v>0</v>
      </c>
      <c r="F167" s="106">
        <v>0</v>
      </c>
      <c r="G167" s="106">
        <v>0</v>
      </c>
      <c r="H167" s="106">
        <v>73358</v>
      </c>
      <c r="I167" s="106">
        <v>0</v>
      </c>
      <c r="J167" s="106">
        <v>73358</v>
      </c>
      <c r="K167" s="106">
        <v>0</v>
      </c>
      <c r="L167" s="106">
        <v>0</v>
      </c>
      <c r="M167" s="106">
        <v>0</v>
      </c>
      <c r="N167" s="106">
        <v>73358</v>
      </c>
    </row>
    <row r="168" spans="1:14" ht="31" outlineLevel="2" x14ac:dyDescent="0.35">
      <c r="A168" s="77" t="s">
        <v>586</v>
      </c>
      <c r="B168" s="108" t="s">
        <v>214</v>
      </c>
      <c r="C168" s="106">
        <v>3254717</v>
      </c>
      <c r="D168" s="106">
        <v>-3162466</v>
      </c>
      <c r="E168" s="106">
        <v>0</v>
      </c>
      <c r="F168" s="106">
        <v>0</v>
      </c>
      <c r="G168" s="106">
        <v>0</v>
      </c>
      <c r="H168" s="106">
        <v>92251</v>
      </c>
      <c r="I168" s="106">
        <v>-1000</v>
      </c>
      <c r="J168" s="106">
        <v>91251</v>
      </c>
      <c r="K168" s="106">
        <v>0</v>
      </c>
      <c r="L168" s="106">
        <v>0</v>
      </c>
      <c r="M168" s="106">
        <v>0</v>
      </c>
      <c r="N168" s="106">
        <v>91251</v>
      </c>
    </row>
    <row r="169" spans="1:14" ht="31" outlineLevel="2" x14ac:dyDescent="0.35">
      <c r="A169" s="77" t="s">
        <v>586</v>
      </c>
      <c r="B169" s="108" t="s">
        <v>212</v>
      </c>
      <c r="C169" s="106">
        <v>13791673</v>
      </c>
      <c r="D169" s="106">
        <v>-22922</v>
      </c>
      <c r="E169" s="106">
        <v>0</v>
      </c>
      <c r="F169" s="106">
        <v>-2878717</v>
      </c>
      <c r="G169" s="106">
        <v>0</v>
      </c>
      <c r="H169" s="106">
        <v>10890034</v>
      </c>
      <c r="I169" s="106">
        <v>-5682816</v>
      </c>
      <c r="J169" s="106">
        <v>5207218</v>
      </c>
      <c r="K169" s="106">
        <v>0</v>
      </c>
      <c r="L169" s="106">
        <v>0</v>
      </c>
      <c r="M169" s="106">
        <v>0</v>
      </c>
      <c r="N169" s="106">
        <v>5207218</v>
      </c>
    </row>
    <row r="170" spans="1:14" ht="31" outlineLevel="2" x14ac:dyDescent="0.35">
      <c r="A170" s="77" t="s">
        <v>586</v>
      </c>
      <c r="B170" s="108" t="s">
        <v>220</v>
      </c>
      <c r="C170" s="106">
        <v>41748467</v>
      </c>
      <c r="D170" s="106">
        <v>-4739583</v>
      </c>
      <c r="E170" s="106">
        <v>0</v>
      </c>
      <c r="F170" s="106">
        <v>-8392426</v>
      </c>
      <c r="G170" s="106">
        <v>0</v>
      </c>
      <c r="H170" s="106">
        <v>28616458</v>
      </c>
      <c r="I170" s="106">
        <v>-20251630</v>
      </c>
      <c r="J170" s="106">
        <v>8364828</v>
      </c>
      <c r="K170" s="106">
        <v>1000</v>
      </c>
      <c r="L170" s="106">
        <v>0</v>
      </c>
      <c r="M170" s="106">
        <v>1000</v>
      </c>
      <c r="N170" s="106">
        <v>8363828</v>
      </c>
    </row>
    <row r="171" spans="1:14" ht="31" outlineLevel="2" x14ac:dyDescent="0.35">
      <c r="A171" s="77" t="s">
        <v>586</v>
      </c>
      <c r="B171" s="108" t="s">
        <v>219</v>
      </c>
      <c r="C171" s="106">
        <v>74605497</v>
      </c>
      <c r="D171" s="106">
        <v>-9331680</v>
      </c>
      <c r="E171" s="106">
        <v>0</v>
      </c>
      <c r="F171" s="106">
        <v>-8035576</v>
      </c>
      <c r="G171" s="106">
        <v>0</v>
      </c>
      <c r="H171" s="106">
        <v>57238241</v>
      </c>
      <c r="I171" s="106">
        <v>-45612504</v>
      </c>
      <c r="J171" s="106">
        <v>11625737</v>
      </c>
      <c r="K171" s="106">
        <v>0</v>
      </c>
      <c r="L171" s="106">
        <v>0</v>
      </c>
      <c r="M171" s="106">
        <v>0</v>
      </c>
      <c r="N171" s="106">
        <v>11625737</v>
      </c>
    </row>
    <row r="172" spans="1:14" ht="31" outlineLevel="2" x14ac:dyDescent="0.35">
      <c r="A172" s="77" t="s">
        <v>586</v>
      </c>
      <c r="B172" s="108" t="s">
        <v>218</v>
      </c>
      <c r="C172" s="106">
        <v>77646316</v>
      </c>
      <c r="D172" s="106">
        <v>-268408</v>
      </c>
      <c r="E172" s="106">
        <v>0</v>
      </c>
      <c r="F172" s="106">
        <v>-4214711</v>
      </c>
      <c r="G172" s="106">
        <v>0</v>
      </c>
      <c r="H172" s="106">
        <v>73163197</v>
      </c>
      <c r="I172" s="106">
        <v>-71316108</v>
      </c>
      <c r="J172" s="106">
        <v>1847089</v>
      </c>
      <c r="K172" s="106">
        <v>0</v>
      </c>
      <c r="L172" s="106">
        <v>0</v>
      </c>
      <c r="M172" s="106">
        <v>0</v>
      </c>
      <c r="N172" s="106">
        <v>1847089</v>
      </c>
    </row>
    <row r="173" spans="1:14" ht="16" outlineLevel="2" thickBot="1" x14ac:dyDescent="0.4">
      <c r="A173" s="105" t="s">
        <v>465</v>
      </c>
      <c r="B173" s="79" t="s">
        <v>12</v>
      </c>
      <c r="C173" s="103">
        <f>SUBTOTAL(109,Program369[(C)
Program
Costs])</f>
        <v>211120028</v>
      </c>
      <c r="D173" s="103">
        <f>SUBTOTAL(109,Program369[(D)
Prior Period Adjustments])</f>
        <v>-17525059</v>
      </c>
      <c r="E173" s="103">
        <f>SUBTOTAL(109,Program369[(E)
Current Period Desk 
Reviews])</f>
        <v>0</v>
      </c>
      <c r="F173" s="103">
        <f>SUBTOTAL(109,Program369[(F)
Current Period 
Final 
Audits])</f>
        <v>-23521430</v>
      </c>
      <c r="G173" s="103">
        <f>SUBTOTAL(109,Program369[(G)
Current Period 
Other Adjustments])</f>
        <v>0</v>
      </c>
      <c r="H173" s="103">
        <f>SUBTOTAL(109,Program369[(H)
Net Program Costs
Sum (C through G)])</f>
        <v>170073539</v>
      </c>
      <c r="I173" s="103">
        <f>SUBTOTAL(109,Program369[(I)
Payments
 and Offsets])</f>
        <v>-142864058</v>
      </c>
      <c r="J173" s="103">
        <f>SUBTOTAL(109,Program369[(J)
Accounts Payable Balance
(H + I)])</f>
        <v>27209481</v>
      </c>
      <c r="K173" s="103">
        <f>SUBTOTAL(109,Program369[(K)
Established 
Accounts Receivable])</f>
        <v>1000</v>
      </c>
      <c r="L173" s="103">
        <f>SUBTOTAL(109,Program369[(L)
Recovered
 Accounts Receivable])</f>
        <v>0</v>
      </c>
      <c r="M173" s="103">
        <f>SUBTOTAL(109,Program369[(M)
Accounts Receivable Balance
(K + L)])</f>
        <v>1000</v>
      </c>
      <c r="N173" s="103">
        <f>SUBTOTAL(109,Program369[(N)
Net Balance
(J minus M)])</f>
        <v>27208481</v>
      </c>
    </row>
    <row r="174" spans="1:14" outlineLevel="2" x14ac:dyDescent="0.35">
      <c r="A174" s="116" t="s">
        <v>33</v>
      </c>
      <c r="B174" s="115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</row>
    <row r="175" spans="1:14" ht="77.5" outlineLevel="1" x14ac:dyDescent="0.35">
      <c r="A175" s="113" t="s">
        <v>185</v>
      </c>
      <c r="B175" s="112" t="s">
        <v>184</v>
      </c>
      <c r="C175" s="111" t="s">
        <v>183</v>
      </c>
      <c r="D175" s="111" t="s">
        <v>182</v>
      </c>
      <c r="E175" s="111" t="s">
        <v>181</v>
      </c>
      <c r="F175" s="111" t="s">
        <v>180</v>
      </c>
      <c r="G175" s="111" t="s">
        <v>179</v>
      </c>
      <c r="H175" s="110" t="s">
        <v>674</v>
      </c>
      <c r="I175" s="110" t="s">
        <v>178</v>
      </c>
      <c r="J175" s="110" t="s">
        <v>177</v>
      </c>
      <c r="K175" s="111" t="s">
        <v>176</v>
      </c>
      <c r="L175" s="110" t="s">
        <v>175</v>
      </c>
      <c r="M175" s="110" t="s">
        <v>174</v>
      </c>
      <c r="N175" s="109" t="s">
        <v>173</v>
      </c>
    </row>
    <row r="176" spans="1:14" ht="15.65" customHeight="1" outlineLevel="1" x14ac:dyDescent="0.35">
      <c r="A176" s="108" t="s">
        <v>585</v>
      </c>
      <c r="B176" s="108" t="s">
        <v>218</v>
      </c>
      <c r="C176" s="106">
        <v>166689</v>
      </c>
      <c r="D176" s="106">
        <v>-6198</v>
      </c>
      <c r="E176" s="106">
        <v>0</v>
      </c>
      <c r="F176" s="106">
        <v>0</v>
      </c>
      <c r="G176" s="106">
        <v>0</v>
      </c>
      <c r="H176" s="106">
        <v>160491</v>
      </c>
      <c r="I176" s="106">
        <v>-80368</v>
      </c>
      <c r="J176" s="106">
        <v>80123</v>
      </c>
      <c r="K176" s="106">
        <v>0</v>
      </c>
      <c r="L176" s="106">
        <v>0</v>
      </c>
      <c r="M176" s="106">
        <v>0</v>
      </c>
      <c r="N176" s="106">
        <v>80123</v>
      </c>
    </row>
    <row r="177" spans="1:14" ht="15" customHeight="1" outlineLevel="1" x14ac:dyDescent="0.35">
      <c r="A177" s="108" t="s">
        <v>585</v>
      </c>
      <c r="B177" s="108" t="s">
        <v>209</v>
      </c>
      <c r="C177" s="106">
        <v>138947</v>
      </c>
      <c r="D177" s="106">
        <v>-121</v>
      </c>
      <c r="E177" s="106">
        <v>0</v>
      </c>
      <c r="F177" s="106">
        <v>0</v>
      </c>
      <c r="G177" s="106">
        <v>0</v>
      </c>
      <c r="H177" s="106">
        <v>138826</v>
      </c>
      <c r="I177" s="106">
        <v>-96195</v>
      </c>
      <c r="J177" s="106">
        <v>42631</v>
      </c>
      <c r="K177" s="106">
        <v>0</v>
      </c>
      <c r="L177" s="106">
        <v>0</v>
      </c>
      <c r="M177" s="106">
        <v>0</v>
      </c>
      <c r="N177" s="106">
        <v>42631</v>
      </c>
    </row>
    <row r="178" spans="1:14" outlineLevel="2" x14ac:dyDescent="0.35">
      <c r="A178" s="108" t="s">
        <v>585</v>
      </c>
      <c r="B178" s="108" t="s">
        <v>208</v>
      </c>
      <c r="C178" s="106">
        <v>120165</v>
      </c>
      <c r="D178" s="106">
        <v>-235</v>
      </c>
      <c r="E178" s="106">
        <v>0</v>
      </c>
      <c r="F178" s="106">
        <v>0</v>
      </c>
      <c r="G178" s="106">
        <v>0</v>
      </c>
      <c r="H178" s="106">
        <v>119930</v>
      </c>
      <c r="I178" s="106">
        <v>-91042</v>
      </c>
      <c r="J178" s="106">
        <v>28888</v>
      </c>
      <c r="K178" s="106">
        <v>0</v>
      </c>
      <c r="L178" s="106">
        <v>0</v>
      </c>
      <c r="M178" s="106">
        <v>0</v>
      </c>
      <c r="N178" s="106">
        <v>28888</v>
      </c>
    </row>
    <row r="179" spans="1:14" outlineLevel="2" x14ac:dyDescent="0.35">
      <c r="A179" s="108" t="s">
        <v>585</v>
      </c>
      <c r="B179" s="108" t="s">
        <v>206</v>
      </c>
      <c r="C179" s="106">
        <v>86858</v>
      </c>
      <c r="D179" s="106">
        <v>-173</v>
      </c>
      <c r="E179" s="106">
        <v>0</v>
      </c>
      <c r="F179" s="106">
        <v>0</v>
      </c>
      <c r="G179" s="106">
        <v>0</v>
      </c>
      <c r="H179" s="106">
        <v>86685</v>
      </c>
      <c r="I179" s="106">
        <v>-72103</v>
      </c>
      <c r="J179" s="106">
        <v>14582</v>
      </c>
      <c r="K179" s="106">
        <v>0</v>
      </c>
      <c r="L179" s="106">
        <v>0</v>
      </c>
      <c r="M179" s="106">
        <v>0</v>
      </c>
      <c r="N179" s="106">
        <v>14582</v>
      </c>
    </row>
    <row r="180" spans="1:14" outlineLevel="2" x14ac:dyDescent="0.35">
      <c r="A180" s="108" t="s">
        <v>585</v>
      </c>
      <c r="B180" s="108" t="s">
        <v>205</v>
      </c>
      <c r="C180" s="106">
        <v>49027</v>
      </c>
      <c r="D180" s="106">
        <v>0</v>
      </c>
      <c r="E180" s="106">
        <v>0</v>
      </c>
      <c r="F180" s="106">
        <v>0</v>
      </c>
      <c r="G180" s="106">
        <v>0</v>
      </c>
      <c r="H180" s="106">
        <v>49027</v>
      </c>
      <c r="I180" s="106">
        <v>-43176</v>
      </c>
      <c r="J180" s="106">
        <v>5851</v>
      </c>
      <c r="K180" s="106">
        <v>0</v>
      </c>
      <c r="L180" s="106">
        <v>0</v>
      </c>
      <c r="M180" s="106">
        <v>0</v>
      </c>
      <c r="N180" s="106">
        <v>5851</v>
      </c>
    </row>
    <row r="181" spans="1:14" outlineLevel="2" x14ac:dyDescent="0.35">
      <c r="A181" s="108" t="s">
        <v>585</v>
      </c>
      <c r="B181" s="108" t="s">
        <v>204</v>
      </c>
      <c r="C181" s="106">
        <v>34650</v>
      </c>
      <c r="D181" s="106">
        <v>0</v>
      </c>
      <c r="E181" s="106">
        <v>0</v>
      </c>
      <c r="F181" s="106">
        <v>0</v>
      </c>
      <c r="G181" s="106">
        <v>0</v>
      </c>
      <c r="H181" s="106">
        <v>34650</v>
      </c>
      <c r="I181" s="106">
        <v>-24641</v>
      </c>
      <c r="J181" s="106">
        <v>10009</v>
      </c>
      <c r="K181" s="106">
        <v>0</v>
      </c>
      <c r="L181" s="106">
        <v>0</v>
      </c>
      <c r="M181" s="106">
        <v>0</v>
      </c>
      <c r="N181" s="106">
        <v>10009</v>
      </c>
    </row>
    <row r="182" spans="1:14" outlineLevel="2" x14ac:dyDescent="0.35">
      <c r="A182" s="108" t="s">
        <v>585</v>
      </c>
      <c r="B182" s="108" t="s">
        <v>203</v>
      </c>
      <c r="C182" s="106">
        <v>9928</v>
      </c>
      <c r="D182" s="106">
        <v>0</v>
      </c>
      <c r="E182" s="106">
        <v>0</v>
      </c>
      <c r="F182" s="106">
        <v>0</v>
      </c>
      <c r="G182" s="106">
        <v>0</v>
      </c>
      <c r="H182" s="106">
        <v>9928</v>
      </c>
      <c r="I182" s="106">
        <v>-9928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</row>
    <row r="183" spans="1:14" outlineLevel="2" x14ac:dyDescent="0.35">
      <c r="A183" s="108" t="s">
        <v>585</v>
      </c>
      <c r="B183" s="108" t="s">
        <v>202</v>
      </c>
      <c r="C183" s="106">
        <v>45752</v>
      </c>
      <c r="D183" s="106">
        <v>0</v>
      </c>
      <c r="E183" s="106">
        <v>0</v>
      </c>
      <c r="F183" s="106">
        <v>0</v>
      </c>
      <c r="G183" s="106">
        <v>0</v>
      </c>
      <c r="H183" s="106">
        <v>45752</v>
      </c>
      <c r="I183" s="106">
        <v>-45752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</row>
    <row r="184" spans="1:14" outlineLevel="2" x14ac:dyDescent="0.35">
      <c r="A184" s="108" t="s">
        <v>585</v>
      </c>
      <c r="B184" s="108" t="s">
        <v>201</v>
      </c>
      <c r="C184" s="106">
        <v>19255</v>
      </c>
      <c r="D184" s="106">
        <v>0</v>
      </c>
      <c r="E184" s="106">
        <v>0</v>
      </c>
      <c r="F184" s="106">
        <v>0</v>
      </c>
      <c r="G184" s="106">
        <v>0</v>
      </c>
      <c r="H184" s="106">
        <v>19255</v>
      </c>
      <c r="I184" s="106">
        <v>-19255</v>
      </c>
      <c r="J184" s="106">
        <v>0</v>
      </c>
      <c r="K184" s="106">
        <v>0</v>
      </c>
      <c r="L184" s="106">
        <v>0</v>
      </c>
      <c r="M184" s="106">
        <v>0</v>
      </c>
      <c r="N184" s="106">
        <v>0</v>
      </c>
    </row>
    <row r="185" spans="1:14" outlineLevel="2" x14ac:dyDescent="0.35">
      <c r="A185" s="108" t="s">
        <v>585</v>
      </c>
      <c r="B185" s="108" t="s">
        <v>200</v>
      </c>
      <c r="C185" s="106">
        <v>3432</v>
      </c>
      <c r="D185" s="106">
        <v>0</v>
      </c>
      <c r="E185" s="106">
        <v>0</v>
      </c>
      <c r="F185" s="106">
        <v>0</v>
      </c>
      <c r="G185" s="106">
        <v>0</v>
      </c>
      <c r="H185" s="106">
        <v>3432</v>
      </c>
      <c r="I185" s="106">
        <v>-3432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</row>
    <row r="186" spans="1:14" outlineLevel="2" x14ac:dyDescent="0.35">
      <c r="A186" s="108" t="s">
        <v>585</v>
      </c>
      <c r="B186" s="108" t="s">
        <v>199</v>
      </c>
      <c r="C186" s="106">
        <v>3454</v>
      </c>
      <c r="D186" s="106">
        <v>0</v>
      </c>
      <c r="E186" s="106">
        <v>0</v>
      </c>
      <c r="F186" s="106">
        <v>0</v>
      </c>
      <c r="G186" s="106">
        <v>0</v>
      </c>
      <c r="H186" s="106">
        <v>3454</v>
      </c>
      <c r="I186" s="106">
        <v>-3454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</row>
    <row r="187" spans="1:14" outlineLevel="2" x14ac:dyDescent="0.35">
      <c r="A187" s="108" t="s">
        <v>585</v>
      </c>
      <c r="B187" s="108" t="s">
        <v>198</v>
      </c>
      <c r="C187" s="106">
        <v>3363</v>
      </c>
      <c r="D187" s="106">
        <v>0</v>
      </c>
      <c r="E187" s="106">
        <v>0</v>
      </c>
      <c r="F187" s="106">
        <v>0</v>
      </c>
      <c r="G187" s="106">
        <v>0</v>
      </c>
      <c r="H187" s="106">
        <v>3363</v>
      </c>
      <c r="I187" s="106">
        <v>-3363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</row>
    <row r="188" spans="1:14" outlineLevel="2" x14ac:dyDescent="0.35">
      <c r="A188" s="108" t="s">
        <v>585</v>
      </c>
      <c r="B188" s="108" t="s">
        <v>197</v>
      </c>
      <c r="C188" s="106">
        <v>1464</v>
      </c>
      <c r="D188" s="106">
        <v>0</v>
      </c>
      <c r="E188" s="106">
        <v>0</v>
      </c>
      <c r="F188" s="106">
        <v>0</v>
      </c>
      <c r="G188" s="106">
        <v>0</v>
      </c>
      <c r="H188" s="106">
        <v>1464</v>
      </c>
      <c r="I188" s="106">
        <v>-1464</v>
      </c>
      <c r="J188" s="106">
        <v>0</v>
      </c>
      <c r="K188" s="106">
        <v>0</v>
      </c>
      <c r="L188" s="106">
        <v>0</v>
      </c>
      <c r="M188" s="106">
        <v>0</v>
      </c>
      <c r="N188" s="106">
        <v>0</v>
      </c>
    </row>
    <row r="189" spans="1:14" ht="16" outlineLevel="2" thickBot="1" x14ac:dyDescent="0.4">
      <c r="A189" s="105" t="s">
        <v>464</v>
      </c>
      <c r="B189" s="79" t="s">
        <v>12</v>
      </c>
      <c r="C189" s="103">
        <f>SUBTOTAL(109,Program354[(C)
Program
Costs])</f>
        <v>682984</v>
      </c>
      <c r="D189" s="103">
        <f>SUBTOTAL(109,Program354[(D)
Prior Period Adjustments])</f>
        <v>-6727</v>
      </c>
      <c r="E189" s="103">
        <f>SUBTOTAL(109,Program354[(E)
Current Period Desk 
Reviews])</f>
        <v>0</v>
      </c>
      <c r="F189" s="103">
        <f>SUBTOTAL(109,Program354[(F)
Current Period 
Final 
Audits])</f>
        <v>0</v>
      </c>
      <c r="G189" s="103">
        <f>SUBTOTAL(109,Program354[(G)
Current Period 
Other Adjustments])</f>
        <v>0</v>
      </c>
      <c r="H189" s="103">
        <f>SUBTOTAL(109,Program354[(H)
Net Program Costs
Sum (C through G)])</f>
        <v>676257</v>
      </c>
      <c r="I189" s="103">
        <f>SUBTOTAL(109,Program354[(I)
Payments
 and Offsets])</f>
        <v>-494173</v>
      </c>
      <c r="J189" s="103">
        <f>SUBTOTAL(109,Program354[(J)
Accounts Payable Balance
(H + I)])</f>
        <v>182084</v>
      </c>
      <c r="K189" s="103">
        <f>SUBTOTAL(109,Program354[(K)
Established 
Accounts Receivable])</f>
        <v>0</v>
      </c>
      <c r="L189" s="103">
        <f>SUBTOTAL(109,Program354[(L)
Recovered
 Accounts Receivable])</f>
        <v>0</v>
      </c>
      <c r="M189" s="103">
        <f>SUBTOTAL(109,Program354[(M)
Accounts Receivable Balance
(K + L)])</f>
        <v>0</v>
      </c>
      <c r="N189" s="103">
        <f>SUBTOTAL(109,Program354[(N)
Net Balance
(J minus M)])</f>
        <v>182084</v>
      </c>
    </row>
    <row r="190" spans="1:14" outlineLevel="2" x14ac:dyDescent="0.35">
      <c r="A190" s="116" t="s">
        <v>33</v>
      </c>
      <c r="B190" s="115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</row>
    <row r="191" spans="1:14" ht="77.5" outlineLevel="2" x14ac:dyDescent="0.35">
      <c r="A191" s="113" t="s">
        <v>185</v>
      </c>
      <c r="B191" s="112" t="s">
        <v>184</v>
      </c>
      <c r="C191" s="111" t="s">
        <v>183</v>
      </c>
      <c r="D191" s="111" t="s">
        <v>182</v>
      </c>
      <c r="E191" s="111" t="s">
        <v>181</v>
      </c>
      <c r="F191" s="111" t="s">
        <v>180</v>
      </c>
      <c r="G191" s="111" t="s">
        <v>179</v>
      </c>
      <c r="H191" s="110" t="s">
        <v>674</v>
      </c>
      <c r="I191" s="110" t="s">
        <v>178</v>
      </c>
      <c r="J191" s="110" t="s">
        <v>177</v>
      </c>
      <c r="K191" s="111" t="s">
        <v>176</v>
      </c>
      <c r="L191" s="110" t="s">
        <v>175</v>
      </c>
      <c r="M191" s="110" t="s">
        <v>174</v>
      </c>
      <c r="N191" s="109" t="s">
        <v>173</v>
      </c>
    </row>
    <row r="192" spans="1:14" ht="31" outlineLevel="1" x14ac:dyDescent="0.35">
      <c r="A192" s="77" t="s">
        <v>584</v>
      </c>
      <c r="B192" s="108" t="s">
        <v>212</v>
      </c>
      <c r="C192" s="106">
        <v>1492</v>
      </c>
      <c r="D192" s="106">
        <v>0</v>
      </c>
      <c r="E192" s="106">
        <v>0</v>
      </c>
      <c r="F192" s="106">
        <v>0</v>
      </c>
      <c r="G192" s="106">
        <v>0</v>
      </c>
      <c r="H192" s="106">
        <v>1492</v>
      </c>
      <c r="I192" s="106">
        <v>-1492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</row>
    <row r="193" spans="1:14" ht="30" customHeight="1" outlineLevel="1" x14ac:dyDescent="0.35">
      <c r="A193" s="77" t="s">
        <v>584</v>
      </c>
      <c r="B193" s="108" t="s">
        <v>220</v>
      </c>
      <c r="C193" s="106">
        <v>1525</v>
      </c>
      <c r="D193" s="106">
        <v>0</v>
      </c>
      <c r="E193" s="106">
        <v>0</v>
      </c>
      <c r="F193" s="106">
        <v>0</v>
      </c>
      <c r="G193" s="106">
        <v>0</v>
      </c>
      <c r="H193" s="106">
        <v>1525</v>
      </c>
      <c r="I193" s="106">
        <v>-1525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</row>
    <row r="194" spans="1:14" ht="30" customHeight="1" outlineLevel="1" x14ac:dyDescent="0.35">
      <c r="A194" s="77" t="s">
        <v>584</v>
      </c>
      <c r="B194" s="108" t="s">
        <v>218</v>
      </c>
      <c r="C194" s="106">
        <v>3934</v>
      </c>
      <c r="D194" s="106">
        <v>0</v>
      </c>
      <c r="E194" s="106">
        <v>0</v>
      </c>
      <c r="F194" s="106">
        <v>0</v>
      </c>
      <c r="G194" s="106">
        <v>0</v>
      </c>
      <c r="H194" s="106">
        <v>3934</v>
      </c>
      <c r="I194" s="106">
        <v>-1000</v>
      </c>
      <c r="J194" s="106">
        <v>2934</v>
      </c>
      <c r="K194" s="106">
        <v>0</v>
      </c>
      <c r="L194" s="106">
        <v>0</v>
      </c>
      <c r="M194" s="106">
        <v>0</v>
      </c>
      <c r="N194" s="106">
        <v>2934</v>
      </c>
    </row>
    <row r="195" spans="1:14" ht="31" outlineLevel="2" x14ac:dyDescent="0.35">
      <c r="A195" s="77" t="s">
        <v>584</v>
      </c>
      <c r="B195" s="108" t="s">
        <v>209</v>
      </c>
      <c r="C195" s="106">
        <v>3927</v>
      </c>
      <c r="D195" s="106">
        <v>0</v>
      </c>
      <c r="E195" s="106">
        <v>0</v>
      </c>
      <c r="F195" s="106">
        <v>0</v>
      </c>
      <c r="G195" s="106">
        <v>0</v>
      </c>
      <c r="H195" s="106">
        <v>3927</v>
      </c>
      <c r="I195" s="106">
        <v>-2888</v>
      </c>
      <c r="J195" s="106">
        <v>1039</v>
      </c>
      <c r="K195" s="106">
        <v>0</v>
      </c>
      <c r="L195" s="106">
        <v>0</v>
      </c>
      <c r="M195" s="106">
        <v>0</v>
      </c>
      <c r="N195" s="106">
        <v>1039</v>
      </c>
    </row>
    <row r="196" spans="1:14" ht="31" outlineLevel="2" x14ac:dyDescent="0.35">
      <c r="A196" s="77" t="s">
        <v>584</v>
      </c>
      <c r="B196" s="108" t="s">
        <v>208</v>
      </c>
      <c r="C196" s="106">
        <v>46015</v>
      </c>
      <c r="D196" s="106">
        <v>-198</v>
      </c>
      <c r="E196" s="106">
        <v>0</v>
      </c>
      <c r="F196" s="106">
        <v>0</v>
      </c>
      <c r="G196" s="106">
        <v>0</v>
      </c>
      <c r="H196" s="106">
        <v>45817</v>
      </c>
      <c r="I196" s="106">
        <v>-39849</v>
      </c>
      <c r="J196" s="106">
        <v>5968</v>
      </c>
      <c r="K196" s="106">
        <v>0</v>
      </c>
      <c r="L196" s="106">
        <v>0</v>
      </c>
      <c r="M196" s="106">
        <v>0</v>
      </c>
      <c r="N196" s="106">
        <v>5968</v>
      </c>
    </row>
    <row r="197" spans="1:14" ht="31" outlineLevel="2" x14ac:dyDescent="0.35">
      <c r="A197" s="77" t="s">
        <v>584</v>
      </c>
      <c r="B197" s="108" t="s">
        <v>206</v>
      </c>
      <c r="C197" s="106">
        <v>48564</v>
      </c>
      <c r="D197" s="106">
        <v>0</v>
      </c>
      <c r="E197" s="106">
        <v>0</v>
      </c>
      <c r="F197" s="106">
        <v>0</v>
      </c>
      <c r="G197" s="106">
        <v>0</v>
      </c>
      <c r="H197" s="106">
        <v>48564</v>
      </c>
      <c r="I197" s="106">
        <v>-38573</v>
      </c>
      <c r="J197" s="106">
        <v>9991</v>
      </c>
      <c r="K197" s="106">
        <v>0</v>
      </c>
      <c r="L197" s="106">
        <v>0</v>
      </c>
      <c r="M197" s="106">
        <v>0</v>
      </c>
      <c r="N197" s="106">
        <v>9991</v>
      </c>
    </row>
    <row r="198" spans="1:14" ht="31" outlineLevel="2" x14ac:dyDescent="0.35">
      <c r="A198" s="77" t="s">
        <v>584</v>
      </c>
      <c r="B198" s="108" t="s">
        <v>205</v>
      </c>
      <c r="C198" s="106">
        <v>53331</v>
      </c>
      <c r="D198" s="106">
        <v>0</v>
      </c>
      <c r="E198" s="106">
        <v>0</v>
      </c>
      <c r="F198" s="106">
        <v>0</v>
      </c>
      <c r="G198" s="106">
        <v>0</v>
      </c>
      <c r="H198" s="106">
        <v>53331</v>
      </c>
      <c r="I198" s="106">
        <v>-53331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</row>
    <row r="199" spans="1:14" ht="31" outlineLevel="2" x14ac:dyDescent="0.35">
      <c r="A199" s="77" t="s">
        <v>584</v>
      </c>
      <c r="B199" s="108" t="s">
        <v>204</v>
      </c>
      <c r="C199" s="106">
        <v>103369</v>
      </c>
      <c r="D199" s="106">
        <v>0</v>
      </c>
      <c r="E199" s="106">
        <v>0</v>
      </c>
      <c r="F199" s="106">
        <v>0</v>
      </c>
      <c r="G199" s="106">
        <v>0</v>
      </c>
      <c r="H199" s="106">
        <v>103369</v>
      </c>
      <c r="I199" s="106">
        <v>-99494</v>
      </c>
      <c r="J199" s="106">
        <v>3875</v>
      </c>
      <c r="K199" s="106">
        <v>0</v>
      </c>
      <c r="L199" s="106">
        <v>0</v>
      </c>
      <c r="M199" s="106">
        <v>0</v>
      </c>
      <c r="N199" s="106">
        <v>3875</v>
      </c>
    </row>
    <row r="200" spans="1:14" ht="31" outlineLevel="2" x14ac:dyDescent="0.35">
      <c r="A200" s="77" t="s">
        <v>584</v>
      </c>
      <c r="B200" s="108" t="s">
        <v>203</v>
      </c>
      <c r="C200" s="106">
        <v>72433</v>
      </c>
      <c r="D200" s="106">
        <v>-174</v>
      </c>
      <c r="E200" s="106">
        <v>0</v>
      </c>
      <c r="F200" s="106">
        <v>0</v>
      </c>
      <c r="G200" s="106">
        <v>0</v>
      </c>
      <c r="H200" s="106">
        <v>72259</v>
      </c>
      <c r="I200" s="106">
        <v>-49294</v>
      </c>
      <c r="J200" s="106">
        <v>22965</v>
      </c>
      <c r="K200" s="106">
        <v>0</v>
      </c>
      <c r="L200" s="106">
        <v>0</v>
      </c>
      <c r="M200" s="106">
        <v>0</v>
      </c>
      <c r="N200" s="106">
        <v>22965</v>
      </c>
    </row>
    <row r="201" spans="1:14" ht="31" outlineLevel="2" x14ac:dyDescent="0.35">
      <c r="A201" s="77" t="s">
        <v>584</v>
      </c>
      <c r="B201" s="108" t="s">
        <v>202</v>
      </c>
      <c r="C201" s="106">
        <v>88376</v>
      </c>
      <c r="D201" s="106">
        <v>-651</v>
      </c>
      <c r="E201" s="106">
        <v>0</v>
      </c>
      <c r="F201" s="106">
        <v>0</v>
      </c>
      <c r="G201" s="106">
        <v>0</v>
      </c>
      <c r="H201" s="106">
        <v>87725</v>
      </c>
      <c r="I201" s="106">
        <v>-61922</v>
      </c>
      <c r="J201" s="106">
        <v>25803</v>
      </c>
      <c r="K201" s="106">
        <v>0</v>
      </c>
      <c r="L201" s="106">
        <v>0</v>
      </c>
      <c r="M201" s="106">
        <v>0</v>
      </c>
      <c r="N201" s="106">
        <v>25803</v>
      </c>
    </row>
    <row r="202" spans="1:14" ht="31" outlineLevel="2" x14ac:dyDescent="0.35">
      <c r="A202" s="77" t="s">
        <v>584</v>
      </c>
      <c r="B202" s="108" t="s">
        <v>201</v>
      </c>
      <c r="C202" s="106">
        <v>82233</v>
      </c>
      <c r="D202" s="106">
        <v>-601</v>
      </c>
      <c r="E202" s="106">
        <v>0</v>
      </c>
      <c r="F202" s="106">
        <v>0</v>
      </c>
      <c r="G202" s="106">
        <v>0</v>
      </c>
      <c r="H202" s="106">
        <v>81632</v>
      </c>
      <c r="I202" s="106">
        <v>-66048</v>
      </c>
      <c r="J202" s="106">
        <v>15584</v>
      </c>
      <c r="K202" s="106">
        <v>0</v>
      </c>
      <c r="L202" s="106">
        <v>0</v>
      </c>
      <c r="M202" s="106">
        <v>0</v>
      </c>
      <c r="N202" s="106">
        <v>15584</v>
      </c>
    </row>
    <row r="203" spans="1:14" ht="31" outlineLevel="2" x14ac:dyDescent="0.35">
      <c r="A203" s="77" t="s">
        <v>584</v>
      </c>
      <c r="B203" s="108" t="s">
        <v>200</v>
      </c>
      <c r="C203" s="106">
        <v>85399</v>
      </c>
      <c r="D203" s="106">
        <v>-469</v>
      </c>
      <c r="E203" s="106">
        <v>0</v>
      </c>
      <c r="F203" s="106">
        <v>0</v>
      </c>
      <c r="G203" s="106">
        <v>0</v>
      </c>
      <c r="H203" s="106">
        <v>84930</v>
      </c>
      <c r="I203" s="106">
        <v>-83406</v>
      </c>
      <c r="J203" s="106">
        <v>1524</v>
      </c>
      <c r="K203" s="106">
        <v>0</v>
      </c>
      <c r="L203" s="106">
        <v>0</v>
      </c>
      <c r="M203" s="106">
        <v>0</v>
      </c>
      <c r="N203" s="106">
        <v>1524</v>
      </c>
    </row>
    <row r="204" spans="1:14" ht="31" outlineLevel="2" x14ac:dyDescent="0.35">
      <c r="A204" s="77" t="s">
        <v>584</v>
      </c>
      <c r="B204" s="108" t="s">
        <v>199</v>
      </c>
      <c r="C204" s="106">
        <v>49800</v>
      </c>
      <c r="D204" s="106">
        <v>-455</v>
      </c>
      <c r="E204" s="106">
        <v>0</v>
      </c>
      <c r="F204" s="106">
        <v>0</v>
      </c>
      <c r="G204" s="106">
        <v>0</v>
      </c>
      <c r="H204" s="106">
        <v>49345</v>
      </c>
      <c r="I204" s="106">
        <v>-49345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</row>
    <row r="205" spans="1:14" ht="31" outlineLevel="2" x14ac:dyDescent="0.35">
      <c r="A205" s="77" t="s">
        <v>584</v>
      </c>
      <c r="B205" s="108" t="s">
        <v>198</v>
      </c>
      <c r="C205" s="106">
        <v>39897</v>
      </c>
      <c r="D205" s="106">
        <v>-124</v>
      </c>
      <c r="E205" s="106">
        <v>0</v>
      </c>
      <c r="F205" s="106">
        <v>0</v>
      </c>
      <c r="G205" s="106">
        <v>0</v>
      </c>
      <c r="H205" s="106">
        <v>39773</v>
      </c>
      <c r="I205" s="106">
        <v>-39773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</row>
    <row r="206" spans="1:14" ht="31" outlineLevel="2" x14ac:dyDescent="0.35">
      <c r="A206" s="77" t="s">
        <v>584</v>
      </c>
      <c r="B206" s="108" t="s">
        <v>197</v>
      </c>
      <c r="C206" s="106">
        <v>33715</v>
      </c>
      <c r="D206" s="106">
        <v>-141</v>
      </c>
      <c r="E206" s="106">
        <v>0</v>
      </c>
      <c r="F206" s="106">
        <v>0</v>
      </c>
      <c r="G206" s="106">
        <v>0</v>
      </c>
      <c r="H206" s="106">
        <v>33574</v>
      </c>
      <c r="I206" s="106">
        <v>-33574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</row>
    <row r="207" spans="1:14" ht="16" outlineLevel="2" thickBot="1" x14ac:dyDescent="0.4">
      <c r="A207" s="105" t="s">
        <v>463</v>
      </c>
      <c r="B207" s="79" t="s">
        <v>12</v>
      </c>
      <c r="C207" s="103">
        <f>SUBTOTAL(109,Program286[(C)
Program
Costs])</f>
        <v>714010</v>
      </c>
      <c r="D207" s="103">
        <f>SUBTOTAL(109,Program286[(D)
Prior Period Adjustments])</f>
        <v>-2813</v>
      </c>
      <c r="E207" s="103">
        <f>SUBTOTAL(109,Program286[(E)
Current Period Desk 
Reviews])</f>
        <v>0</v>
      </c>
      <c r="F207" s="103">
        <f>SUBTOTAL(109,Program286[(F)
Current Period 
Final 
Audits])</f>
        <v>0</v>
      </c>
      <c r="G207" s="103">
        <f>SUBTOTAL(109,Program286[(G)
Current Period 
Other Adjustments])</f>
        <v>0</v>
      </c>
      <c r="H207" s="103">
        <f>SUBTOTAL(109,Program286[(H)
Net Program Costs
Sum (C through G)])</f>
        <v>711197</v>
      </c>
      <c r="I207" s="103">
        <f>SUBTOTAL(109,Program286[(I)
Payments
 and Offsets])</f>
        <v>-621514</v>
      </c>
      <c r="J207" s="103">
        <f>SUBTOTAL(109,Program286[(J)
Accounts Payable Balance
(H + I)])</f>
        <v>89683</v>
      </c>
      <c r="K207" s="103">
        <f>SUBTOTAL(109,Program286[(K)
Established 
Accounts Receivable])</f>
        <v>0</v>
      </c>
      <c r="L207" s="103">
        <f>SUBTOTAL(109,Program286[(L)
Recovered
 Accounts Receivable])</f>
        <v>0</v>
      </c>
      <c r="M207" s="103">
        <f>SUBTOTAL(109,Program286[(M)
Accounts Receivable Balance
(K + L)])</f>
        <v>0</v>
      </c>
      <c r="N207" s="103">
        <f>SUBTOTAL(109,Program286[(N)
Net Balance
(J minus M)])</f>
        <v>89683</v>
      </c>
    </row>
    <row r="208" spans="1:14" outlineLevel="2" x14ac:dyDescent="0.35">
      <c r="A208" s="116" t="s">
        <v>33</v>
      </c>
      <c r="B208" s="115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</row>
    <row r="209" spans="1:14" ht="77.5" outlineLevel="2" x14ac:dyDescent="0.35">
      <c r="A209" s="113" t="s">
        <v>185</v>
      </c>
      <c r="B209" s="112" t="s">
        <v>184</v>
      </c>
      <c r="C209" s="111" t="s">
        <v>183</v>
      </c>
      <c r="D209" s="111" t="s">
        <v>182</v>
      </c>
      <c r="E209" s="111" t="s">
        <v>181</v>
      </c>
      <c r="F209" s="111" t="s">
        <v>180</v>
      </c>
      <c r="G209" s="111" t="s">
        <v>179</v>
      </c>
      <c r="H209" s="110" t="s">
        <v>674</v>
      </c>
      <c r="I209" s="110" t="s">
        <v>178</v>
      </c>
      <c r="J209" s="110" t="s">
        <v>177</v>
      </c>
      <c r="K209" s="111" t="s">
        <v>176</v>
      </c>
      <c r="L209" s="110" t="s">
        <v>175</v>
      </c>
      <c r="M209" s="110" t="s">
        <v>174</v>
      </c>
      <c r="N209" s="109" t="s">
        <v>173</v>
      </c>
    </row>
    <row r="210" spans="1:14" ht="31" outlineLevel="2" x14ac:dyDescent="0.35">
      <c r="A210" s="77" t="s">
        <v>583</v>
      </c>
      <c r="B210" s="108" t="s">
        <v>215</v>
      </c>
      <c r="C210" s="106">
        <v>2715</v>
      </c>
      <c r="D210" s="106">
        <v>0</v>
      </c>
      <c r="E210" s="106">
        <v>0</v>
      </c>
      <c r="F210" s="106">
        <v>0</v>
      </c>
      <c r="G210" s="106">
        <v>0</v>
      </c>
      <c r="H210" s="106">
        <v>2715</v>
      </c>
      <c r="I210" s="106">
        <v>0</v>
      </c>
      <c r="J210" s="106">
        <v>2715</v>
      </c>
      <c r="K210" s="106">
        <v>0</v>
      </c>
      <c r="L210" s="106">
        <v>0</v>
      </c>
      <c r="M210" s="106">
        <v>0</v>
      </c>
      <c r="N210" s="106">
        <v>2715</v>
      </c>
    </row>
    <row r="211" spans="1:14" ht="31" outlineLevel="2" x14ac:dyDescent="0.35">
      <c r="A211" s="77" t="s">
        <v>583</v>
      </c>
      <c r="B211" s="108" t="s">
        <v>214</v>
      </c>
      <c r="C211" s="106">
        <v>2572</v>
      </c>
      <c r="D211" s="106">
        <v>0</v>
      </c>
      <c r="E211" s="106">
        <v>0</v>
      </c>
      <c r="F211" s="106">
        <v>0</v>
      </c>
      <c r="G211" s="106">
        <v>0</v>
      </c>
      <c r="H211" s="106">
        <v>2572</v>
      </c>
      <c r="I211" s="106">
        <v>-1000</v>
      </c>
      <c r="J211" s="106">
        <v>1572</v>
      </c>
      <c r="K211" s="106">
        <v>0</v>
      </c>
      <c r="L211" s="106">
        <v>0</v>
      </c>
      <c r="M211" s="106">
        <v>0</v>
      </c>
      <c r="N211" s="106">
        <v>1572</v>
      </c>
    </row>
    <row r="212" spans="1:14" ht="31" outlineLevel="2" x14ac:dyDescent="0.35">
      <c r="A212" s="77" t="s">
        <v>583</v>
      </c>
      <c r="B212" s="108" t="s">
        <v>212</v>
      </c>
      <c r="C212" s="106">
        <v>3190</v>
      </c>
      <c r="D212" s="106">
        <v>0</v>
      </c>
      <c r="E212" s="106">
        <v>0</v>
      </c>
      <c r="F212" s="106">
        <v>0</v>
      </c>
      <c r="G212" s="106">
        <v>0</v>
      </c>
      <c r="H212" s="106">
        <v>3190</v>
      </c>
      <c r="I212" s="106">
        <v>-1000</v>
      </c>
      <c r="J212" s="106">
        <v>2190</v>
      </c>
      <c r="K212" s="106">
        <v>0</v>
      </c>
      <c r="L212" s="106">
        <v>0</v>
      </c>
      <c r="M212" s="106">
        <v>0</v>
      </c>
      <c r="N212" s="106">
        <v>2190</v>
      </c>
    </row>
    <row r="213" spans="1:14" ht="31" outlineLevel="2" x14ac:dyDescent="0.35">
      <c r="A213" s="77" t="s">
        <v>583</v>
      </c>
      <c r="B213" s="108" t="s">
        <v>220</v>
      </c>
      <c r="C213" s="106">
        <v>8527</v>
      </c>
      <c r="D213" s="106">
        <v>0</v>
      </c>
      <c r="E213" s="106">
        <v>0</v>
      </c>
      <c r="F213" s="106">
        <v>0</v>
      </c>
      <c r="G213" s="106">
        <v>0</v>
      </c>
      <c r="H213" s="106">
        <v>8527</v>
      </c>
      <c r="I213" s="106">
        <v>-1000</v>
      </c>
      <c r="J213" s="106">
        <v>7527</v>
      </c>
      <c r="K213" s="106">
        <v>0</v>
      </c>
      <c r="L213" s="106">
        <v>0</v>
      </c>
      <c r="M213" s="106">
        <v>0</v>
      </c>
      <c r="N213" s="106">
        <v>7527</v>
      </c>
    </row>
    <row r="214" spans="1:14" ht="31" outlineLevel="2" x14ac:dyDescent="0.35">
      <c r="A214" s="77" t="s">
        <v>583</v>
      </c>
      <c r="B214" s="108" t="s">
        <v>219</v>
      </c>
      <c r="C214" s="106">
        <v>51776</v>
      </c>
      <c r="D214" s="106">
        <v>0</v>
      </c>
      <c r="E214" s="106">
        <v>0</v>
      </c>
      <c r="F214" s="106">
        <v>0</v>
      </c>
      <c r="G214" s="106">
        <v>0</v>
      </c>
      <c r="H214" s="106">
        <v>51776</v>
      </c>
      <c r="I214" s="106">
        <v>-21615</v>
      </c>
      <c r="J214" s="106">
        <v>30161</v>
      </c>
      <c r="K214" s="106">
        <v>0</v>
      </c>
      <c r="L214" s="106">
        <v>0</v>
      </c>
      <c r="M214" s="106">
        <v>0</v>
      </c>
      <c r="N214" s="106">
        <v>30161</v>
      </c>
    </row>
    <row r="215" spans="1:14" ht="31" outlineLevel="2" x14ac:dyDescent="0.35">
      <c r="A215" s="77" t="s">
        <v>583</v>
      </c>
      <c r="B215" s="108" t="s">
        <v>218</v>
      </c>
      <c r="C215" s="106">
        <v>39745</v>
      </c>
      <c r="D215" s="106">
        <v>-224</v>
      </c>
      <c r="E215" s="106">
        <v>0</v>
      </c>
      <c r="F215" s="106">
        <v>0</v>
      </c>
      <c r="G215" s="106">
        <v>0</v>
      </c>
      <c r="H215" s="106">
        <v>39521</v>
      </c>
      <c r="I215" s="106">
        <v>-18266</v>
      </c>
      <c r="J215" s="106">
        <v>21255</v>
      </c>
      <c r="K215" s="106">
        <v>0</v>
      </c>
      <c r="L215" s="106">
        <v>0</v>
      </c>
      <c r="M215" s="106">
        <v>0</v>
      </c>
      <c r="N215" s="106">
        <v>21255</v>
      </c>
    </row>
    <row r="216" spans="1:14" ht="31" outlineLevel="2" x14ac:dyDescent="0.35">
      <c r="A216" s="77" t="s">
        <v>583</v>
      </c>
      <c r="B216" s="108" t="s">
        <v>209</v>
      </c>
      <c r="C216" s="106">
        <v>112635</v>
      </c>
      <c r="D216" s="106">
        <v>0</v>
      </c>
      <c r="E216" s="106">
        <v>0</v>
      </c>
      <c r="F216" s="106">
        <v>0</v>
      </c>
      <c r="G216" s="106">
        <v>0</v>
      </c>
      <c r="H216" s="106">
        <v>112635</v>
      </c>
      <c r="I216" s="106">
        <v>-61328</v>
      </c>
      <c r="J216" s="106">
        <v>51307</v>
      </c>
      <c r="K216" s="106">
        <v>0</v>
      </c>
      <c r="L216" s="106">
        <v>0</v>
      </c>
      <c r="M216" s="106">
        <v>0</v>
      </c>
      <c r="N216" s="106">
        <v>51307</v>
      </c>
    </row>
    <row r="217" spans="1:14" ht="31" outlineLevel="2" x14ac:dyDescent="0.35">
      <c r="A217" s="77" t="s">
        <v>583</v>
      </c>
      <c r="B217" s="108" t="s">
        <v>208</v>
      </c>
      <c r="C217" s="106">
        <v>434906</v>
      </c>
      <c r="D217" s="106">
        <v>-863</v>
      </c>
      <c r="E217" s="106">
        <v>0</v>
      </c>
      <c r="F217" s="106">
        <v>0</v>
      </c>
      <c r="G217" s="106">
        <v>0</v>
      </c>
      <c r="H217" s="106">
        <v>434043</v>
      </c>
      <c r="I217" s="106">
        <v>-297644</v>
      </c>
      <c r="J217" s="106">
        <v>136399</v>
      </c>
      <c r="K217" s="106">
        <v>0</v>
      </c>
      <c r="L217" s="106">
        <v>0</v>
      </c>
      <c r="M217" s="106">
        <v>0</v>
      </c>
      <c r="N217" s="106">
        <v>136399</v>
      </c>
    </row>
    <row r="218" spans="1:14" ht="31" outlineLevel="2" x14ac:dyDescent="0.35">
      <c r="A218" s="77" t="s">
        <v>583</v>
      </c>
      <c r="B218" s="108" t="s">
        <v>206</v>
      </c>
      <c r="C218" s="106">
        <v>510406</v>
      </c>
      <c r="D218" s="106">
        <v>-494</v>
      </c>
      <c r="E218" s="106">
        <v>0</v>
      </c>
      <c r="F218" s="106">
        <v>0</v>
      </c>
      <c r="G218" s="106">
        <v>0</v>
      </c>
      <c r="H218" s="106">
        <v>509912</v>
      </c>
      <c r="I218" s="106">
        <v>-359546</v>
      </c>
      <c r="J218" s="106">
        <v>150366</v>
      </c>
      <c r="K218" s="106">
        <v>0</v>
      </c>
      <c r="L218" s="106">
        <v>0</v>
      </c>
      <c r="M218" s="106">
        <v>0</v>
      </c>
      <c r="N218" s="106">
        <v>150366</v>
      </c>
    </row>
    <row r="219" spans="1:14" ht="31" outlineLevel="1" x14ac:dyDescent="0.35">
      <c r="A219" s="77" t="s">
        <v>583</v>
      </c>
      <c r="B219" s="108" t="s">
        <v>205</v>
      </c>
      <c r="C219" s="106">
        <v>494008</v>
      </c>
      <c r="D219" s="106">
        <v>-3124</v>
      </c>
      <c r="E219" s="106">
        <v>0</v>
      </c>
      <c r="F219" s="106">
        <v>0</v>
      </c>
      <c r="G219" s="106">
        <v>0</v>
      </c>
      <c r="H219" s="106">
        <v>490884</v>
      </c>
      <c r="I219" s="106">
        <v>-490884</v>
      </c>
      <c r="J219" s="106">
        <v>0</v>
      </c>
      <c r="K219" s="106">
        <v>64</v>
      </c>
      <c r="L219" s="106">
        <v>-64</v>
      </c>
      <c r="M219" s="106">
        <v>0</v>
      </c>
      <c r="N219" s="106">
        <v>0</v>
      </c>
    </row>
    <row r="220" spans="1:14" ht="30" customHeight="1" outlineLevel="1" x14ac:dyDescent="0.35">
      <c r="A220" s="77" t="s">
        <v>583</v>
      </c>
      <c r="B220" s="108" t="s">
        <v>204</v>
      </c>
      <c r="C220" s="106">
        <v>614283</v>
      </c>
      <c r="D220" s="106">
        <v>0</v>
      </c>
      <c r="E220" s="106">
        <v>0</v>
      </c>
      <c r="F220" s="106">
        <v>0</v>
      </c>
      <c r="G220" s="106">
        <v>0</v>
      </c>
      <c r="H220" s="106">
        <v>614283</v>
      </c>
      <c r="I220" s="106">
        <v>-610927</v>
      </c>
      <c r="J220" s="106">
        <v>3356</v>
      </c>
      <c r="K220" s="106">
        <v>1120</v>
      </c>
      <c r="L220" s="106">
        <v>-1120</v>
      </c>
      <c r="M220" s="106">
        <v>0</v>
      </c>
      <c r="N220" s="106">
        <v>3356</v>
      </c>
    </row>
    <row r="221" spans="1:14" ht="30" customHeight="1" outlineLevel="1" x14ac:dyDescent="0.35">
      <c r="A221" s="77" t="s">
        <v>583</v>
      </c>
      <c r="B221" s="108" t="s">
        <v>203</v>
      </c>
      <c r="C221" s="106">
        <v>629152</v>
      </c>
      <c r="D221" s="106">
        <v>-4208</v>
      </c>
      <c r="E221" s="106">
        <v>0</v>
      </c>
      <c r="F221" s="106">
        <v>0</v>
      </c>
      <c r="G221" s="106">
        <v>0</v>
      </c>
      <c r="H221" s="106">
        <v>624944</v>
      </c>
      <c r="I221" s="106">
        <v>-536418</v>
      </c>
      <c r="J221" s="106">
        <v>88526</v>
      </c>
      <c r="K221" s="106">
        <v>0</v>
      </c>
      <c r="L221" s="106">
        <v>0</v>
      </c>
      <c r="M221" s="106">
        <v>0</v>
      </c>
      <c r="N221" s="106">
        <v>88526</v>
      </c>
    </row>
    <row r="222" spans="1:14" ht="31" outlineLevel="2" x14ac:dyDescent="0.35">
      <c r="A222" s="77" t="s">
        <v>583</v>
      </c>
      <c r="B222" s="108" t="s">
        <v>202</v>
      </c>
      <c r="C222" s="106">
        <v>731152</v>
      </c>
      <c r="D222" s="106">
        <v>-17840</v>
      </c>
      <c r="E222" s="106">
        <v>0</v>
      </c>
      <c r="F222" s="106">
        <v>0</v>
      </c>
      <c r="G222" s="106">
        <v>0</v>
      </c>
      <c r="H222" s="106">
        <v>713312</v>
      </c>
      <c r="I222" s="106">
        <v>-650007</v>
      </c>
      <c r="J222" s="106">
        <v>63305</v>
      </c>
      <c r="K222" s="106">
        <v>28693</v>
      </c>
      <c r="L222" s="106">
        <v>-15027</v>
      </c>
      <c r="M222" s="106">
        <v>13666</v>
      </c>
      <c r="N222" s="106">
        <v>49639</v>
      </c>
    </row>
    <row r="223" spans="1:14" ht="31" outlineLevel="2" x14ac:dyDescent="0.35">
      <c r="A223" s="77" t="s">
        <v>583</v>
      </c>
      <c r="B223" s="108" t="s">
        <v>201</v>
      </c>
      <c r="C223" s="106">
        <v>799821</v>
      </c>
      <c r="D223" s="106">
        <v>-9855</v>
      </c>
      <c r="E223" s="106">
        <v>0</v>
      </c>
      <c r="F223" s="106">
        <v>0</v>
      </c>
      <c r="G223" s="106">
        <v>0</v>
      </c>
      <c r="H223" s="106">
        <v>789966</v>
      </c>
      <c r="I223" s="106">
        <v>-701787</v>
      </c>
      <c r="J223" s="106">
        <v>88179</v>
      </c>
      <c r="K223" s="106">
        <v>0</v>
      </c>
      <c r="L223" s="106">
        <v>0</v>
      </c>
      <c r="M223" s="106">
        <v>0</v>
      </c>
      <c r="N223" s="106">
        <v>88179</v>
      </c>
    </row>
    <row r="224" spans="1:14" ht="31" outlineLevel="2" x14ac:dyDescent="0.35">
      <c r="A224" s="77" t="s">
        <v>583</v>
      </c>
      <c r="B224" s="108" t="s">
        <v>200</v>
      </c>
      <c r="C224" s="106">
        <v>881955</v>
      </c>
      <c r="D224" s="106">
        <v>-19664</v>
      </c>
      <c r="E224" s="106">
        <v>0</v>
      </c>
      <c r="F224" s="106">
        <v>0</v>
      </c>
      <c r="G224" s="106">
        <v>0</v>
      </c>
      <c r="H224" s="106">
        <v>862291</v>
      </c>
      <c r="I224" s="106">
        <v>-862291</v>
      </c>
      <c r="J224" s="106">
        <v>0</v>
      </c>
      <c r="K224" s="106">
        <v>8341</v>
      </c>
      <c r="L224" s="106">
        <v>0</v>
      </c>
      <c r="M224" s="106">
        <v>8341</v>
      </c>
      <c r="N224" s="106">
        <v>-8341</v>
      </c>
    </row>
    <row r="225" spans="1:14" ht="31" outlineLevel="2" x14ac:dyDescent="0.35">
      <c r="A225" s="77" t="s">
        <v>583</v>
      </c>
      <c r="B225" s="108" t="s">
        <v>199</v>
      </c>
      <c r="C225" s="106">
        <v>1050033</v>
      </c>
      <c r="D225" s="106">
        <v>-5084</v>
      </c>
      <c r="E225" s="106">
        <v>0</v>
      </c>
      <c r="F225" s="106">
        <v>0</v>
      </c>
      <c r="G225" s="106">
        <v>0</v>
      </c>
      <c r="H225" s="106">
        <v>1044949</v>
      </c>
      <c r="I225" s="106">
        <v>-1044949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</row>
    <row r="226" spans="1:14" ht="31" outlineLevel="2" x14ac:dyDescent="0.35">
      <c r="A226" s="77" t="s">
        <v>583</v>
      </c>
      <c r="B226" s="108" t="s">
        <v>198</v>
      </c>
      <c r="C226" s="106">
        <v>1397380</v>
      </c>
      <c r="D226" s="106">
        <v>-1153</v>
      </c>
      <c r="E226" s="106">
        <v>0</v>
      </c>
      <c r="F226" s="106">
        <v>0</v>
      </c>
      <c r="G226" s="106">
        <v>0</v>
      </c>
      <c r="H226" s="106">
        <v>1396227</v>
      </c>
      <c r="I226" s="106">
        <v>-1396227</v>
      </c>
      <c r="J226" s="106">
        <v>0</v>
      </c>
      <c r="K226" s="106">
        <v>0</v>
      </c>
      <c r="L226" s="106">
        <v>0</v>
      </c>
      <c r="M226" s="106">
        <v>0</v>
      </c>
      <c r="N226" s="106">
        <v>0</v>
      </c>
    </row>
    <row r="227" spans="1:14" ht="31" outlineLevel="2" x14ac:dyDescent="0.35">
      <c r="A227" s="77" t="s">
        <v>583</v>
      </c>
      <c r="B227" s="108" t="s">
        <v>197</v>
      </c>
      <c r="C227" s="106">
        <v>954338</v>
      </c>
      <c r="D227" s="106">
        <v>-36633</v>
      </c>
      <c r="E227" s="106">
        <v>0</v>
      </c>
      <c r="F227" s="106">
        <v>0</v>
      </c>
      <c r="G227" s="106">
        <v>0</v>
      </c>
      <c r="H227" s="106">
        <v>917705</v>
      </c>
      <c r="I227" s="106">
        <v>-917705</v>
      </c>
      <c r="J227" s="106">
        <v>0</v>
      </c>
      <c r="K227" s="106">
        <v>88709</v>
      </c>
      <c r="L227" s="106">
        <v>-88709</v>
      </c>
      <c r="M227" s="106">
        <v>0</v>
      </c>
      <c r="N227" s="106">
        <v>0</v>
      </c>
    </row>
    <row r="228" spans="1:14" ht="31" outlineLevel="2" x14ac:dyDescent="0.35">
      <c r="A228" s="77" t="s">
        <v>583</v>
      </c>
      <c r="B228" s="108" t="s">
        <v>196</v>
      </c>
      <c r="C228" s="106">
        <v>955988</v>
      </c>
      <c r="D228" s="106">
        <v>-3932</v>
      </c>
      <c r="E228" s="106">
        <v>0</v>
      </c>
      <c r="F228" s="106">
        <v>0</v>
      </c>
      <c r="G228" s="106">
        <v>0</v>
      </c>
      <c r="H228" s="106">
        <v>952056</v>
      </c>
      <c r="I228" s="106">
        <v>-952056</v>
      </c>
      <c r="J228" s="106">
        <v>0</v>
      </c>
      <c r="K228" s="106">
        <v>114256</v>
      </c>
      <c r="L228" s="106">
        <v>-114256</v>
      </c>
      <c r="M228" s="106">
        <v>0</v>
      </c>
      <c r="N228" s="106">
        <v>0</v>
      </c>
    </row>
    <row r="229" spans="1:14" ht="31" outlineLevel="2" x14ac:dyDescent="0.35">
      <c r="A229" s="77" t="s">
        <v>583</v>
      </c>
      <c r="B229" s="108" t="s">
        <v>195</v>
      </c>
      <c r="C229" s="106">
        <v>914985</v>
      </c>
      <c r="D229" s="106">
        <v>-3922</v>
      </c>
      <c r="E229" s="106">
        <v>0</v>
      </c>
      <c r="F229" s="106">
        <v>0</v>
      </c>
      <c r="G229" s="106">
        <v>0</v>
      </c>
      <c r="H229" s="106">
        <v>911063</v>
      </c>
      <c r="I229" s="106">
        <v>-911063</v>
      </c>
      <c r="J229" s="106">
        <v>0</v>
      </c>
      <c r="K229" s="106">
        <v>0</v>
      </c>
      <c r="L229" s="106">
        <v>0</v>
      </c>
      <c r="M229" s="106">
        <v>0</v>
      </c>
      <c r="N229" s="106">
        <v>0</v>
      </c>
    </row>
    <row r="230" spans="1:14" ht="31" outlineLevel="2" x14ac:dyDescent="0.35">
      <c r="A230" s="77" t="s">
        <v>583</v>
      </c>
      <c r="B230" s="108" t="s">
        <v>194</v>
      </c>
      <c r="C230" s="106">
        <v>807945</v>
      </c>
      <c r="D230" s="106">
        <v>-6458</v>
      </c>
      <c r="E230" s="106">
        <v>0</v>
      </c>
      <c r="F230" s="106">
        <v>0</v>
      </c>
      <c r="G230" s="106">
        <v>0</v>
      </c>
      <c r="H230" s="106">
        <v>801487</v>
      </c>
      <c r="I230" s="106">
        <v>-801487</v>
      </c>
      <c r="J230" s="106">
        <v>0</v>
      </c>
      <c r="K230" s="106">
        <v>73988</v>
      </c>
      <c r="L230" s="106">
        <v>-73988</v>
      </c>
      <c r="M230" s="106">
        <v>0</v>
      </c>
      <c r="N230" s="106">
        <v>0</v>
      </c>
    </row>
    <row r="231" spans="1:14" ht="31" outlineLevel="2" x14ac:dyDescent="0.35">
      <c r="A231" s="77" t="s">
        <v>583</v>
      </c>
      <c r="B231" s="108" t="s">
        <v>193</v>
      </c>
      <c r="C231" s="106">
        <v>414236</v>
      </c>
      <c r="D231" s="106">
        <v>-3352</v>
      </c>
      <c r="E231" s="106">
        <v>0</v>
      </c>
      <c r="F231" s="106">
        <v>0</v>
      </c>
      <c r="G231" s="106">
        <v>0</v>
      </c>
      <c r="H231" s="106">
        <v>410884</v>
      </c>
      <c r="I231" s="106">
        <v>-410884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</row>
    <row r="232" spans="1:14" ht="31" outlineLevel="1" x14ac:dyDescent="0.35">
      <c r="A232" s="77" t="s">
        <v>583</v>
      </c>
      <c r="B232" s="108" t="s">
        <v>192</v>
      </c>
      <c r="C232" s="106">
        <v>376359</v>
      </c>
      <c r="D232" s="106">
        <v>-3029</v>
      </c>
      <c r="E232" s="106">
        <v>0</v>
      </c>
      <c r="F232" s="106">
        <v>0</v>
      </c>
      <c r="G232" s="106">
        <v>0</v>
      </c>
      <c r="H232" s="106">
        <v>373330</v>
      </c>
      <c r="I232" s="106">
        <v>-373330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</row>
    <row r="233" spans="1:14" ht="30" customHeight="1" outlineLevel="1" x14ac:dyDescent="0.35">
      <c r="A233" s="77" t="s">
        <v>583</v>
      </c>
      <c r="B233" s="108" t="s">
        <v>191</v>
      </c>
      <c r="C233" s="106">
        <v>296932</v>
      </c>
      <c r="D233" s="106">
        <v>-1634</v>
      </c>
      <c r="E233" s="106">
        <v>0</v>
      </c>
      <c r="F233" s="106">
        <v>0</v>
      </c>
      <c r="G233" s="106">
        <v>0</v>
      </c>
      <c r="H233" s="106">
        <v>295298</v>
      </c>
      <c r="I233" s="106">
        <v>-295298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</row>
    <row r="234" spans="1:14" ht="30" customHeight="1" outlineLevel="1" x14ac:dyDescent="0.35">
      <c r="A234" s="77" t="s">
        <v>583</v>
      </c>
      <c r="B234" s="108" t="s">
        <v>190</v>
      </c>
      <c r="C234" s="106">
        <v>246157</v>
      </c>
      <c r="D234" s="106">
        <v>-1583</v>
      </c>
      <c r="E234" s="106">
        <v>0</v>
      </c>
      <c r="F234" s="106">
        <v>0</v>
      </c>
      <c r="G234" s="106">
        <v>0</v>
      </c>
      <c r="H234" s="106">
        <v>244574</v>
      </c>
      <c r="I234" s="106">
        <v>-244574</v>
      </c>
      <c r="J234" s="106">
        <v>0</v>
      </c>
      <c r="K234" s="106">
        <v>3252</v>
      </c>
      <c r="L234" s="106">
        <v>-3252</v>
      </c>
      <c r="M234" s="106">
        <v>0</v>
      </c>
      <c r="N234" s="106">
        <v>0</v>
      </c>
    </row>
    <row r="235" spans="1:14" ht="16" outlineLevel="2" thickBot="1" x14ac:dyDescent="0.4">
      <c r="A235" s="105" t="s">
        <v>462</v>
      </c>
      <c r="B235" s="79" t="s">
        <v>12</v>
      </c>
      <c r="C235" s="103">
        <f>SUBTOTAL(109,Program172[(C)
Program
Costs])</f>
        <v>12731196</v>
      </c>
      <c r="D235" s="103">
        <f>SUBTOTAL(109,Program172[(D)
Prior Period Adjustments])</f>
        <v>-123052</v>
      </c>
      <c r="E235" s="103">
        <f>SUBTOTAL(109,Program172[(E)
Current Period Desk 
Reviews])</f>
        <v>0</v>
      </c>
      <c r="F235" s="103">
        <f>SUBTOTAL(109,Program172[(F)
Current Period 
Final 
Audits])</f>
        <v>0</v>
      </c>
      <c r="G235" s="103">
        <f>SUBTOTAL(109,Program172[(G)
Current Period 
Other Adjustments])</f>
        <v>0</v>
      </c>
      <c r="H235" s="103">
        <f>SUBTOTAL(109,Program172[(H)
Net Program Costs
Sum (C through G)])</f>
        <v>12608144</v>
      </c>
      <c r="I235" s="103">
        <f>SUBTOTAL(109,Program172[(I)
Payments
 and Offsets])</f>
        <v>-11961286</v>
      </c>
      <c r="J235" s="103">
        <f>SUBTOTAL(109,Program172[(J)
Accounts Payable Balance
(H + I)])</f>
        <v>646858</v>
      </c>
      <c r="K235" s="103">
        <f>SUBTOTAL(109,Program172[(K)
Established 
Accounts Receivable])</f>
        <v>318423</v>
      </c>
      <c r="L235" s="103">
        <f>SUBTOTAL(109,Program172[(L)
Recovered
 Accounts Receivable])</f>
        <v>-296416</v>
      </c>
      <c r="M235" s="103">
        <f>SUBTOTAL(109,Program172[(M)
Accounts Receivable Balance
(K + L)])</f>
        <v>22007</v>
      </c>
      <c r="N235" s="103">
        <f>SUBTOTAL(109,Program172[(N)
Net Balance
(J minus M)])</f>
        <v>624851</v>
      </c>
    </row>
    <row r="236" spans="1:14" outlineLevel="2" x14ac:dyDescent="0.35">
      <c r="A236" s="116" t="s">
        <v>33</v>
      </c>
      <c r="B236" s="115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</row>
    <row r="237" spans="1:14" ht="77.5" outlineLevel="2" x14ac:dyDescent="0.35">
      <c r="A237" s="113" t="s">
        <v>185</v>
      </c>
      <c r="B237" s="112" t="s">
        <v>184</v>
      </c>
      <c r="C237" s="111" t="s">
        <v>183</v>
      </c>
      <c r="D237" s="111" t="s">
        <v>182</v>
      </c>
      <c r="E237" s="111" t="s">
        <v>181</v>
      </c>
      <c r="F237" s="111" t="s">
        <v>180</v>
      </c>
      <c r="G237" s="111" t="s">
        <v>179</v>
      </c>
      <c r="H237" s="110" t="s">
        <v>674</v>
      </c>
      <c r="I237" s="110" t="s">
        <v>178</v>
      </c>
      <c r="J237" s="110" t="s">
        <v>177</v>
      </c>
      <c r="K237" s="111" t="s">
        <v>176</v>
      </c>
      <c r="L237" s="110" t="s">
        <v>175</v>
      </c>
      <c r="M237" s="110" t="s">
        <v>174</v>
      </c>
      <c r="N237" s="109" t="s">
        <v>173</v>
      </c>
    </row>
    <row r="238" spans="1:14" outlineLevel="2" x14ac:dyDescent="0.35">
      <c r="A238" s="108" t="s">
        <v>582</v>
      </c>
      <c r="B238" s="108" t="s">
        <v>191</v>
      </c>
      <c r="C238" s="106">
        <v>27210494</v>
      </c>
      <c r="D238" s="106">
        <v>-8276156</v>
      </c>
      <c r="E238" s="106">
        <v>0</v>
      </c>
      <c r="F238" s="106">
        <v>0</v>
      </c>
      <c r="G238" s="106">
        <v>0</v>
      </c>
      <c r="H238" s="106">
        <v>18934338</v>
      </c>
      <c r="I238" s="106">
        <v>-18934338</v>
      </c>
      <c r="J238" s="106">
        <v>0</v>
      </c>
      <c r="K238" s="106">
        <v>2392576</v>
      </c>
      <c r="L238" s="106">
        <v>-2392576</v>
      </c>
      <c r="M238" s="106">
        <v>0</v>
      </c>
      <c r="N238" s="106">
        <v>0</v>
      </c>
    </row>
    <row r="239" spans="1:14" outlineLevel="2" x14ac:dyDescent="0.35">
      <c r="A239" s="108" t="s">
        <v>582</v>
      </c>
      <c r="B239" s="108" t="s">
        <v>190</v>
      </c>
      <c r="C239" s="106">
        <v>20429897</v>
      </c>
      <c r="D239" s="106">
        <v>-5119882</v>
      </c>
      <c r="E239" s="106">
        <v>0</v>
      </c>
      <c r="F239" s="106">
        <v>0</v>
      </c>
      <c r="G239" s="106">
        <v>0</v>
      </c>
      <c r="H239" s="106">
        <v>15310015</v>
      </c>
      <c r="I239" s="106">
        <v>-15310015</v>
      </c>
      <c r="J239" s="106">
        <v>0</v>
      </c>
      <c r="K239" s="106">
        <v>5571</v>
      </c>
      <c r="L239" s="106">
        <v>-5571</v>
      </c>
      <c r="M239" s="106">
        <v>0</v>
      </c>
      <c r="N239" s="106">
        <v>0</v>
      </c>
    </row>
    <row r="240" spans="1:14" outlineLevel="2" x14ac:dyDescent="0.35">
      <c r="A240" s="108" t="s">
        <v>582</v>
      </c>
      <c r="B240" s="108" t="s">
        <v>189</v>
      </c>
      <c r="C240" s="106">
        <v>13739387</v>
      </c>
      <c r="D240" s="106">
        <v>-164310</v>
      </c>
      <c r="E240" s="106">
        <v>0</v>
      </c>
      <c r="F240" s="106">
        <v>0</v>
      </c>
      <c r="G240" s="106">
        <v>0</v>
      </c>
      <c r="H240" s="106">
        <v>13575077</v>
      </c>
      <c r="I240" s="106">
        <v>-13575077</v>
      </c>
      <c r="J240" s="106">
        <v>0</v>
      </c>
      <c r="K240" s="106">
        <v>6669</v>
      </c>
      <c r="L240" s="106">
        <v>-6669</v>
      </c>
      <c r="M240" s="106">
        <v>0</v>
      </c>
      <c r="N240" s="106">
        <v>0</v>
      </c>
    </row>
    <row r="241" spans="1:14" outlineLevel="2" x14ac:dyDescent="0.35">
      <c r="A241" s="108" t="s">
        <v>582</v>
      </c>
      <c r="B241" s="108" t="s">
        <v>188</v>
      </c>
      <c r="C241" s="106">
        <v>8075906</v>
      </c>
      <c r="D241" s="106">
        <v>-14087</v>
      </c>
      <c r="E241" s="106">
        <v>0</v>
      </c>
      <c r="F241" s="106">
        <v>0</v>
      </c>
      <c r="G241" s="106">
        <v>0</v>
      </c>
      <c r="H241" s="106">
        <v>8061819</v>
      </c>
      <c r="I241" s="106">
        <v>-8061819</v>
      </c>
      <c r="J241" s="106">
        <v>0</v>
      </c>
      <c r="K241" s="106">
        <v>12445</v>
      </c>
      <c r="L241" s="106">
        <v>-12445</v>
      </c>
      <c r="M241" s="106">
        <v>0</v>
      </c>
      <c r="N241" s="106">
        <v>0</v>
      </c>
    </row>
    <row r="242" spans="1:14" outlineLevel="2" x14ac:dyDescent="0.35">
      <c r="A242" s="108" t="s">
        <v>582</v>
      </c>
      <c r="B242" s="108" t="s">
        <v>186</v>
      </c>
      <c r="C242" s="106">
        <v>5895285</v>
      </c>
      <c r="D242" s="106">
        <v>-75583</v>
      </c>
      <c r="E242" s="106">
        <v>0</v>
      </c>
      <c r="F242" s="106">
        <v>0</v>
      </c>
      <c r="G242" s="106">
        <v>0</v>
      </c>
      <c r="H242" s="106">
        <v>5819702</v>
      </c>
      <c r="I242" s="106">
        <v>-5819702</v>
      </c>
      <c r="J242" s="106">
        <v>0</v>
      </c>
      <c r="K242" s="106">
        <v>11884</v>
      </c>
      <c r="L242" s="106">
        <v>-11884</v>
      </c>
      <c r="M242" s="106">
        <v>0</v>
      </c>
      <c r="N242" s="106">
        <v>0</v>
      </c>
    </row>
    <row r="243" spans="1:14" outlineLevel="2" x14ac:dyDescent="0.35">
      <c r="A243" s="108" t="s">
        <v>582</v>
      </c>
      <c r="B243" s="108" t="s">
        <v>227</v>
      </c>
      <c r="C243" s="106">
        <v>7821</v>
      </c>
      <c r="D243" s="106">
        <v>0</v>
      </c>
      <c r="E243" s="106">
        <v>0</v>
      </c>
      <c r="F243" s="106">
        <v>0</v>
      </c>
      <c r="G243" s="106">
        <v>0</v>
      </c>
      <c r="H243" s="106">
        <v>7821</v>
      </c>
      <c r="I243" s="106">
        <v>-7821</v>
      </c>
      <c r="J243" s="106">
        <v>0</v>
      </c>
      <c r="K243" s="106">
        <v>3736</v>
      </c>
      <c r="L243" s="106">
        <v>-3736</v>
      </c>
      <c r="M243" s="106">
        <v>0</v>
      </c>
      <c r="N243" s="106">
        <v>0</v>
      </c>
    </row>
    <row r="244" spans="1:14" outlineLevel="2" x14ac:dyDescent="0.35">
      <c r="A244" s="108" t="s">
        <v>582</v>
      </c>
      <c r="B244" s="108" t="s">
        <v>226</v>
      </c>
      <c r="C244" s="106">
        <v>0</v>
      </c>
      <c r="D244" s="106">
        <v>0</v>
      </c>
      <c r="E244" s="106">
        <v>0</v>
      </c>
      <c r="F244" s="106">
        <v>0</v>
      </c>
      <c r="G244" s="106">
        <v>0</v>
      </c>
      <c r="H244" s="106">
        <v>0</v>
      </c>
      <c r="I244" s="106">
        <v>0</v>
      </c>
      <c r="J244" s="106">
        <v>0</v>
      </c>
      <c r="K244" s="106">
        <v>9779</v>
      </c>
      <c r="L244" s="106">
        <v>-9779</v>
      </c>
      <c r="M244" s="106">
        <v>0</v>
      </c>
      <c r="N244" s="106">
        <v>0</v>
      </c>
    </row>
    <row r="245" spans="1:14" outlineLevel="1" x14ac:dyDescent="0.35">
      <c r="A245" s="108" t="s">
        <v>582</v>
      </c>
      <c r="B245" s="108" t="s">
        <v>225</v>
      </c>
      <c r="C245" s="106">
        <v>3204065</v>
      </c>
      <c r="D245" s="106">
        <v>-288653</v>
      </c>
      <c r="E245" s="106">
        <v>0</v>
      </c>
      <c r="F245" s="106">
        <v>0</v>
      </c>
      <c r="G245" s="106">
        <v>0</v>
      </c>
      <c r="H245" s="106">
        <v>2915412</v>
      </c>
      <c r="I245" s="106">
        <v>-2915412</v>
      </c>
      <c r="J245" s="106">
        <v>0</v>
      </c>
      <c r="K245" s="106">
        <v>0</v>
      </c>
      <c r="L245" s="106">
        <v>0</v>
      </c>
      <c r="M245" s="106">
        <v>0</v>
      </c>
      <c r="N245" s="106">
        <v>0</v>
      </c>
    </row>
    <row r="246" spans="1:14" ht="15.65" customHeight="1" outlineLevel="1" x14ac:dyDescent="0.35">
      <c r="A246" s="108" t="s">
        <v>582</v>
      </c>
      <c r="B246" s="108" t="s">
        <v>223</v>
      </c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H246" s="106">
        <v>0</v>
      </c>
      <c r="I246" s="106">
        <v>0</v>
      </c>
      <c r="J246" s="106">
        <v>0</v>
      </c>
      <c r="K246" s="106">
        <v>18417</v>
      </c>
      <c r="L246" s="106">
        <v>-18417</v>
      </c>
      <c r="M246" s="106">
        <v>0</v>
      </c>
      <c r="N246" s="106">
        <v>0</v>
      </c>
    </row>
    <row r="247" spans="1:14" ht="15" customHeight="1" outlineLevel="1" x14ac:dyDescent="0.35">
      <c r="A247" s="108" t="s">
        <v>582</v>
      </c>
      <c r="B247" s="108" t="s">
        <v>257</v>
      </c>
      <c r="C247" s="106">
        <v>0</v>
      </c>
      <c r="D247" s="106">
        <v>0</v>
      </c>
      <c r="E247" s="106">
        <v>0</v>
      </c>
      <c r="F247" s="106">
        <v>0</v>
      </c>
      <c r="G247" s="106">
        <v>0</v>
      </c>
      <c r="H247" s="106">
        <v>0</v>
      </c>
      <c r="I247" s="106">
        <v>0</v>
      </c>
      <c r="J247" s="106">
        <v>0</v>
      </c>
      <c r="K247" s="106">
        <v>3644</v>
      </c>
      <c r="L247" s="106">
        <v>-3644</v>
      </c>
      <c r="M247" s="106">
        <v>0</v>
      </c>
      <c r="N247" s="106">
        <v>0</v>
      </c>
    </row>
    <row r="248" spans="1:14" ht="16" outlineLevel="2" thickBot="1" x14ac:dyDescent="0.4">
      <c r="A248" s="105" t="s">
        <v>461</v>
      </c>
      <c r="B248" s="79" t="s">
        <v>12</v>
      </c>
      <c r="C248" s="103">
        <f>SUBTOTAL(109,Program9[(C)
Program
Costs])</f>
        <v>78562855</v>
      </c>
      <c r="D248" s="103">
        <f>SUBTOTAL(109,Program9[(D)
Prior Period Adjustments])</f>
        <v>-13938671</v>
      </c>
      <c r="E248" s="103">
        <f>SUBTOTAL(109,Program9[(E)
Current Period Desk 
Reviews])</f>
        <v>0</v>
      </c>
      <c r="F248" s="103">
        <f>SUBTOTAL(109,Program9[(F)
Current Period 
Final 
Audits])</f>
        <v>0</v>
      </c>
      <c r="G248" s="103">
        <f>SUBTOTAL(109,Program9[(G)
Current Period 
Other Adjustments])</f>
        <v>0</v>
      </c>
      <c r="H248" s="103">
        <f>SUBTOTAL(109,Program9[(H)
Net Program Costs
Sum (C through G)])</f>
        <v>64624184</v>
      </c>
      <c r="I248" s="103">
        <f>SUBTOTAL(109,Program9[(I)
Payments
 and Offsets])</f>
        <v>-64624184</v>
      </c>
      <c r="J248" s="103">
        <f>SUBTOTAL(109,Program9[(J)
Accounts Payable Balance
(H + I)])</f>
        <v>0</v>
      </c>
      <c r="K248" s="103">
        <f>SUBTOTAL(109,Program9[(K)
Established 
Accounts Receivable])</f>
        <v>2464721</v>
      </c>
      <c r="L248" s="103">
        <f>SUBTOTAL(109,Program9[(L)
Recovered
 Accounts Receivable])</f>
        <v>-2464721</v>
      </c>
      <c r="M248" s="103">
        <f>SUBTOTAL(109,Program9[(M)
Accounts Receivable Balance
(K + L)])</f>
        <v>0</v>
      </c>
      <c r="N248" s="103">
        <f>SUBTOTAL(109,Program9[(N)
Net Balance
(J minus M)])</f>
        <v>0</v>
      </c>
    </row>
    <row r="249" spans="1:14" outlineLevel="2" x14ac:dyDescent="0.35">
      <c r="A249" s="116" t="s">
        <v>33</v>
      </c>
      <c r="B249" s="115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</row>
    <row r="250" spans="1:14" ht="77.5" outlineLevel="2" x14ac:dyDescent="0.35">
      <c r="A250" s="113" t="s">
        <v>185</v>
      </c>
      <c r="B250" s="112" t="s">
        <v>184</v>
      </c>
      <c r="C250" s="111" t="s">
        <v>183</v>
      </c>
      <c r="D250" s="111" t="s">
        <v>182</v>
      </c>
      <c r="E250" s="111" t="s">
        <v>181</v>
      </c>
      <c r="F250" s="111" t="s">
        <v>180</v>
      </c>
      <c r="G250" s="111" t="s">
        <v>179</v>
      </c>
      <c r="H250" s="110" t="s">
        <v>674</v>
      </c>
      <c r="I250" s="110" t="s">
        <v>178</v>
      </c>
      <c r="J250" s="110" t="s">
        <v>177</v>
      </c>
      <c r="K250" s="111" t="s">
        <v>176</v>
      </c>
      <c r="L250" s="110" t="s">
        <v>175</v>
      </c>
      <c r="M250" s="110" t="s">
        <v>174</v>
      </c>
      <c r="N250" s="109" t="s">
        <v>173</v>
      </c>
    </row>
    <row r="251" spans="1:14" outlineLevel="2" x14ac:dyDescent="0.35">
      <c r="A251" s="108" t="s">
        <v>581</v>
      </c>
      <c r="B251" s="108" t="s">
        <v>198</v>
      </c>
      <c r="C251" s="106">
        <v>1984220</v>
      </c>
      <c r="D251" s="106">
        <v>-7060</v>
      </c>
      <c r="E251" s="106">
        <v>0</v>
      </c>
      <c r="F251" s="106">
        <v>0</v>
      </c>
      <c r="G251" s="106">
        <v>0</v>
      </c>
      <c r="H251" s="106">
        <v>1977160</v>
      </c>
      <c r="I251" s="106">
        <v>-1977160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</row>
    <row r="252" spans="1:14" outlineLevel="2" x14ac:dyDescent="0.35">
      <c r="A252" s="108" t="s">
        <v>581</v>
      </c>
      <c r="B252" s="108" t="s">
        <v>197</v>
      </c>
      <c r="C252" s="106">
        <v>2486347</v>
      </c>
      <c r="D252" s="106">
        <v>-29216</v>
      </c>
      <c r="E252" s="106">
        <v>0</v>
      </c>
      <c r="F252" s="106">
        <v>0</v>
      </c>
      <c r="G252" s="106">
        <v>0</v>
      </c>
      <c r="H252" s="106">
        <v>2457131</v>
      </c>
      <c r="I252" s="106">
        <v>-2457131</v>
      </c>
      <c r="J252" s="106">
        <v>0</v>
      </c>
      <c r="K252" s="106">
        <v>237816</v>
      </c>
      <c r="L252" s="106">
        <v>-226307</v>
      </c>
      <c r="M252" s="106">
        <v>11509</v>
      </c>
      <c r="N252" s="106">
        <v>-11509</v>
      </c>
    </row>
    <row r="253" spans="1:14" outlineLevel="2" x14ac:dyDescent="0.35">
      <c r="A253" s="108" t="s">
        <v>581</v>
      </c>
      <c r="B253" s="108" t="s">
        <v>196</v>
      </c>
      <c r="C253" s="106">
        <v>4293935</v>
      </c>
      <c r="D253" s="106">
        <v>-20210</v>
      </c>
      <c r="E253" s="106">
        <v>0</v>
      </c>
      <c r="F253" s="106">
        <v>0</v>
      </c>
      <c r="G253" s="106">
        <v>0</v>
      </c>
      <c r="H253" s="106">
        <v>4273725</v>
      </c>
      <c r="I253" s="106">
        <v>-4273725</v>
      </c>
      <c r="J253" s="106">
        <v>0</v>
      </c>
      <c r="K253" s="106">
        <v>84006</v>
      </c>
      <c r="L253" s="106">
        <v>-82254</v>
      </c>
      <c r="M253" s="106">
        <v>1752</v>
      </c>
      <c r="N253" s="106">
        <v>-1752</v>
      </c>
    </row>
    <row r="254" spans="1:14" outlineLevel="2" x14ac:dyDescent="0.35">
      <c r="A254" s="108" t="s">
        <v>581</v>
      </c>
      <c r="B254" s="108" t="s">
        <v>195</v>
      </c>
      <c r="C254" s="106">
        <v>3789028</v>
      </c>
      <c r="D254" s="106">
        <v>-8799</v>
      </c>
      <c r="E254" s="106">
        <v>0</v>
      </c>
      <c r="F254" s="106">
        <v>0</v>
      </c>
      <c r="G254" s="106">
        <v>0</v>
      </c>
      <c r="H254" s="106">
        <v>3780229</v>
      </c>
      <c r="I254" s="106">
        <v>-3780229</v>
      </c>
      <c r="J254" s="106">
        <v>0</v>
      </c>
      <c r="K254" s="106">
        <v>66628</v>
      </c>
      <c r="L254" s="106">
        <v>-64889</v>
      </c>
      <c r="M254" s="106">
        <v>1739</v>
      </c>
      <c r="N254" s="106">
        <v>-1739</v>
      </c>
    </row>
    <row r="255" spans="1:14" outlineLevel="2" x14ac:dyDescent="0.35">
      <c r="A255" s="108" t="s">
        <v>581</v>
      </c>
      <c r="B255" s="108" t="s">
        <v>194</v>
      </c>
      <c r="C255" s="106">
        <v>3084052</v>
      </c>
      <c r="D255" s="106">
        <v>-19627</v>
      </c>
      <c r="E255" s="106">
        <v>0</v>
      </c>
      <c r="F255" s="106">
        <v>0</v>
      </c>
      <c r="G255" s="106">
        <v>0</v>
      </c>
      <c r="H255" s="106">
        <v>3064425</v>
      </c>
      <c r="I255" s="106">
        <v>-3064425</v>
      </c>
      <c r="J255" s="106">
        <v>0</v>
      </c>
      <c r="K255" s="106">
        <v>408608</v>
      </c>
      <c r="L255" s="106">
        <v>-408608</v>
      </c>
      <c r="M255" s="106">
        <v>0</v>
      </c>
      <c r="N255" s="106">
        <v>0</v>
      </c>
    </row>
    <row r="256" spans="1:14" outlineLevel="2" x14ac:dyDescent="0.35">
      <c r="A256" s="108" t="s">
        <v>581</v>
      </c>
      <c r="B256" s="108" t="s">
        <v>193</v>
      </c>
      <c r="C256" s="106">
        <v>1790366</v>
      </c>
      <c r="D256" s="106">
        <v>314298</v>
      </c>
      <c r="E256" s="106">
        <v>0</v>
      </c>
      <c r="F256" s="106">
        <v>0</v>
      </c>
      <c r="G256" s="106">
        <v>0</v>
      </c>
      <c r="H256" s="106">
        <v>2104664</v>
      </c>
      <c r="I256" s="106">
        <v>-2104664</v>
      </c>
      <c r="J256" s="106">
        <v>0</v>
      </c>
      <c r="K256" s="106">
        <v>367071</v>
      </c>
      <c r="L256" s="106">
        <v>-367071</v>
      </c>
      <c r="M256" s="106">
        <v>0</v>
      </c>
      <c r="N256" s="106">
        <v>0</v>
      </c>
    </row>
    <row r="257" spans="1:14" outlineLevel="1" x14ac:dyDescent="0.35">
      <c r="A257" s="108" t="s">
        <v>581</v>
      </c>
      <c r="B257" s="108" t="s">
        <v>192</v>
      </c>
      <c r="C257" s="106">
        <v>596681</v>
      </c>
      <c r="D257" s="106">
        <v>-96769</v>
      </c>
      <c r="E257" s="106">
        <v>0</v>
      </c>
      <c r="F257" s="106">
        <v>0</v>
      </c>
      <c r="G257" s="106">
        <v>0</v>
      </c>
      <c r="H257" s="106">
        <v>499912</v>
      </c>
      <c r="I257" s="106">
        <v>-499912</v>
      </c>
      <c r="J257" s="106">
        <v>0</v>
      </c>
      <c r="K257" s="106">
        <v>176218</v>
      </c>
      <c r="L257" s="106">
        <v>-176218</v>
      </c>
      <c r="M257" s="106">
        <v>0</v>
      </c>
      <c r="N257" s="106">
        <v>0</v>
      </c>
    </row>
    <row r="258" spans="1:14" ht="15.65" customHeight="1" outlineLevel="1" x14ac:dyDescent="0.35">
      <c r="A258" s="108" t="s">
        <v>581</v>
      </c>
      <c r="B258" s="108" t="s">
        <v>191</v>
      </c>
      <c r="C258" s="106">
        <v>577104</v>
      </c>
      <c r="D258" s="106">
        <v>-3559</v>
      </c>
      <c r="E258" s="106">
        <v>0</v>
      </c>
      <c r="F258" s="106">
        <v>0</v>
      </c>
      <c r="G258" s="106">
        <v>0</v>
      </c>
      <c r="H258" s="106">
        <v>573545</v>
      </c>
      <c r="I258" s="106">
        <v>-573545</v>
      </c>
      <c r="J258" s="106">
        <v>0</v>
      </c>
      <c r="K258" s="106">
        <v>19882</v>
      </c>
      <c r="L258" s="106">
        <v>-19882</v>
      </c>
      <c r="M258" s="106">
        <v>0</v>
      </c>
      <c r="N258" s="106">
        <v>0</v>
      </c>
    </row>
    <row r="259" spans="1:14" ht="15" customHeight="1" outlineLevel="1" x14ac:dyDescent="0.35">
      <c r="A259" s="108" t="s">
        <v>581</v>
      </c>
      <c r="B259" s="108" t="s">
        <v>190</v>
      </c>
      <c r="C259" s="106">
        <v>439171</v>
      </c>
      <c r="D259" s="106">
        <v>-155</v>
      </c>
      <c r="E259" s="106">
        <v>0</v>
      </c>
      <c r="F259" s="106">
        <v>0</v>
      </c>
      <c r="G259" s="106">
        <v>0</v>
      </c>
      <c r="H259" s="106">
        <v>439016</v>
      </c>
      <c r="I259" s="106">
        <v>-439016</v>
      </c>
      <c r="J259" s="106">
        <v>0</v>
      </c>
      <c r="K259" s="106">
        <v>5275</v>
      </c>
      <c r="L259" s="106">
        <v>-5275</v>
      </c>
      <c r="M259" s="106">
        <v>0</v>
      </c>
      <c r="N259" s="106">
        <v>0</v>
      </c>
    </row>
    <row r="260" spans="1:14" outlineLevel="2" x14ac:dyDescent="0.35">
      <c r="A260" s="108" t="s">
        <v>581</v>
      </c>
      <c r="B260" s="108" t="s">
        <v>189</v>
      </c>
      <c r="C260" s="106">
        <v>330021</v>
      </c>
      <c r="D260" s="106">
        <v>-2983</v>
      </c>
      <c r="E260" s="106">
        <v>0</v>
      </c>
      <c r="F260" s="106">
        <v>0</v>
      </c>
      <c r="G260" s="106">
        <v>0</v>
      </c>
      <c r="H260" s="106">
        <v>327038</v>
      </c>
      <c r="I260" s="106">
        <v>-327038</v>
      </c>
      <c r="J260" s="106">
        <v>0</v>
      </c>
      <c r="K260" s="106">
        <v>1823</v>
      </c>
      <c r="L260" s="106">
        <v>-1823</v>
      </c>
      <c r="M260" s="106">
        <v>0</v>
      </c>
      <c r="N260" s="106">
        <v>0</v>
      </c>
    </row>
    <row r="261" spans="1:14" outlineLevel="2" x14ac:dyDescent="0.35">
      <c r="A261" s="108" t="s">
        <v>581</v>
      </c>
      <c r="B261" s="108" t="s">
        <v>188</v>
      </c>
      <c r="C261" s="106">
        <v>205186</v>
      </c>
      <c r="D261" s="106">
        <v>-7628</v>
      </c>
      <c r="E261" s="106">
        <v>0</v>
      </c>
      <c r="F261" s="106">
        <v>0</v>
      </c>
      <c r="G261" s="106">
        <v>0</v>
      </c>
      <c r="H261" s="106">
        <v>197558</v>
      </c>
      <c r="I261" s="106">
        <v>-197558</v>
      </c>
      <c r="J261" s="106">
        <v>0</v>
      </c>
      <c r="K261" s="106">
        <v>5945</v>
      </c>
      <c r="L261" s="106">
        <v>-5945</v>
      </c>
      <c r="M261" s="106">
        <v>0</v>
      </c>
      <c r="N261" s="106">
        <v>0</v>
      </c>
    </row>
    <row r="262" spans="1:14" ht="16" outlineLevel="2" thickBot="1" x14ac:dyDescent="0.4">
      <c r="A262" s="105" t="s">
        <v>460</v>
      </c>
      <c r="B262" s="79" t="s">
        <v>12</v>
      </c>
      <c r="C262" s="103">
        <f>SUBTOTAL(109,Program140[(C)
Program
Costs])</f>
        <v>19576111</v>
      </c>
      <c r="D262" s="103">
        <f>SUBTOTAL(109,Program140[(D)
Prior Period Adjustments])</f>
        <v>118292</v>
      </c>
      <c r="E262" s="103">
        <f>SUBTOTAL(109,Program140[(E)
Current Period Desk 
Reviews])</f>
        <v>0</v>
      </c>
      <c r="F262" s="103">
        <f>SUBTOTAL(109,Program140[(F)
Current Period 
Final 
Audits])</f>
        <v>0</v>
      </c>
      <c r="G262" s="103">
        <f>SUBTOTAL(109,Program140[(G)
Current Period 
Other Adjustments])</f>
        <v>0</v>
      </c>
      <c r="H262" s="103">
        <f>SUBTOTAL(109,Program140[(H)
Net Program Costs
Sum (C through G)])</f>
        <v>19694403</v>
      </c>
      <c r="I262" s="103">
        <f>SUBTOTAL(109,Program140[(I)
Payments
 and Offsets])</f>
        <v>-19694403</v>
      </c>
      <c r="J262" s="103">
        <f>SUBTOTAL(109,Program140[(J)
Accounts Payable Balance
(H + I)])</f>
        <v>0</v>
      </c>
      <c r="K262" s="103">
        <f>SUBTOTAL(109,Program140[(K)
Established 
Accounts Receivable])</f>
        <v>1373272</v>
      </c>
      <c r="L262" s="103">
        <f>SUBTOTAL(109,Program140[(L)
Recovered
 Accounts Receivable])</f>
        <v>-1358272</v>
      </c>
      <c r="M262" s="103">
        <f>SUBTOTAL(109,Program140[(M)
Accounts Receivable Balance
(K + L)])</f>
        <v>15000</v>
      </c>
      <c r="N262" s="103">
        <f>SUBTOTAL(109,Program140[(N)
Net Balance
(J minus M)])</f>
        <v>-15000</v>
      </c>
    </row>
    <row r="263" spans="1:14" outlineLevel="2" x14ac:dyDescent="0.35">
      <c r="A263" s="116" t="s">
        <v>33</v>
      </c>
      <c r="B263" s="115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</row>
    <row r="264" spans="1:14" ht="77.5" outlineLevel="2" x14ac:dyDescent="0.35">
      <c r="A264" s="113" t="s">
        <v>185</v>
      </c>
      <c r="B264" s="112" t="s">
        <v>184</v>
      </c>
      <c r="C264" s="111" t="s">
        <v>183</v>
      </c>
      <c r="D264" s="111" t="s">
        <v>182</v>
      </c>
      <c r="E264" s="111" t="s">
        <v>181</v>
      </c>
      <c r="F264" s="111" t="s">
        <v>180</v>
      </c>
      <c r="G264" s="111" t="s">
        <v>179</v>
      </c>
      <c r="H264" s="110" t="s">
        <v>674</v>
      </c>
      <c r="I264" s="110" t="s">
        <v>178</v>
      </c>
      <c r="J264" s="110" t="s">
        <v>177</v>
      </c>
      <c r="K264" s="111" t="s">
        <v>176</v>
      </c>
      <c r="L264" s="110" t="s">
        <v>175</v>
      </c>
      <c r="M264" s="110" t="s">
        <v>174</v>
      </c>
      <c r="N264" s="109" t="s">
        <v>173</v>
      </c>
    </row>
    <row r="265" spans="1:14" outlineLevel="2" x14ac:dyDescent="0.35">
      <c r="A265" s="108" t="s">
        <v>580</v>
      </c>
      <c r="B265" s="108" t="s">
        <v>214</v>
      </c>
      <c r="C265" s="106">
        <v>7603</v>
      </c>
      <c r="D265" s="106">
        <v>0</v>
      </c>
      <c r="E265" s="106">
        <v>0</v>
      </c>
      <c r="F265" s="106">
        <v>0</v>
      </c>
      <c r="G265" s="106">
        <v>0</v>
      </c>
      <c r="H265" s="106">
        <v>7603</v>
      </c>
      <c r="I265" s="106">
        <v>-1000</v>
      </c>
      <c r="J265" s="106">
        <v>6603</v>
      </c>
      <c r="K265" s="106">
        <v>0</v>
      </c>
      <c r="L265" s="106">
        <v>0</v>
      </c>
      <c r="M265" s="106">
        <v>0</v>
      </c>
      <c r="N265" s="106">
        <v>6603</v>
      </c>
    </row>
    <row r="266" spans="1:14" outlineLevel="2" x14ac:dyDescent="0.35">
      <c r="A266" s="108" t="s">
        <v>580</v>
      </c>
      <c r="B266" s="108" t="s">
        <v>212</v>
      </c>
      <c r="C266" s="106">
        <v>14543</v>
      </c>
      <c r="D266" s="106">
        <v>0</v>
      </c>
      <c r="E266" s="106">
        <v>0</v>
      </c>
      <c r="F266" s="106">
        <v>0</v>
      </c>
      <c r="G266" s="106">
        <v>0</v>
      </c>
      <c r="H266" s="106">
        <v>14543</v>
      </c>
      <c r="I266" s="106">
        <v>-1039</v>
      </c>
      <c r="J266" s="106">
        <v>13504</v>
      </c>
      <c r="K266" s="106">
        <v>0</v>
      </c>
      <c r="L266" s="106">
        <v>0</v>
      </c>
      <c r="M266" s="106">
        <v>0</v>
      </c>
      <c r="N266" s="106">
        <v>13504</v>
      </c>
    </row>
    <row r="267" spans="1:14" outlineLevel="1" x14ac:dyDescent="0.35">
      <c r="A267" s="108" t="s">
        <v>580</v>
      </c>
      <c r="B267" s="108" t="s">
        <v>219</v>
      </c>
      <c r="C267" s="106">
        <v>80581</v>
      </c>
      <c r="D267" s="106">
        <v>0</v>
      </c>
      <c r="E267" s="106">
        <v>0</v>
      </c>
      <c r="F267" s="106">
        <v>0</v>
      </c>
      <c r="G267" s="106">
        <v>0</v>
      </c>
      <c r="H267" s="106">
        <v>80581</v>
      </c>
      <c r="I267" s="106">
        <v>-1000</v>
      </c>
      <c r="J267" s="106">
        <v>79581</v>
      </c>
      <c r="K267" s="106">
        <v>0</v>
      </c>
      <c r="L267" s="106">
        <v>0</v>
      </c>
      <c r="M267" s="106">
        <v>0</v>
      </c>
      <c r="N267" s="106">
        <v>79581</v>
      </c>
    </row>
    <row r="268" spans="1:14" ht="15.65" customHeight="1" outlineLevel="1" x14ac:dyDescent="0.35">
      <c r="A268" s="108" t="s">
        <v>580</v>
      </c>
      <c r="B268" s="108" t="s">
        <v>218</v>
      </c>
      <c r="C268" s="106">
        <v>68418</v>
      </c>
      <c r="D268" s="106">
        <v>0</v>
      </c>
      <c r="E268" s="106">
        <v>0</v>
      </c>
      <c r="F268" s="106">
        <v>0</v>
      </c>
      <c r="G268" s="106">
        <v>0</v>
      </c>
      <c r="H268" s="106">
        <v>68418</v>
      </c>
      <c r="I268" s="106">
        <v>-5575</v>
      </c>
      <c r="J268" s="106">
        <v>62843</v>
      </c>
      <c r="K268" s="106">
        <v>0</v>
      </c>
      <c r="L268" s="106">
        <v>0</v>
      </c>
      <c r="M268" s="106">
        <v>0</v>
      </c>
      <c r="N268" s="106">
        <v>62843</v>
      </c>
    </row>
    <row r="269" spans="1:14" ht="15" customHeight="1" outlineLevel="1" x14ac:dyDescent="0.35">
      <c r="A269" s="108" t="s">
        <v>580</v>
      </c>
      <c r="B269" s="108" t="s">
        <v>209</v>
      </c>
      <c r="C269" s="106">
        <v>125147</v>
      </c>
      <c r="D269" s="106">
        <v>0</v>
      </c>
      <c r="E269" s="106">
        <v>0</v>
      </c>
      <c r="F269" s="106">
        <v>0</v>
      </c>
      <c r="G269" s="106">
        <v>0</v>
      </c>
      <c r="H269" s="106">
        <v>125147</v>
      </c>
      <c r="I269" s="106">
        <v>-88618</v>
      </c>
      <c r="J269" s="106">
        <v>36529</v>
      </c>
      <c r="K269" s="106">
        <v>0</v>
      </c>
      <c r="L269" s="106">
        <v>0</v>
      </c>
      <c r="M269" s="106">
        <v>0</v>
      </c>
      <c r="N269" s="106">
        <v>36529</v>
      </c>
    </row>
    <row r="270" spans="1:14" outlineLevel="2" x14ac:dyDescent="0.35">
      <c r="A270" s="108" t="s">
        <v>580</v>
      </c>
      <c r="B270" s="108" t="s">
        <v>208</v>
      </c>
      <c r="C270" s="106">
        <v>2400506</v>
      </c>
      <c r="D270" s="106">
        <v>-787832</v>
      </c>
      <c r="E270" s="106">
        <v>0</v>
      </c>
      <c r="F270" s="106">
        <v>0</v>
      </c>
      <c r="G270" s="106">
        <v>0</v>
      </c>
      <c r="H270" s="106">
        <v>1612674</v>
      </c>
      <c r="I270" s="106">
        <v>-1156102</v>
      </c>
      <c r="J270" s="106">
        <v>456572</v>
      </c>
      <c r="K270" s="106">
        <v>0</v>
      </c>
      <c r="L270" s="106">
        <v>0</v>
      </c>
      <c r="M270" s="106">
        <v>0</v>
      </c>
      <c r="N270" s="106">
        <v>456572</v>
      </c>
    </row>
    <row r="271" spans="1:14" outlineLevel="2" x14ac:dyDescent="0.35">
      <c r="A271" s="108" t="s">
        <v>580</v>
      </c>
      <c r="B271" s="108" t="s">
        <v>206</v>
      </c>
      <c r="C271" s="106">
        <v>2052978</v>
      </c>
      <c r="D271" s="106">
        <v>-116988</v>
      </c>
      <c r="E271" s="106">
        <v>0</v>
      </c>
      <c r="F271" s="106">
        <v>0</v>
      </c>
      <c r="G271" s="106">
        <v>0</v>
      </c>
      <c r="H271" s="106">
        <v>1935990</v>
      </c>
      <c r="I271" s="106">
        <v>-1331459</v>
      </c>
      <c r="J271" s="106">
        <v>604531</v>
      </c>
      <c r="K271" s="106">
        <v>0</v>
      </c>
      <c r="L271" s="106">
        <v>0</v>
      </c>
      <c r="M271" s="106">
        <v>0</v>
      </c>
      <c r="N271" s="106">
        <v>604531</v>
      </c>
    </row>
    <row r="272" spans="1:14" outlineLevel="2" x14ac:dyDescent="0.35">
      <c r="A272" s="108" t="s">
        <v>580</v>
      </c>
      <c r="B272" s="108" t="s">
        <v>205</v>
      </c>
      <c r="C272" s="106">
        <v>2858255</v>
      </c>
      <c r="D272" s="106">
        <v>-912643</v>
      </c>
      <c r="E272" s="106">
        <v>0</v>
      </c>
      <c r="F272" s="106">
        <v>0</v>
      </c>
      <c r="G272" s="106">
        <v>0</v>
      </c>
      <c r="H272" s="106">
        <v>1945612</v>
      </c>
      <c r="I272" s="106">
        <v>-1771159</v>
      </c>
      <c r="J272" s="106">
        <v>174453</v>
      </c>
      <c r="K272" s="106">
        <v>0</v>
      </c>
      <c r="L272" s="106">
        <v>0</v>
      </c>
      <c r="M272" s="106">
        <v>0</v>
      </c>
      <c r="N272" s="106">
        <v>174453</v>
      </c>
    </row>
    <row r="273" spans="1:14" outlineLevel="2" x14ac:dyDescent="0.35">
      <c r="A273" s="108" t="s">
        <v>580</v>
      </c>
      <c r="B273" s="108" t="s">
        <v>204</v>
      </c>
      <c r="C273" s="106">
        <v>2574327</v>
      </c>
      <c r="D273" s="106">
        <v>-803036</v>
      </c>
      <c r="E273" s="106">
        <v>0</v>
      </c>
      <c r="F273" s="106">
        <v>0</v>
      </c>
      <c r="G273" s="106">
        <v>0</v>
      </c>
      <c r="H273" s="106">
        <v>1771291</v>
      </c>
      <c r="I273" s="106">
        <v>-1699854</v>
      </c>
      <c r="J273" s="106">
        <v>71437</v>
      </c>
      <c r="K273" s="106">
        <v>0</v>
      </c>
      <c r="L273" s="106">
        <v>0</v>
      </c>
      <c r="M273" s="106">
        <v>0</v>
      </c>
      <c r="N273" s="106">
        <v>71437</v>
      </c>
    </row>
    <row r="274" spans="1:14" outlineLevel="2" x14ac:dyDescent="0.35">
      <c r="A274" s="108" t="s">
        <v>580</v>
      </c>
      <c r="B274" s="108" t="s">
        <v>203</v>
      </c>
      <c r="C274" s="106">
        <v>1749574</v>
      </c>
      <c r="D274" s="106">
        <v>-9467</v>
      </c>
      <c r="E274" s="106">
        <v>0</v>
      </c>
      <c r="F274" s="106">
        <v>0</v>
      </c>
      <c r="G274" s="106">
        <v>0</v>
      </c>
      <c r="H274" s="106">
        <v>1740107</v>
      </c>
      <c r="I274" s="106">
        <v>-1552010</v>
      </c>
      <c r="J274" s="106">
        <v>188097</v>
      </c>
      <c r="K274" s="106">
        <v>0</v>
      </c>
      <c r="L274" s="106">
        <v>0</v>
      </c>
      <c r="M274" s="106">
        <v>0</v>
      </c>
      <c r="N274" s="106">
        <v>188097</v>
      </c>
    </row>
    <row r="275" spans="1:14" ht="16" outlineLevel="2" thickBot="1" x14ac:dyDescent="0.4">
      <c r="A275" s="105" t="s">
        <v>459</v>
      </c>
      <c r="B275" s="79" t="s">
        <v>12</v>
      </c>
      <c r="C275" s="103">
        <f>SUBTOTAL(109,Program278[(C)
Program
Costs])</f>
        <v>11931932</v>
      </c>
      <c r="D275" s="103">
        <f>SUBTOTAL(109,Program278[(D)
Prior Period Adjustments])</f>
        <v>-2629966</v>
      </c>
      <c r="E275" s="103">
        <f>SUBTOTAL(109,Program278[(E)
Current Period Desk 
Reviews])</f>
        <v>0</v>
      </c>
      <c r="F275" s="103">
        <f>SUBTOTAL(109,Program278[(F)
Current Period 
Final 
Audits])</f>
        <v>0</v>
      </c>
      <c r="G275" s="103">
        <f>SUBTOTAL(109,Program278[(G)
Current Period 
Other Adjustments])</f>
        <v>0</v>
      </c>
      <c r="H275" s="103">
        <f>SUBTOTAL(109,Program278[(H)
Net Program Costs
Sum (C through G)])</f>
        <v>9301966</v>
      </c>
      <c r="I275" s="103">
        <f>SUBTOTAL(109,Program278[(I)
Payments
 and Offsets])</f>
        <v>-7607816</v>
      </c>
      <c r="J275" s="103">
        <f>SUBTOTAL(109,Program278[(J)
Accounts Payable Balance
(H + I)])</f>
        <v>1694150</v>
      </c>
      <c r="K275" s="103">
        <f>SUBTOTAL(109,Program278[(K)
Established 
Accounts Receivable])</f>
        <v>0</v>
      </c>
      <c r="L275" s="103">
        <f>SUBTOTAL(109,Program278[(L)
Recovered
 Accounts Receivable])</f>
        <v>0</v>
      </c>
      <c r="M275" s="103">
        <f>SUBTOTAL(109,Program278[(M)
Accounts Receivable Balance
(K + L)])</f>
        <v>0</v>
      </c>
      <c r="N275" s="103">
        <f>SUBTOTAL(109,Program278[(N)
Net Balance
(J minus M)])</f>
        <v>1694150</v>
      </c>
    </row>
    <row r="276" spans="1:14" outlineLevel="2" x14ac:dyDescent="0.35">
      <c r="A276" s="116" t="s">
        <v>33</v>
      </c>
      <c r="B276" s="115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</row>
    <row r="277" spans="1:14" ht="77.5" outlineLevel="1" x14ac:dyDescent="0.35">
      <c r="A277" s="113" t="s">
        <v>185</v>
      </c>
      <c r="B277" s="112" t="s">
        <v>184</v>
      </c>
      <c r="C277" s="111" t="s">
        <v>183</v>
      </c>
      <c r="D277" s="111" t="s">
        <v>182</v>
      </c>
      <c r="E277" s="111" t="s">
        <v>181</v>
      </c>
      <c r="F277" s="111" t="s">
        <v>180</v>
      </c>
      <c r="G277" s="111" t="s">
        <v>179</v>
      </c>
      <c r="H277" s="110" t="s">
        <v>674</v>
      </c>
      <c r="I277" s="110" t="s">
        <v>178</v>
      </c>
      <c r="J277" s="110" t="s">
        <v>177</v>
      </c>
      <c r="K277" s="111" t="s">
        <v>176</v>
      </c>
      <c r="L277" s="110" t="s">
        <v>175</v>
      </c>
      <c r="M277" s="110" t="s">
        <v>174</v>
      </c>
      <c r="N277" s="109" t="s">
        <v>173</v>
      </c>
    </row>
    <row r="278" spans="1:14" ht="15.65" customHeight="1" outlineLevel="1" x14ac:dyDescent="0.35">
      <c r="A278" s="108" t="s">
        <v>579</v>
      </c>
      <c r="B278" s="108" t="s">
        <v>202</v>
      </c>
      <c r="C278" s="106">
        <v>2314459</v>
      </c>
      <c r="D278" s="106">
        <v>-4373</v>
      </c>
      <c r="E278" s="106">
        <v>0</v>
      </c>
      <c r="F278" s="106">
        <v>0</v>
      </c>
      <c r="G278" s="106">
        <v>0</v>
      </c>
      <c r="H278" s="106">
        <v>2310086</v>
      </c>
      <c r="I278" s="106">
        <v>-2072028</v>
      </c>
      <c r="J278" s="106">
        <v>238058</v>
      </c>
      <c r="K278" s="106">
        <v>20038</v>
      </c>
      <c r="L278" s="106">
        <v>-20038</v>
      </c>
      <c r="M278" s="106">
        <v>0</v>
      </c>
      <c r="N278" s="106">
        <v>238058</v>
      </c>
    </row>
    <row r="279" spans="1:14" ht="15" customHeight="1" outlineLevel="1" x14ac:dyDescent="0.35">
      <c r="A279" s="108" t="s">
        <v>579</v>
      </c>
      <c r="B279" s="108" t="s">
        <v>201</v>
      </c>
      <c r="C279" s="106">
        <v>1907277</v>
      </c>
      <c r="D279" s="106">
        <v>-12925</v>
      </c>
      <c r="E279" s="106">
        <v>0</v>
      </c>
      <c r="F279" s="106">
        <v>0</v>
      </c>
      <c r="G279" s="106">
        <v>0</v>
      </c>
      <c r="H279" s="106">
        <v>1894352</v>
      </c>
      <c r="I279" s="106">
        <v>-1761720</v>
      </c>
      <c r="J279" s="106">
        <v>132632</v>
      </c>
      <c r="K279" s="106">
        <v>0</v>
      </c>
      <c r="L279" s="106">
        <v>0</v>
      </c>
      <c r="M279" s="106">
        <v>0</v>
      </c>
      <c r="N279" s="106">
        <v>132632</v>
      </c>
    </row>
    <row r="280" spans="1:14" outlineLevel="2" x14ac:dyDescent="0.35">
      <c r="A280" s="108" t="s">
        <v>579</v>
      </c>
      <c r="B280" s="108" t="s">
        <v>200</v>
      </c>
      <c r="C280" s="106">
        <v>1861230</v>
      </c>
      <c r="D280" s="106">
        <v>-2874</v>
      </c>
      <c r="E280" s="106">
        <v>0</v>
      </c>
      <c r="F280" s="106">
        <v>0</v>
      </c>
      <c r="G280" s="106">
        <v>0</v>
      </c>
      <c r="H280" s="106">
        <v>1858356</v>
      </c>
      <c r="I280" s="106">
        <v>-1858356</v>
      </c>
      <c r="J280" s="106">
        <v>0</v>
      </c>
      <c r="K280" s="106">
        <v>1332</v>
      </c>
      <c r="L280" s="106">
        <v>-1332</v>
      </c>
      <c r="M280" s="106">
        <v>0</v>
      </c>
      <c r="N280" s="106">
        <v>0</v>
      </c>
    </row>
    <row r="281" spans="1:14" outlineLevel="2" x14ac:dyDescent="0.35">
      <c r="A281" s="108" t="s">
        <v>579</v>
      </c>
      <c r="B281" s="108" t="s">
        <v>199</v>
      </c>
      <c r="C281" s="106">
        <v>1947200</v>
      </c>
      <c r="D281" s="106">
        <v>-4912</v>
      </c>
      <c r="E281" s="106">
        <v>0</v>
      </c>
      <c r="F281" s="106">
        <v>0</v>
      </c>
      <c r="G281" s="106">
        <v>0</v>
      </c>
      <c r="H281" s="106">
        <v>1942288</v>
      </c>
      <c r="I281" s="106">
        <v>-1942288</v>
      </c>
      <c r="J281" s="106">
        <v>0</v>
      </c>
      <c r="K281" s="106">
        <v>0</v>
      </c>
      <c r="L281" s="106">
        <v>0</v>
      </c>
      <c r="M281" s="106">
        <v>0</v>
      </c>
      <c r="N281" s="106">
        <v>0</v>
      </c>
    </row>
    <row r="282" spans="1:14" outlineLevel="2" x14ac:dyDescent="0.35">
      <c r="A282" s="108" t="s">
        <v>579</v>
      </c>
      <c r="B282" s="108" t="s">
        <v>198</v>
      </c>
      <c r="C282" s="106">
        <v>58943</v>
      </c>
      <c r="D282" s="106">
        <v>0</v>
      </c>
      <c r="E282" s="106">
        <v>0</v>
      </c>
      <c r="F282" s="106">
        <v>0</v>
      </c>
      <c r="G282" s="106">
        <v>0</v>
      </c>
      <c r="H282" s="106">
        <v>58943</v>
      </c>
      <c r="I282" s="106">
        <v>-58943</v>
      </c>
      <c r="J282" s="106">
        <v>0</v>
      </c>
      <c r="K282" s="106">
        <v>0</v>
      </c>
      <c r="L282" s="106">
        <v>0</v>
      </c>
      <c r="M282" s="106">
        <v>0</v>
      </c>
      <c r="N282" s="106">
        <v>0</v>
      </c>
    </row>
    <row r="283" spans="1:14" outlineLevel="2" x14ac:dyDescent="0.35">
      <c r="A283" s="108" t="s">
        <v>579</v>
      </c>
      <c r="B283" s="108" t="s">
        <v>197</v>
      </c>
      <c r="C283" s="106">
        <v>13844</v>
      </c>
      <c r="D283" s="106">
        <v>0</v>
      </c>
      <c r="E283" s="106">
        <v>0</v>
      </c>
      <c r="F283" s="106">
        <v>0</v>
      </c>
      <c r="G283" s="106">
        <v>0</v>
      </c>
      <c r="H283" s="106">
        <v>13844</v>
      </c>
      <c r="I283" s="106">
        <v>-13844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</row>
    <row r="284" spans="1:14" outlineLevel="2" x14ac:dyDescent="0.35">
      <c r="A284" s="108" t="s">
        <v>579</v>
      </c>
      <c r="B284" s="108" t="s">
        <v>196</v>
      </c>
      <c r="C284" s="106">
        <v>9419</v>
      </c>
      <c r="D284" s="106">
        <v>0</v>
      </c>
      <c r="E284" s="106">
        <v>0</v>
      </c>
      <c r="F284" s="106">
        <v>0</v>
      </c>
      <c r="G284" s="106">
        <v>0</v>
      </c>
      <c r="H284" s="106">
        <v>9419</v>
      </c>
      <c r="I284" s="106">
        <v>-9419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</row>
    <row r="285" spans="1:14" outlineLevel="2" x14ac:dyDescent="0.35">
      <c r="A285" s="108" t="s">
        <v>579</v>
      </c>
      <c r="B285" s="108" t="s">
        <v>195</v>
      </c>
      <c r="C285" s="106">
        <v>2042</v>
      </c>
      <c r="D285" s="106">
        <v>0</v>
      </c>
      <c r="E285" s="106">
        <v>0</v>
      </c>
      <c r="F285" s="106">
        <v>0</v>
      </c>
      <c r="G285" s="106">
        <v>0</v>
      </c>
      <c r="H285" s="106">
        <v>2042</v>
      </c>
      <c r="I285" s="106">
        <v>-2042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</row>
    <row r="286" spans="1:14" ht="16" outlineLevel="1" thickBot="1" x14ac:dyDescent="0.4">
      <c r="A286" s="105" t="s">
        <v>458</v>
      </c>
      <c r="B286" s="79" t="s">
        <v>12</v>
      </c>
      <c r="C286" s="103">
        <f>SUBTOTAL(109,Program249[(C)
Program
Costs])</f>
        <v>8114414</v>
      </c>
      <c r="D286" s="103">
        <f>SUBTOTAL(109,Program249[(D)
Prior Period Adjustments])</f>
        <v>-25084</v>
      </c>
      <c r="E286" s="103">
        <f>SUBTOTAL(109,Program249[(E)
Current Period Desk 
Reviews])</f>
        <v>0</v>
      </c>
      <c r="F286" s="103">
        <f>SUBTOTAL(109,Program249[(F)
Current Period 
Final 
Audits])</f>
        <v>0</v>
      </c>
      <c r="G286" s="103">
        <f>SUBTOTAL(109,Program249[(G)
Current Period 
Other Adjustments])</f>
        <v>0</v>
      </c>
      <c r="H286" s="103">
        <f>SUBTOTAL(109,Program249[(H)
Net Program Costs
Sum (C through G)])</f>
        <v>8089330</v>
      </c>
      <c r="I286" s="103">
        <f>SUBTOTAL(109,Program249[(I)
Payments
 and Offsets])</f>
        <v>-7718640</v>
      </c>
      <c r="J286" s="103">
        <f>SUBTOTAL(109,Program249[(J)
Accounts Payable Balance
(H + I)])</f>
        <v>370690</v>
      </c>
      <c r="K286" s="103">
        <f>SUBTOTAL(109,Program249[(K)
Established 
Accounts Receivable])</f>
        <v>21370</v>
      </c>
      <c r="L286" s="103">
        <f>SUBTOTAL(109,Program249[(L)
Recovered
 Accounts Receivable])</f>
        <v>-21370</v>
      </c>
      <c r="M286" s="103">
        <f>SUBTOTAL(109,Program249[(M)
Accounts Receivable Balance
(K + L)])</f>
        <v>0</v>
      </c>
      <c r="N286" s="103">
        <f>SUBTOTAL(109,Program249[(N)
Net Balance
(J minus M)])</f>
        <v>370690</v>
      </c>
    </row>
    <row r="287" spans="1:14" ht="15.65" customHeight="1" outlineLevel="1" x14ac:dyDescent="0.35">
      <c r="A287" s="116" t="s">
        <v>33</v>
      </c>
      <c r="B287" s="115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</row>
    <row r="288" spans="1:14" ht="78.75" customHeight="1" outlineLevel="1" x14ac:dyDescent="0.35">
      <c r="A288" s="113" t="s">
        <v>185</v>
      </c>
      <c r="B288" s="112" t="s">
        <v>184</v>
      </c>
      <c r="C288" s="111" t="s">
        <v>183</v>
      </c>
      <c r="D288" s="111" t="s">
        <v>182</v>
      </c>
      <c r="E288" s="111" t="s">
        <v>181</v>
      </c>
      <c r="F288" s="111" t="s">
        <v>180</v>
      </c>
      <c r="G288" s="111" t="s">
        <v>179</v>
      </c>
      <c r="H288" s="110" t="s">
        <v>674</v>
      </c>
      <c r="I288" s="110" t="s">
        <v>178</v>
      </c>
      <c r="J288" s="110" t="s">
        <v>177</v>
      </c>
      <c r="K288" s="111" t="s">
        <v>176</v>
      </c>
      <c r="L288" s="110" t="s">
        <v>175</v>
      </c>
      <c r="M288" s="110" t="s">
        <v>174</v>
      </c>
      <c r="N288" s="109" t="s">
        <v>173</v>
      </c>
    </row>
    <row r="289" spans="1:14" outlineLevel="2" x14ac:dyDescent="0.35">
      <c r="A289" s="108" t="s">
        <v>578</v>
      </c>
      <c r="B289" s="108" t="s">
        <v>202</v>
      </c>
      <c r="C289" s="106">
        <v>84983</v>
      </c>
      <c r="D289" s="106">
        <v>0</v>
      </c>
      <c r="E289" s="106">
        <v>0</v>
      </c>
      <c r="F289" s="106">
        <v>0</v>
      </c>
      <c r="G289" s="106">
        <v>0</v>
      </c>
      <c r="H289" s="106">
        <v>84983</v>
      </c>
      <c r="I289" s="106">
        <v>-83679</v>
      </c>
      <c r="J289" s="106">
        <v>1304</v>
      </c>
      <c r="K289" s="106">
        <v>0</v>
      </c>
      <c r="L289" s="106">
        <v>0</v>
      </c>
      <c r="M289" s="106">
        <v>0</v>
      </c>
      <c r="N289" s="106">
        <v>1304</v>
      </c>
    </row>
    <row r="290" spans="1:14" outlineLevel="2" x14ac:dyDescent="0.35">
      <c r="A290" s="108" t="s">
        <v>578</v>
      </c>
      <c r="B290" s="108" t="s">
        <v>201</v>
      </c>
      <c r="C290" s="106">
        <v>9700</v>
      </c>
      <c r="D290" s="106">
        <v>-179</v>
      </c>
      <c r="E290" s="106">
        <v>0</v>
      </c>
      <c r="F290" s="106">
        <v>0</v>
      </c>
      <c r="G290" s="106">
        <v>0</v>
      </c>
      <c r="H290" s="106">
        <v>9521</v>
      </c>
      <c r="I290" s="106">
        <v>-9521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</row>
    <row r="291" spans="1:14" outlineLevel="2" x14ac:dyDescent="0.35">
      <c r="A291" s="108" t="s">
        <v>578</v>
      </c>
      <c r="B291" s="108" t="s">
        <v>200</v>
      </c>
      <c r="C291" s="106">
        <v>1932</v>
      </c>
      <c r="D291" s="106">
        <v>0</v>
      </c>
      <c r="E291" s="106">
        <v>0</v>
      </c>
      <c r="F291" s="106">
        <v>0</v>
      </c>
      <c r="G291" s="106">
        <v>0</v>
      </c>
      <c r="H291" s="106">
        <v>1932</v>
      </c>
      <c r="I291" s="106">
        <v>-1932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</row>
    <row r="292" spans="1:14" outlineLevel="2" x14ac:dyDescent="0.35">
      <c r="A292" s="108" t="s">
        <v>578</v>
      </c>
      <c r="B292" s="108" t="s">
        <v>199</v>
      </c>
      <c r="C292" s="106">
        <v>1295</v>
      </c>
      <c r="D292" s="106">
        <v>0</v>
      </c>
      <c r="E292" s="106">
        <v>0</v>
      </c>
      <c r="F292" s="106">
        <v>0</v>
      </c>
      <c r="G292" s="106">
        <v>0</v>
      </c>
      <c r="H292" s="106">
        <v>1295</v>
      </c>
      <c r="I292" s="106">
        <v>-1295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</row>
    <row r="293" spans="1:14" outlineLevel="2" x14ac:dyDescent="0.35">
      <c r="A293" s="108" t="s">
        <v>578</v>
      </c>
      <c r="B293" s="108" t="s">
        <v>198</v>
      </c>
      <c r="C293" s="106">
        <v>1180</v>
      </c>
      <c r="D293" s="106">
        <v>0</v>
      </c>
      <c r="E293" s="106">
        <v>0</v>
      </c>
      <c r="F293" s="106">
        <v>0</v>
      </c>
      <c r="G293" s="106">
        <v>0</v>
      </c>
      <c r="H293" s="106">
        <v>1180</v>
      </c>
      <c r="I293" s="106">
        <v>-1180</v>
      </c>
      <c r="J293" s="106">
        <v>0</v>
      </c>
      <c r="K293" s="106">
        <v>0</v>
      </c>
      <c r="L293" s="106">
        <v>0</v>
      </c>
      <c r="M293" s="106">
        <v>0</v>
      </c>
      <c r="N293" s="106">
        <v>0</v>
      </c>
    </row>
    <row r="294" spans="1:14" outlineLevel="2" x14ac:dyDescent="0.35">
      <c r="A294" s="108" t="s">
        <v>578</v>
      </c>
      <c r="B294" s="108" t="s">
        <v>197</v>
      </c>
      <c r="C294" s="106">
        <v>1100</v>
      </c>
      <c r="D294" s="106">
        <v>0</v>
      </c>
      <c r="E294" s="106">
        <v>0</v>
      </c>
      <c r="F294" s="106">
        <v>0</v>
      </c>
      <c r="G294" s="106">
        <v>0</v>
      </c>
      <c r="H294" s="106">
        <v>1100</v>
      </c>
      <c r="I294" s="106">
        <v>-1100</v>
      </c>
      <c r="J294" s="106">
        <v>0</v>
      </c>
      <c r="K294" s="106">
        <v>0</v>
      </c>
      <c r="L294" s="106">
        <v>0</v>
      </c>
      <c r="M294" s="106">
        <v>0</v>
      </c>
      <c r="N294" s="106">
        <v>0</v>
      </c>
    </row>
    <row r="295" spans="1:14" outlineLevel="1" x14ac:dyDescent="0.35">
      <c r="A295" s="108" t="s">
        <v>578</v>
      </c>
      <c r="B295" s="108" t="s">
        <v>196</v>
      </c>
      <c r="C295" s="106">
        <v>1225</v>
      </c>
      <c r="D295" s="106">
        <v>0</v>
      </c>
      <c r="E295" s="106">
        <v>0</v>
      </c>
      <c r="F295" s="106">
        <v>0</v>
      </c>
      <c r="G295" s="106">
        <v>0</v>
      </c>
      <c r="H295" s="106">
        <v>1225</v>
      </c>
      <c r="I295" s="106">
        <v>-1225</v>
      </c>
      <c r="J295" s="106">
        <v>0</v>
      </c>
      <c r="K295" s="106">
        <v>0</v>
      </c>
      <c r="L295" s="106">
        <v>0</v>
      </c>
      <c r="M295" s="106">
        <v>0</v>
      </c>
      <c r="N295" s="106">
        <v>0</v>
      </c>
    </row>
    <row r="296" spans="1:14" ht="15.65" customHeight="1" outlineLevel="1" x14ac:dyDescent="0.35">
      <c r="A296" s="108" t="s">
        <v>578</v>
      </c>
      <c r="B296" s="108" t="s">
        <v>195</v>
      </c>
      <c r="C296" s="106">
        <v>1005</v>
      </c>
      <c r="D296" s="106">
        <v>0</v>
      </c>
      <c r="E296" s="106">
        <v>0</v>
      </c>
      <c r="F296" s="106">
        <v>0</v>
      </c>
      <c r="G296" s="106">
        <v>0</v>
      </c>
      <c r="H296" s="106">
        <v>1005</v>
      </c>
      <c r="I296" s="106">
        <v>-1005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</row>
    <row r="297" spans="1:14" ht="16" outlineLevel="2" thickBot="1" x14ac:dyDescent="0.4">
      <c r="A297" s="105" t="s">
        <v>457</v>
      </c>
      <c r="B297" s="79" t="s">
        <v>12</v>
      </c>
      <c r="C297" s="103">
        <f>SUBTOTAL(109,Program277[(C)
Program
Costs])</f>
        <v>102420</v>
      </c>
      <c r="D297" s="103">
        <f>SUBTOTAL(109,Program277[(D)
Prior Period Adjustments])</f>
        <v>-179</v>
      </c>
      <c r="E297" s="103">
        <f>SUBTOTAL(109,Program277[(E)
Current Period Desk 
Reviews])</f>
        <v>0</v>
      </c>
      <c r="F297" s="103">
        <f>SUBTOTAL(109,Program277[(F)
Current Period 
Final 
Audits])</f>
        <v>0</v>
      </c>
      <c r="G297" s="103">
        <f>SUBTOTAL(109,Program277[(G)
Current Period 
Other Adjustments])</f>
        <v>0</v>
      </c>
      <c r="H297" s="103">
        <f>SUBTOTAL(109,Program277[(H)
Net Program Costs
Sum (C through G)])</f>
        <v>102241</v>
      </c>
      <c r="I297" s="103">
        <f>SUBTOTAL(109,Program277[(I)
Payments
 and Offsets])</f>
        <v>-100937</v>
      </c>
      <c r="J297" s="103">
        <f>SUBTOTAL(109,Program277[(J)
Accounts Payable Balance
(H + I)])</f>
        <v>1304</v>
      </c>
      <c r="K297" s="103">
        <f>SUBTOTAL(109,Program277[(K)
Established 
Accounts Receivable])</f>
        <v>0</v>
      </c>
      <c r="L297" s="103">
        <f>SUBTOTAL(109,Program277[(L)
Recovered
 Accounts Receivable])</f>
        <v>0</v>
      </c>
      <c r="M297" s="103">
        <f>SUBTOTAL(109,Program277[(M)
Accounts Receivable Balance
(K + L)])</f>
        <v>0</v>
      </c>
      <c r="N297" s="103">
        <f>SUBTOTAL(109,Program277[(N)
Net Balance
(J minus M)])</f>
        <v>1304</v>
      </c>
    </row>
    <row r="298" spans="1:14" outlineLevel="2" x14ac:dyDescent="0.35">
      <c r="A298" s="116" t="s">
        <v>33</v>
      </c>
      <c r="B298" s="115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</row>
    <row r="299" spans="1:14" ht="77.5" outlineLevel="2" x14ac:dyDescent="0.35">
      <c r="A299" s="113" t="s">
        <v>185</v>
      </c>
      <c r="B299" s="112" t="s">
        <v>184</v>
      </c>
      <c r="C299" s="111" t="s">
        <v>183</v>
      </c>
      <c r="D299" s="111" t="s">
        <v>182</v>
      </c>
      <c r="E299" s="111" t="s">
        <v>181</v>
      </c>
      <c r="F299" s="111" t="s">
        <v>180</v>
      </c>
      <c r="G299" s="111" t="s">
        <v>179</v>
      </c>
      <c r="H299" s="110" t="s">
        <v>674</v>
      </c>
      <c r="I299" s="110" t="s">
        <v>178</v>
      </c>
      <c r="J299" s="110" t="s">
        <v>177</v>
      </c>
      <c r="K299" s="111" t="s">
        <v>176</v>
      </c>
      <c r="L299" s="110" t="s">
        <v>175</v>
      </c>
      <c r="M299" s="110" t="s">
        <v>174</v>
      </c>
      <c r="N299" s="109" t="s">
        <v>173</v>
      </c>
    </row>
    <row r="300" spans="1:14" outlineLevel="2" x14ac:dyDescent="0.35">
      <c r="A300" s="108" t="s">
        <v>577</v>
      </c>
      <c r="B300" s="108" t="s">
        <v>220</v>
      </c>
      <c r="C300" s="106">
        <v>4943</v>
      </c>
      <c r="D300" s="106">
        <v>0</v>
      </c>
      <c r="E300" s="106">
        <v>0</v>
      </c>
      <c r="F300" s="106">
        <v>0</v>
      </c>
      <c r="G300" s="106">
        <v>0</v>
      </c>
      <c r="H300" s="106">
        <v>4943</v>
      </c>
      <c r="I300" s="106">
        <v>-4943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</row>
    <row r="301" spans="1:14" outlineLevel="2" x14ac:dyDescent="0.35">
      <c r="A301" s="108" t="s">
        <v>577</v>
      </c>
      <c r="B301" s="108" t="s">
        <v>219</v>
      </c>
      <c r="C301" s="106">
        <v>5156</v>
      </c>
      <c r="D301" s="106">
        <v>0</v>
      </c>
      <c r="E301" s="106">
        <v>0</v>
      </c>
      <c r="F301" s="106">
        <v>0</v>
      </c>
      <c r="G301" s="106">
        <v>0</v>
      </c>
      <c r="H301" s="106">
        <v>5156</v>
      </c>
      <c r="I301" s="106">
        <v>-5156</v>
      </c>
      <c r="J301" s="106">
        <v>0</v>
      </c>
      <c r="K301" s="106">
        <v>0</v>
      </c>
      <c r="L301" s="106">
        <v>0</v>
      </c>
      <c r="M301" s="106">
        <v>0</v>
      </c>
      <c r="N301" s="106">
        <v>0</v>
      </c>
    </row>
    <row r="302" spans="1:14" outlineLevel="2" x14ac:dyDescent="0.35">
      <c r="A302" s="108" t="s">
        <v>577</v>
      </c>
      <c r="B302" s="108" t="s">
        <v>218</v>
      </c>
      <c r="C302" s="106">
        <v>56740</v>
      </c>
      <c r="D302" s="106">
        <v>0</v>
      </c>
      <c r="E302" s="106">
        <v>0</v>
      </c>
      <c r="F302" s="106">
        <v>0</v>
      </c>
      <c r="G302" s="106">
        <v>0</v>
      </c>
      <c r="H302" s="106">
        <v>56740</v>
      </c>
      <c r="I302" s="106">
        <v>-55085</v>
      </c>
      <c r="J302" s="106">
        <v>1655</v>
      </c>
      <c r="K302" s="106">
        <v>0</v>
      </c>
      <c r="L302" s="106">
        <v>0</v>
      </c>
      <c r="M302" s="106">
        <v>0</v>
      </c>
      <c r="N302" s="106">
        <v>1655</v>
      </c>
    </row>
    <row r="303" spans="1:14" outlineLevel="2" x14ac:dyDescent="0.35">
      <c r="A303" s="108" t="s">
        <v>577</v>
      </c>
      <c r="B303" s="108" t="s">
        <v>209</v>
      </c>
      <c r="C303" s="106">
        <v>25128</v>
      </c>
      <c r="D303" s="106">
        <v>0</v>
      </c>
      <c r="E303" s="106">
        <v>0</v>
      </c>
      <c r="F303" s="106">
        <v>0</v>
      </c>
      <c r="G303" s="106">
        <v>0</v>
      </c>
      <c r="H303" s="106">
        <v>25128</v>
      </c>
      <c r="I303" s="106">
        <v>-9606</v>
      </c>
      <c r="J303" s="106">
        <v>15522</v>
      </c>
      <c r="K303" s="106">
        <v>0</v>
      </c>
      <c r="L303" s="106">
        <v>0</v>
      </c>
      <c r="M303" s="106">
        <v>0</v>
      </c>
      <c r="N303" s="106">
        <v>15522</v>
      </c>
    </row>
    <row r="304" spans="1:14" outlineLevel="2" x14ac:dyDescent="0.35">
      <c r="A304" s="108" t="s">
        <v>577</v>
      </c>
      <c r="B304" s="108" t="s">
        <v>208</v>
      </c>
      <c r="C304" s="106">
        <v>8523</v>
      </c>
      <c r="D304" s="106">
        <v>0</v>
      </c>
      <c r="E304" s="106">
        <v>0</v>
      </c>
      <c r="F304" s="106">
        <v>0</v>
      </c>
      <c r="G304" s="106">
        <v>0</v>
      </c>
      <c r="H304" s="106">
        <v>8523</v>
      </c>
      <c r="I304" s="106">
        <v>-8523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</row>
    <row r="305" spans="1:14" outlineLevel="1" x14ac:dyDescent="0.35">
      <c r="A305" s="108" t="s">
        <v>577</v>
      </c>
      <c r="B305" s="108" t="s">
        <v>206</v>
      </c>
      <c r="C305" s="106">
        <v>2820</v>
      </c>
      <c r="D305" s="106">
        <v>0</v>
      </c>
      <c r="E305" s="106">
        <v>0</v>
      </c>
      <c r="F305" s="106">
        <v>0</v>
      </c>
      <c r="G305" s="106">
        <v>0</v>
      </c>
      <c r="H305" s="106">
        <v>2820</v>
      </c>
      <c r="I305" s="106">
        <v>-2820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</row>
    <row r="306" spans="1:14" ht="15.65" customHeight="1" outlineLevel="1" x14ac:dyDescent="0.35">
      <c r="A306" s="108" t="s">
        <v>577</v>
      </c>
      <c r="B306" s="108" t="s">
        <v>205</v>
      </c>
      <c r="C306" s="106">
        <v>1440</v>
      </c>
      <c r="D306" s="106">
        <v>0</v>
      </c>
      <c r="E306" s="106">
        <v>0</v>
      </c>
      <c r="F306" s="106">
        <v>0</v>
      </c>
      <c r="G306" s="106">
        <v>0</v>
      </c>
      <c r="H306" s="106">
        <v>1440</v>
      </c>
      <c r="I306" s="106">
        <v>-1440</v>
      </c>
      <c r="J306" s="106">
        <v>0</v>
      </c>
      <c r="K306" s="106">
        <v>0</v>
      </c>
      <c r="L306" s="106">
        <v>0</v>
      </c>
      <c r="M306" s="106">
        <v>0</v>
      </c>
      <c r="N306" s="106">
        <v>0</v>
      </c>
    </row>
    <row r="307" spans="1:14" ht="16" outlineLevel="2" thickBot="1" x14ac:dyDescent="0.4">
      <c r="A307" s="105" t="s">
        <v>456</v>
      </c>
      <c r="B307" s="79" t="s">
        <v>12</v>
      </c>
      <c r="C307" s="103">
        <f>SUBTOTAL(109,Program337[(C)
Program
Costs])</f>
        <v>104750</v>
      </c>
      <c r="D307" s="103">
        <f>SUBTOTAL(109,Program337[(D)
Prior Period Adjustments])</f>
        <v>0</v>
      </c>
      <c r="E307" s="103">
        <f>SUBTOTAL(109,Program337[(E)
Current Period Desk 
Reviews])</f>
        <v>0</v>
      </c>
      <c r="F307" s="103">
        <f>SUBTOTAL(109,Program337[(F)
Current Period 
Final 
Audits])</f>
        <v>0</v>
      </c>
      <c r="G307" s="103">
        <f>SUBTOTAL(109,Program337[(G)
Current Period 
Other Adjustments])</f>
        <v>0</v>
      </c>
      <c r="H307" s="103">
        <f>SUBTOTAL(109,Program337[(H)
Net Program Costs
Sum (C through G)])</f>
        <v>104750</v>
      </c>
      <c r="I307" s="103">
        <f>SUBTOTAL(109,Program337[(I)
Payments
 and Offsets])</f>
        <v>-87573</v>
      </c>
      <c r="J307" s="103">
        <f>SUBTOTAL(109,Program337[(J)
Accounts Payable Balance
(H + I)])</f>
        <v>17177</v>
      </c>
      <c r="K307" s="103">
        <f>SUBTOTAL(109,Program337[(K)
Established 
Accounts Receivable])</f>
        <v>0</v>
      </c>
      <c r="L307" s="103">
        <f>SUBTOTAL(109,Program337[(L)
Recovered
 Accounts Receivable])</f>
        <v>0</v>
      </c>
      <c r="M307" s="103">
        <f>SUBTOTAL(109,Program337[(M)
Accounts Receivable Balance
(K + L)])</f>
        <v>0</v>
      </c>
      <c r="N307" s="103">
        <f>SUBTOTAL(109,Program337[(N)
Net Balance
(J minus M)])</f>
        <v>17177</v>
      </c>
    </row>
    <row r="308" spans="1:14" outlineLevel="2" x14ac:dyDescent="0.35">
      <c r="A308" s="116" t="s">
        <v>33</v>
      </c>
      <c r="B308" s="115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</row>
    <row r="309" spans="1:14" ht="77.5" outlineLevel="2" x14ac:dyDescent="0.35">
      <c r="A309" s="113" t="s">
        <v>185</v>
      </c>
      <c r="B309" s="112" t="s">
        <v>184</v>
      </c>
      <c r="C309" s="111" t="s">
        <v>183</v>
      </c>
      <c r="D309" s="111" t="s">
        <v>182</v>
      </c>
      <c r="E309" s="111" t="s">
        <v>181</v>
      </c>
      <c r="F309" s="111" t="s">
        <v>180</v>
      </c>
      <c r="G309" s="111" t="s">
        <v>179</v>
      </c>
      <c r="H309" s="110" t="s">
        <v>674</v>
      </c>
      <c r="I309" s="110" t="s">
        <v>178</v>
      </c>
      <c r="J309" s="110" t="s">
        <v>177</v>
      </c>
      <c r="K309" s="111" t="s">
        <v>176</v>
      </c>
      <c r="L309" s="110" t="s">
        <v>175</v>
      </c>
      <c r="M309" s="110" t="s">
        <v>174</v>
      </c>
      <c r="N309" s="109" t="s">
        <v>173</v>
      </c>
    </row>
    <row r="310" spans="1:14" ht="15.5" customHeight="1" outlineLevel="2" x14ac:dyDescent="0.35">
      <c r="A310" s="77" t="s">
        <v>576</v>
      </c>
      <c r="B310" s="108" t="s">
        <v>220</v>
      </c>
      <c r="C310" s="106">
        <v>3445</v>
      </c>
      <c r="D310" s="106">
        <v>-2156</v>
      </c>
      <c r="E310" s="106">
        <v>0</v>
      </c>
      <c r="F310" s="106">
        <v>0</v>
      </c>
      <c r="G310" s="106">
        <v>0</v>
      </c>
      <c r="H310" s="106">
        <v>1289</v>
      </c>
      <c r="I310" s="106">
        <v>-1000</v>
      </c>
      <c r="J310" s="106">
        <v>289</v>
      </c>
      <c r="K310" s="106">
        <v>0</v>
      </c>
      <c r="L310" s="106">
        <v>0</v>
      </c>
      <c r="M310" s="106">
        <v>0</v>
      </c>
      <c r="N310" s="106">
        <v>289</v>
      </c>
    </row>
    <row r="311" spans="1:14" ht="15.5" customHeight="1" outlineLevel="2" x14ac:dyDescent="0.35">
      <c r="A311" s="77" t="s">
        <v>576</v>
      </c>
      <c r="B311" s="108" t="s">
        <v>219</v>
      </c>
      <c r="C311" s="106">
        <v>1367</v>
      </c>
      <c r="D311" s="106">
        <v>0</v>
      </c>
      <c r="E311" s="106">
        <v>0</v>
      </c>
      <c r="F311" s="106">
        <v>0</v>
      </c>
      <c r="G311" s="106">
        <v>0</v>
      </c>
      <c r="H311" s="106">
        <v>1367</v>
      </c>
      <c r="I311" s="106">
        <v>-1000</v>
      </c>
      <c r="J311" s="106">
        <v>367</v>
      </c>
      <c r="K311" s="106">
        <v>0</v>
      </c>
      <c r="L311" s="106">
        <v>0</v>
      </c>
      <c r="M311" s="106">
        <v>0</v>
      </c>
      <c r="N311" s="106">
        <v>367</v>
      </c>
    </row>
    <row r="312" spans="1:14" ht="15.5" customHeight="1" outlineLevel="2" x14ac:dyDescent="0.35">
      <c r="A312" s="77" t="s">
        <v>576</v>
      </c>
      <c r="B312" s="108" t="s">
        <v>209</v>
      </c>
      <c r="C312" s="106">
        <v>1813</v>
      </c>
      <c r="D312" s="106">
        <v>0</v>
      </c>
      <c r="E312" s="106">
        <v>0</v>
      </c>
      <c r="F312" s="106">
        <v>0</v>
      </c>
      <c r="G312" s="106">
        <v>0</v>
      </c>
      <c r="H312" s="106">
        <v>1813</v>
      </c>
      <c r="I312" s="106">
        <v>-1000</v>
      </c>
      <c r="J312" s="106">
        <v>813</v>
      </c>
      <c r="K312" s="106">
        <v>0</v>
      </c>
      <c r="L312" s="106">
        <v>0</v>
      </c>
      <c r="M312" s="106">
        <v>0</v>
      </c>
      <c r="N312" s="106">
        <v>813</v>
      </c>
    </row>
    <row r="313" spans="1:14" ht="15.5" customHeight="1" outlineLevel="2" x14ac:dyDescent="0.35">
      <c r="A313" s="77" t="s">
        <v>576</v>
      </c>
      <c r="B313" s="108" t="s">
        <v>208</v>
      </c>
      <c r="C313" s="106">
        <v>19747</v>
      </c>
      <c r="D313" s="106">
        <v>-171</v>
      </c>
      <c r="E313" s="106">
        <v>0</v>
      </c>
      <c r="F313" s="106">
        <v>0</v>
      </c>
      <c r="G313" s="106">
        <v>0</v>
      </c>
      <c r="H313" s="106">
        <v>19576</v>
      </c>
      <c r="I313" s="106">
        <v>-13333</v>
      </c>
      <c r="J313" s="106">
        <v>6243</v>
      </c>
      <c r="K313" s="106">
        <v>0</v>
      </c>
      <c r="L313" s="106">
        <v>0</v>
      </c>
      <c r="M313" s="106">
        <v>0</v>
      </c>
      <c r="N313" s="106">
        <v>6243</v>
      </c>
    </row>
    <row r="314" spans="1:14" ht="15.5" customHeight="1" outlineLevel="2" x14ac:dyDescent="0.35">
      <c r="A314" s="77" t="s">
        <v>576</v>
      </c>
      <c r="B314" s="108" t="s">
        <v>206</v>
      </c>
      <c r="C314" s="106">
        <v>13640</v>
      </c>
      <c r="D314" s="106">
        <v>0</v>
      </c>
      <c r="E314" s="106">
        <v>0</v>
      </c>
      <c r="F314" s="106">
        <v>0</v>
      </c>
      <c r="G314" s="106">
        <v>0</v>
      </c>
      <c r="H314" s="106">
        <v>13640</v>
      </c>
      <c r="I314" s="106">
        <v>-7429</v>
      </c>
      <c r="J314" s="106">
        <v>6211</v>
      </c>
      <c r="K314" s="106">
        <v>0</v>
      </c>
      <c r="L314" s="106">
        <v>0</v>
      </c>
      <c r="M314" s="106">
        <v>0</v>
      </c>
      <c r="N314" s="106">
        <v>6211</v>
      </c>
    </row>
    <row r="315" spans="1:14" ht="15.5" customHeight="1" outlineLevel="2" x14ac:dyDescent="0.35">
      <c r="A315" s="77" t="s">
        <v>576</v>
      </c>
      <c r="B315" s="108" t="s">
        <v>205</v>
      </c>
      <c r="C315" s="106">
        <v>10638</v>
      </c>
      <c r="D315" s="106">
        <v>0</v>
      </c>
      <c r="E315" s="106">
        <v>0</v>
      </c>
      <c r="F315" s="106">
        <v>0</v>
      </c>
      <c r="G315" s="106">
        <v>0</v>
      </c>
      <c r="H315" s="106">
        <v>10638</v>
      </c>
      <c r="I315" s="106">
        <v>-1061</v>
      </c>
      <c r="J315" s="106">
        <v>9577</v>
      </c>
      <c r="K315" s="106">
        <v>0</v>
      </c>
      <c r="L315" s="106">
        <v>0</v>
      </c>
      <c r="M315" s="106">
        <v>0</v>
      </c>
      <c r="N315" s="106">
        <v>9577</v>
      </c>
    </row>
    <row r="316" spans="1:14" ht="16" outlineLevel="2" thickBot="1" x14ac:dyDescent="0.4">
      <c r="A316" s="105" t="s">
        <v>455</v>
      </c>
      <c r="B316" s="79" t="s">
        <v>12</v>
      </c>
      <c r="C316" s="103">
        <f>SUBTOTAL(109,Program309[(C)
Program
Costs])</f>
        <v>50650</v>
      </c>
      <c r="D316" s="103">
        <f>SUBTOTAL(109,Program309[(D)
Prior Period Adjustments])</f>
        <v>-2327</v>
      </c>
      <c r="E316" s="103">
        <f>SUBTOTAL(109,Program309[(E)
Current Period Desk 
Reviews])</f>
        <v>0</v>
      </c>
      <c r="F316" s="103">
        <f>SUBTOTAL(109,Program309[(F)
Current Period 
Final 
Audits])</f>
        <v>0</v>
      </c>
      <c r="G316" s="103">
        <f>SUBTOTAL(109,Program309[(G)
Current Period 
Other Adjustments])</f>
        <v>0</v>
      </c>
      <c r="H316" s="103">
        <f>SUBTOTAL(109,Program309[(H)
Net Program Costs
Sum (C through G)])</f>
        <v>48323</v>
      </c>
      <c r="I316" s="103">
        <f>SUBTOTAL(109,Program309[(I)
Payments
 and Offsets])</f>
        <v>-24823</v>
      </c>
      <c r="J316" s="103">
        <f>SUBTOTAL(109,Program309[(J)
Accounts Payable Balance
(H + I)])</f>
        <v>23500</v>
      </c>
      <c r="K316" s="103">
        <f>SUBTOTAL(109,Program309[(K)
Established 
Accounts Receivable])</f>
        <v>0</v>
      </c>
      <c r="L316" s="103">
        <f>SUBTOTAL(109,Program309[(L)
Recovered
 Accounts Receivable])</f>
        <v>0</v>
      </c>
      <c r="M316" s="103">
        <f>SUBTOTAL(109,Program309[(M)
Accounts Receivable Balance
(K + L)])</f>
        <v>0</v>
      </c>
      <c r="N316" s="103">
        <f>SUBTOTAL(109,Program309[(N)
Net Balance
(J minus M)])</f>
        <v>23500</v>
      </c>
    </row>
    <row r="317" spans="1:14" outlineLevel="2" x14ac:dyDescent="0.35">
      <c r="A317" s="116" t="s">
        <v>33</v>
      </c>
      <c r="B317" s="115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</row>
    <row r="318" spans="1:14" ht="77.5" outlineLevel="2" x14ac:dyDescent="0.35">
      <c r="A318" s="113" t="s">
        <v>185</v>
      </c>
      <c r="B318" s="112" t="s">
        <v>184</v>
      </c>
      <c r="C318" s="111" t="s">
        <v>183</v>
      </c>
      <c r="D318" s="111" t="s">
        <v>182</v>
      </c>
      <c r="E318" s="111" t="s">
        <v>181</v>
      </c>
      <c r="F318" s="111" t="s">
        <v>180</v>
      </c>
      <c r="G318" s="111" t="s">
        <v>179</v>
      </c>
      <c r="H318" s="110" t="s">
        <v>674</v>
      </c>
      <c r="I318" s="110" t="s">
        <v>178</v>
      </c>
      <c r="J318" s="110" t="s">
        <v>177</v>
      </c>
      <c r="K318" s="111" t="s">
        <v>176</v>
      </c>
      <c r="L318" s="110" t="s">
        <v>175</v>
      </c>
      <c r="M318" s="110" t="s">
        <v>174</v>
      </c>
      <c r="N318" s="109" t="s">
        <v>173</v>
      </c>
    </row>
    <row r="319" spans="1:14" outlineLevel="2" x14ac:dyDescent="0.35">
      <c r="A319" s="108" t="s">
        <v>575</v>
      </c>
      <c r="B319" s="108" t="s">
        <v>188</v>
      </c>
      <c r="C319" s="106">
        <v>17750643</v>
      </c>
      <c r="D319" s="106">
        <v>-5904448</v>
      </c>
      <c r="E319" s="106">
        <v>0</v>
      </c>
      <c r="F319" s="106">
        <v>0</v>
      </c>
      <c r="G319" s="106">
        <v>0</v>
      </c>
      <c r="H319" s="106">
        <v>11846195</v>
      </c>
      <c r="I319" s="106">
        <v>-11846195</v>
      </c>
      <c r="J319" s="106">
        <v>0</v>
      </c>
      <c r="K319" s="106">
        <v>1179938</v>
      </c>
      <c r="L319" s="106">
        <v>-1179552</v>
      </c>
      <c r="M319" s="106">
        <v>386</v>
      </c>
      <c r="N319" s="106">
        <v>-386</v>
      </c>
    </row>
    <row r="320" spans="1:14" outlineLevel="2" x14ac:dyDescent="0.35">
      <c r="A320" s="108" t="s">
        <v>575</v>
      </c>
      <c r="B320" s="108" t="s">
        <v>186</v>
      </c>
      <c r="C320" s="106">
        <v>15977515</v>
      </c>
      <c r="D320" s="106">
        <v>-5327170</v>
      </c>
      <c r="E320" s="106">
        <v>0</v>
      </c>
      <c r="F320" s="106">
        <v>0</v>
      </c>
      <c r="G320" s="106">
        <v>0</v>
      </c>
      <c r="H320" s="106">
        <v>10650345</v>
      </c>
      <c r="I320" s="106">
        <v>-10650345</v>
      </c>
      <c r="J320" s="106">
        <v>0</v>
      </c>
      <c r="K320" s="106">
        <v>1058329</v>
      </c>
      <c r="L320" s="106">
        <v>-1057915</v>
      </c>
      <c r="M320" s="106">
        <v>414</v>
      </c>
      <c r="N320" s="106">
        <v>-414</v>
      </c>
    </row>
    <row r="321" spans="1:14" outlineLevel="2" x14ac:dyDescent="0.35">
      <c r="A321" s="108" t="s">
        <v>575</v>
      </c>
      <c r="B321" s="108" t="s">
        <v>227</v>
      </c>
      <c r="C321" s="106">
        <v>14153859</v>
      </c>
      <c r="D321" s="106">
        <v>-4191919</v>
      </c>
      <c r="E321" s="106">
        <v>0</v>
      </c>
      <c r="F321" s="106">
        <v>0</v>
      </c>
      <c r="G321" s="106">
        <v>0</v>
      </c>
      <c r="H321" s="106">
        <v>9961940</v>
      </c>
      <c r="I321" s="106">
        <v>-9961940</v>
      </c>
      <c r="J321" s="106">
        <v>0</v>
      </c>
      <c r="K321" s="106">
        <v>1019995</v>
      </c>
      <c r="L321" s="106">
        <v>-1019595</v>
      </c>
      <c r="M321" s="106">
        <v>400</v>
      </c>
      <c r="N321" s="106">
        <v>-400</v>
      </c>
    </row>
    <row r="322" spans="1:14" outlineLevel="2" x14ac:dyDescent="0.35">
      <c r="A322" s="108" t="s">
        <v>575</v>
      </c>
      <c r="B322" s="108" t="s">
        <v>226</v>
      </c>
      <c r="C322" s="106">
        <v>13749741</v>
      </c>
      <c r="D322" s="106">
        <v>-4065471</v>
      </c>
      <c r="E322" s="106">
        <v>0</v>
      </c>
      <c r="F322" s="106">
        <v>0</v>
      </c>
      <c r="G322" s="106">
        <v>0</v>
      </c>
      <c r="H322" s="106">
        <v>9684270</v>
      </c>
      <c r="I322" s="106">
        <v>-9684270</v>
      </c>
      <c r="J322" s="106">
        <v>0</v>
      </c>
      <c r="K322" s="106">
        <v>954100</v>
      </c>
      <c r="L322" s="106">
        <v>-953623</v>
      </c>
      <c r="M322" s="106">
        <v>477</v>
      </c>
      <c r="N322" s="106">
        <v>-477</v>
      </c>
    </row>
    <row r="323" spans="1:14" outlineLevel="2" x14ac:dyDescent="0.35">
      <c r="A323" s="108" t="s">
        <v>575</v>
      </c>
      <c r="B323" s="108" t="s">
        <v>225</v>
      </c>
      <c r="C323" s="106">
        <v>10831928</v>
      </c>
      <c r="D323" s="106">
        <v>-2635960</v>
      </c>
      <c r="E323" s="106">
        <v>0</v>
      </c>
      <c r="F323" s="106">
        <v>0</v>
      </c>
      <c r="G323" s="106">
        <v>0</v>
      </c>
      <c r="H323" s="106">
        <v>8195968</v>
      </c>
      <c r="I323" s="106">
        <v>-8195968</v>
      </c>
      <c r="J323" s="106">
        <v>0</v>
      </c>
      <c r="K323" s="106">
        <v>880183</v>
      </c>
      <c r="L323" s="106">
        <v>-879682</v>
      </c>
      <c r="M323" s="106">
        <v>501</v>
      </c>
      <c r="N323" s="106">
        <v>-501</v>
      </c>
    </row>
    <row r="324" spans="1:14" outlineLevel="2" x14ac:dyDescent="0.35">
      <c r="A324" s="108" t="s">
        <v>575</v>
      </c>
      <c r="B324" s="108" t="s">
        <v>223</v>
      </c>
      <c r="C324" s="106">
        <v>11441832</v>
      </c>
      <c r="D324" s="106">
        <v>-3386770</v>
      </c>
      <c r="E324" s="106">
        <v>0</v>
      </c>
      <c r="F324" s="106">
        <v>0</v>
      </c>
      <c r="G324" s="106">
        <v>0</v>
      </c>
      <c r="H324" s="106">
        <v>8055062</v>
      </c>
      <c r="I324" s="106">
        <v>-8055062</v>
      </c>
      <c r="J324" s="106">
        <v>0</v>
      </c>
      <c r="K324" s="106">
        <v>803598</v>
      </c>
      <c r="L324" s="106">
        <v>-803123</v>
      </c>
      <c r="M324" s="106">
        <v>475</v>
      </c>
      <c r="N324" s="106">
        <v>-475</v>
      </c>
    </row>
    <row r="325" spans="1:14" outlineLevel="2" x14ac:dyDescent="0.35">
      <c r="A325" s="108" t="s">
        <v>575</v>
      </c>
      <c r="B325" s="108" t="s">
        <v>257</v>
      </c>
      <c r="C325" s="106">
        <v>10603741</v>
      </c>
      <c r="D325" s="106">
        <v>-3226944</v>
      </c>
      <c r="E325" s="106">
        <v>0</v>
      </c>
      <c r="F325" s="106">
        <v>0</v>
      </c>
      <c r="G325" s="106">
        <v>0</v>
      </c>
      <c r="H325" s="106">
        <v>7376797</v>
      </c>
      <c r="I325" s="106">
        <v>-7376797</v>
      </c>
      <c r="J325" s="106">
        <v>0</v>
      </c>
      <c r="K325" s="106">
        <v>727817</v>
      </c>
      <c r="L325" s="106">
        <v>-726917</v>
      </c>
      <c r="M325" s="106">
        <v>900</v>
      </c>
      <c r="N325" s="106">
        <v>-900</v>
      </c>
    </row>
    <row r="326" spans="1:14" outlineLevel="2" x14ac:dyDescent="0.35">
      <c r="A326" s="108" t="s">
        <v>575</v>
      </c>
      <c r="B326" s="108" t="s">
        <v>255</v>
      </c>
      <c r="C326" s="106">
        <v>10310746</v>
      </c>
      <c r="D326" s="106">
        <v>-2797438</v>
      </c>
      <c r="E326" s="106">
        <v>0</v>
      </c>
      <c r="F326" s="106">
        <v>0</v>
      </c>
      <c r="G326" s="106">
        <v>0</v>
      </c>
      <c r="H326" s="106">
        <v>7513308</v>
      </c>
      <c r="I326" s="106">
        <v>-7513308</v>
      </c>
      <c r="J326" s="106">
        <v>0</v>
      </c>
      <c r="K326" s="106">
        <v>588899</v>
      </c>
      <c r="L326" s="106">
        <v>-588367</v>
      </c>
      <c r="M326" s="106">
        <v>532</v>
      </c>
      <c r="N326" s="106">
        <v>-532</v>
      </c>
    </row>
    <row r="327" spans="1:14" ht="16" outlineLevel="2" thickBot="1" x14ac:dyDescent="0.4">
      <c r="A327" s="105" t="s">
        <v>454</v>
      </c>
      <c r="B327" s="79" t="s">
        <v>12</v>
      </c>
      <c r="C327" s="103">
        <f>SUBTOTAL(109,Program114[(C)
Program
Costs])</f>
        <v>104820005</v>
      </c>
      <c r="D327" s="103">
        <f>SUBTOTAL(109,Program114[(D)
Prior Period Adjustments])</f>
        <v>-31536120</v>
      </c>
      <c r="E327" s="103">
        <f>SUBTOTAL(109,Program114[(E)
Current Period Desk 
Reviews])</f>
        <v>0</v>
      </c>
      <c r="F327" s="103">
        <f>SUBTOTAL(109,Program114[(F)
Current Period 
Final 
Audits])</f>
        <v>0</v>
      </c>
      <c r="G327" s="103">
        <f>SUBTOTAL(109,Program114[(G)
Current Period 
Other Adjustments])</f>
        <v>0</v>
      </c>
      <c r="H327" s="103">
        <f>SUBTOTAL(109,Program114[(H)
Net Program Costs
Sum (C through G)])</f>
        <v>73283885</v>
      </c>
      <c r="I327" s="103">
        <f>SUBTOTAL(109,Program114[(I)
Payments
 and Offsets])</f>
        <v>-73283885</v>
      </c>
      <c r="J327" s="103">
        <f>SUBTOTAL(109,Program114[(J)
Accounts Payable Balance
(H + I)])</f>
        <v>0</v>
      </c>
      <c r="K327" s="103">
        <f>SUBTOTAL(109,Program114[(K)
Established 
Accounts Receivable])</f>
        <v>7212859</v>
      </c>
      <c r="L327" s="103">
        <f>SUBTOTAL(109,Program114[(L)
Recovered
 Accounts Receivable])</f>
        <v>-7208774</v>
      </c>
      <c r="M327" s="103">
        <f>SUBTOTAL(109,Program114[(M)
Accounts Receivable Balance
(K + L)])</f>
        <v>4085</v>
      </c>
      <c r="N327" s="103">
        <f>SUBTOTAL(109,Program114[(N)
Net Balance
(J minus M)])</f>
        <v>-4085</v>
      </c>
    </row>
    <row r="328" spans="1:14" outlineLevel="2" x14ac:dyDescent="0.35">
      <c r="A328" s="116" t="s">
        <v>33</v>
      </c>
      <c r="B328" s="115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</row>
    <row r="329" spans="1:14" ht="77.5" outlineLevel="2" x14ac:dyDescent="0.35">
      <c r="A329" s="113" t="s">
        <v>185</v>
      </c>
      <c r="B329" s="112" t="s">
        <v>184</v>
      </c>
      <c r="C329" s="111" t="s">
        <v>183</v>
      </c>
      <c r="D329" s="111" t="s">
        <v>182</v>
      </c>
      <c r="E329" s="111" t="s">
        <v>181</v>
      </c>
      <c r="F329" s="111" t="s">
        <v>180</v>
      </c>
      <c r="G329" s="111" t="s">
        <v>179</v>
      </c>
      <c r="H329" s="110" t="s">
        <v>674</v>
      </c>
      <c r="I329" s="110" t="s">
        <v>178</v>
      </c>
      <c r="J329" s="110" t="s">
        <v>177</v>
      </c>
      <c r="K329" s="111" t="s">
        <v>176</v>
      </c>
      <c r="L329" s="110" t="s">
        <v>175</v>
      </c>
      <c r="M329" s="110" t="s">
        <v>174</v>
      </c>
      <c r="N329" s="109" t="s">
        <v>173</v>
      </c>
    </row>
    <row r="330" spans="1:14" ht="30" customHeight="1" outlineLevel="2" x14ac:dyDescent="0.35">
      <c r="A330" s="77" t="s">
        <v>574</v>
      </c>
      <c r="B330" s="108" t="s">
        <v>215</v>
      </c>
      <c r="C330" s="106">
        <v>136002</v>
      </c>
      <c r="D330" s="106">
        <v>0</v>
      </c>
      <c r="E330" s="106">
        <v>0</v>
      </c>
      <c r="F330" s="106">
        <v>0</v>
      </c>
      <c r="G330" s="106">
        <v>0</v>
      </c>
      <c r="H330" s="106">
        <v>136002</v>
      </c>
      <c r="I330" s="106">
        <v>0</v>
      </c>
      <c r="J330" s="106">
        <v>136002</v>
      </c>
      <c r="K330" s="106">
        <v>0</v>
      </c>
      <c r="L330" s="106">
        <v>0</v>
      </c>
      <c r="M330" s="106">
        <v>0</v>
      </c>
      <c r="N330" s="106">
        <v>136002</v>
      </c>
    </row>
    <row r="331" spans="1:14" ht="30" customHeight="1" outlineLevel="2" x14ac:dyDescent="0.35">
      <c r="A331" s="77" t="s">
        <v>574</v>
      </c>
      <c r="B331" s="108" t="s">
        <v>214</v>
      </c>
      <c r="C331" s="106">
        <v>185663</v>
      </c>
      <c r="D331" s="106">
        <v>0</v>
      </c>
      <c r="E331" s="106">
        <v>0</v>
      </c>
      <c r="F331" s="106">
        <v>0</v>
      </c>
      <c r="G331" s="106">
        <v>0</v>
      </c>
      <c r="H331" s="106">
        <v>185663</v>
      </c>
      <c r="I331" s="106">
        <v>-1000</v>
      </c>
      <c r="J331" s="106">
        <v>184663</v>
      </c>
      <c r="K331" s="106">
        <v>0</v>
      </c>
      <c r="L331" s="106">
        <v>0</v>
      </c>
      <c r="M331" s="106">
        <v>0</v>
      </c>
      <c r="N331" s="106">
        <v>184663</v>
      </c>
    </row>
    <row r="332" spans="1:14" ht="30" customHeight="1" outlineLevel="2" x14ac:dyDescent="0.35">
      <c r="A332" s="77" t="s">
        <v>574</v>
      </c>
      <c r="B332" s="108" t="s">
        <v>212</v>
      </c>
      <c r="C332" s="106">
        <v>205625</v>
      </c>
      <c r="D332" s="106">
        <v>-1140</v>
      </c>
      <c r="E332" s="106">
        <v>0</v>
      </c>
      <c r="F332" s="106">
        <v>0</v>
      </c>
      <c r="G332" s="106">
        <v>0</v>
      </c>
      <c r="H332" s="106">
        <v>204485</v>
      </c>
      <c r="I332" s="106">
        <v>-22063</v>
      </c>
      <c r="J332" s="106">
        <v>182422</v>
      </c>
      <c r="K332" s="106">
        <v>0</v>
      </c>
      <c r="L332" s="106">
        <v>0</v>
      </c>
      <c r="M332" s="106">
        <v>0</v>
      </c>
      <c r="N332" s="106">
        <v>182422</v>
      </c>
    </row>
    <row r="333" spans="1:14" ht="30" customHeight="1" outlineLevel="2" x14ac:dyDescent="0.35">
      <c r="A333" s="77" t="s">
        <v>574</v>
      </c>
      <c r="B333" s="108" t="s">
        <v>220</v>
      </c>
      <c r="C333" s="106">
        <v>327509</v>
      </c>
      <c r="D333" s="106">
        <v>-270</v>
      </c>
      <c r="E333" s="106">
        <v>0</v>
      </c>
      <c r="F333" s="106">
        <v>0</v>
      </c>
      <c r="G333" s="106">
        <v>0</v>
      </c>
      <c r="H333" s="106">
        <v>327239</v>
      </c>
      <c r="I333" s="106">
        <v>-76959</v>
      </c>
      <c r="J333" s="106">
        <v>250280</v>
      </c>
      <c r="K333" s="106">
        <v>0</v>
      </c>
      <c r="L333" s="106">
        <v>0</v>
      </c>
      <c r="M333" s="106">
        <v>0</v>
      </c>
      <c r="N333" s="106">
        <v>250280</v>
      </c>
    </row>
    <row r="334" spans="1:14" ht="30" customHeight="1" outlineLevel="2" x14ac:dyDescent="0.35">
      <c r="A334" s="77" t="s">
        <v>574</v>
      </c>
      <c r="B334" s="108" t="s">
        <v>219</v>
      </c>
      <c r="C334" s="106">
        <v>1012925</v>
      </c>
      <c r="D334" s="106">
        <v>-165</v>
      </c>
      <c r="E334" s="106">
        <v>0</v>
      </c>
      <c r="F334" s="106">
        <v>0</v>
      </c>
      <c r="G334" s="106">
        <v>0</v>
      </c>
      <c r="H334" s="106">
        <v>1012760</v>
      </c>
      <c r="I334" s="106">
        <v>-356650</v>
      </c>
      <c r="J334" s="106">
        <v>656110</v>
      </c>
      <c r="K334" s="106">
        <v>0</v>
      </c>
      <c r="L334" s="106">
        <v>0</v>
      </c>
      <c r="M334" s="106">
        <v>0</v>
      </c>
      <c r="N334" s="106">
        <v>656110</v>
      </c>
    </row>
    <row r="335" spans="1:14" ht="30" customHeight="1" outlineLevel="2" x14ac:dyDescent="0.35">
      <c r="A335" s="77" t="s">
        <v>574</v>
      </c>
      <c r="B335" s="108" t="s">
        <v>218</v>
      </c>
      <c r="C335" s="106">
        <v>2039283</v>
      </c>
      <c r="D335" s="106">
        <v>-35593</v>
      </c>
      <c r="E335" s="106">
        <v>0</v>
      </c>
      <c r="F335" s="106">
        <v>0</v>
      </c>
      <c r="G335" s="106">
        <v>0</v>
      </c>
      <c r="H335" s="106">
        <v>2003690</v>
      </c>
      <c r="I335" s="106">
        <v>-1183130</v>
      </c>
      <c r="J335" s="106">
        <v>820560</v>
      </c>
      <c r="K335" s="106">
        <v>0</v>
      </c>
      <c r="L335" s="106">
        <v>0</v>
      </c>
      <c r="M335" s="106">
        <v>0</v>
      </c>
      <c r="N335" s="106">
        <v>820560</v>
      </c>
    </row>
    <row r="336" spans="1:14" ht="30" customHeight="1" outlineLevel="2" x14ac:dyDescent="0.35">
      <c r="A336" s="77" t="s">
        <v>574</v>
      </c>
      <c r="B336" s="108" t="s">
        <v>209</v>
      </c>
      <c r="C336" s="106">
        <v>3665738</v>
      </c>
      <c r="D336" s="106">
        <v>-166344</v>
      </c>
      <c r="E336" s="106">
        <v>0</v>
      </c>
      <c r="F336" s="106">
        <v>0</v>
      </c>
      <c r="G336" s="106">
        <v>0</v>
      </c>
      <c r="H336" s="106">
        <v>3499394</v>
      </c>
      <c r="I336" s="106">
        <v>-2246286</v>
      </c>
      <c r="J336" s="106">
        <v>1253108</v>
      </c>
      <c r="K336" s="106">
        <v>0</v>
      </c>
      <c r="L336" s="106">
        <v>0</v>
      </c>
      <c r="M336" s="106">
        <v>0</v>
      </c>
      <c r="N336" s="106">
        <v>1253108</v>
      </c>
    </row>
    <row r="337" spans="1:14" ht="30" customHeight="1" outlineLevel="2" x14ac:dyDescent="0.35">
      <c r="A337" s="77" t="s">
        <v>574</v>
      </c>
      <c r="B337" s="108" t="s">
        <v>208</v>
      </c>
      <c r="C337" s="106">
        <v>18255416</v>
      </c>
      <c r="D337" s="106">
        <v>-1371582</v>
      </c>
      <c r="E337" s="106">
        <v>0</v>
      </c>
      <c r="F337" s="106">
        <v>0</v>
      </c>
      <c r="G337" s="106">
        <v>0</v>
      </c>
      <c r="H337" s="106">
        <v>16883834</v>
      </c>
      <c r="I337" s="106">
        <v>-12873998</v>
      </c>
      <c r="J337" s="106">
        <v>4009836</v>
      </c>
      <c r="K337" s="106">
        <v>0</v>
      </c>
      <c r="L337" s="106">
        <v>0</v>
      </c>
      <c r="M337" s="106">
        <v>0</v>
      </c>
      <c r="N337" s="106">
        <v>4009836</v>
      </c>
    </row>
    <row r="338" spans="1:14" ht="30" customHeight="1" outlineLevel="2" x14ac:dyDescent="0.35">
      <c r="A338" s="77" t="s">
        <v>574</v>
      </c>
      <c r="B338" s="108" t="s">
        <v>206</v>
      </c>
      <c r="C338" s="106">
        <v>20135425</v>
      </c>
      <c r="D338" s="106">
        <v>-2152572</v>
      </c>
      <c r="E338" s="106">
        <v>0</v>
      </c>
      <c r="F338" s="106">
        <v>0</v>
      </c>
      <c r="G338" s="106">
        <v>0</v>
      </c>
      <c r="H338" s="106">
        <v>17982853</v>
      </c>
      <c r="I338" s="106">
        <v>-14351227</v>
      </c>
      <c r="J338" s="106">
        <v>3631626</v>
      </c>
      <c r="K338" s="106">
        <v>0</v>
      </c>
      <c r="L338" s="106">
        <v>0</v>
      </c>
      <c r="M338" s="106">
        <v>0</v>
      </c>
      <c r="N338" s="106">
        <v>3631626</v>
      </c>
    </row>
    <row r="339" spans="1:14" ht="30" customHeight="1" outlineLevel="2" x14ac:dyDescent="0.35">
      <c r="A339" s="77" t="s">
        <v>574</v>
      </c>
      <c r="B339" s="108" t="s">
        <v>205</v>
      </c>
      <c r="C339" s="106">
        <v>23413656</v>
      </c>
      <c r="D339" s="106">
        <v>-2267107</v>
      </c>
      <c r="E339" s="106">
        <v>0</v>
      </c>
      <c r="F339" s="106">
        <v>0</v>
      </c>
      <c r="G339" s="106">
        <v>0</v>
      </c>
      <c r="H339" s="106">
        <v>21146549</v>
      </c>
      <c r="I339" s="106">
        <v>-17942274</v>
      </c>
      <c r="J339" s="106">
        <v>3204275</v>
      </c>
      <c r="K339" s="106">
        <v>6116</v>
      </c>
      <c r="L339" s="106">
        <v>-2133</v>
      </c>
      <c r="M339" s="106">
        <v>3983</v>
      </c>
      <c r="N339" s="106">
        <v>3200292</v>
      </c>
    </row>
    <row r="340" spans="1:14" ht="30" customHeight="1" outlineLevel="1" x14ac:dyDescent="0.35">
      <c r="A340" s="77" t="s">
        <v>574</v>
      </c>
      <c r="B340" s="108" t="s">
        <v>204</v>
      </c>
      <c r="C340" s="106">
        <v>22346501</v>
      </c>
      <c r="D340" s="106">
        <v>-1876161</v>
      </c>
      <c r="E340" s="106">
        <v>0</v>
      </c>
      <c r="F340" s="106">
        <v>0</v>
      </c>
      <c r="G340" s="106">
        <v>0</v>
      </c>
      <c r="H340" s="106">
        <v>20470340</v>
      </c>
      <c r="I340" s="106">
        <v>-17977474</v>
      </c>
      <c r="J340" s="106">
        <v>2492866</v>
      </c>
      <c r="K340" s="106">
        <v>26683</v>
      </c>
      <c r="L340" s="106">
        <v>-12350</v>
      </c>
      <c r="M340" s="106">
        <v>14333</v>
      </c>
      <c r="N340" s="106">
        <v>2478533</v>
      </c>
    </row>
    <row r="341" spans="1:14" ht="30" customHeight="1" outlineLevel="1" x14ac:dyDescent="0.35">
      <c r="A341" s="77" t="s">
        <v>574</v>
      </c>
      <c r="B341" s="108" t="s">
        <v>203</v>
      </c>
      <c r="C341" s="106">
        <v>25352146</v>
      </c>
      <c r="D341" s="106">
        <v>-1380042</v>
      </c>
      <c r="E341" s="106">
        <v>0</v>
      </c>
      <c r="F341" s="106">
        <v>0</v>
      </c>
      <c r="G341" s="106">
        <v>0</v>
      </c>
      <c r="H341" s="106">
        <v>23972104</v>
      </c>
      <c r="I341" s="106">
        <v>-21133564</v>
      </c>
      <c r="J341" s="106">
        <v>2838540</v>
      </c>
      <c r="K341" s="106">
        <v>2</v>
      </c>
      <c r="L341" s="106">
        <v>0</v>
      </c>
      <c r="M341" s="106">
        <v>2</v>
      </c>
      <c r="N341" s="106">
        <v>2838538</v>
      </c>
    </row>
    <row r="342" spans="1:14" ht="30" customHeight="1" outlineLevel="1" x14ac:dyDescent="0.35">
      <c r="A342" s="77" t="s">
        <v>574</v>
      </c>
      <c r="B342" s="108" t="s">
        <v>202</v>
      </c>
      <c r="C342" s="106">
        <v>28138503</v>
      </c>
      <c r="D342" s="106">
        <v>-426042</v>
      </c>
      <c r="E342" s="106">
        <v>0</v>
      </c>
      <c r="F342" s="106">
        <v>0</v>
      </c>
      <c r="G342" s="106">
        <v>0</v>
      </c>
      <c r="H342" s="106">
        <v>27712461</v>
      </c>
      <c r="I342" s="106">
        <v>-25951794</v>
      </c>
      <c r="J342" s="106">
        <v>1760667</v>
      </c>
      <c r="K342" s="106">
        <v>147591</v>
      </c>
      <c r="L342" s="106">
        <v>-118837</v>
      </c>
      <c r="M342" s="106">
        <v>28754</v>
      </c>
      <c r="N342" s="106">
        <v>1731913</v>
      </c>
    </row>
    <row r="343" spans="1:14" ht="30" customHeight="1" outlineLevel="2" x14ac:dyDescent="0.35">
      <c r="A343" s="77" t="s">
        <v>574</v>
      </c>
      <c r="B343" s="108" t="s">
        <v>201</v>
      </c>
      <c r="C343" s="106">
        <v>28540468</v>
      </c>
      <c r="D343" s="106">
        <v>-422217</v>
      </c>
      <c r="E343" s="106">
        <v>0</v>
      </c>
      <c r="F343" s="106">
        <v>0</v>
      </c>
      <c r="G343" s="106">
        <v>0</v>
      </c>
      <c r="H343" s="106">
        <v>28118251</v>
      </c>
      <c r="I343" s="106">
        <v>-27647949</v>
      </c>
      <c r="J343" s="106">
        <v>470302</v>
      </c>
      <c r="K343" s="106">
        <v>6504563</v>
      </c>
      <c r="L343" s="106">
        <v>-5420317</v>
      </c>
      <c r="M343" s="106">
        <v>1084246</v>
      </c>
      <c r="N343" s="106">
        <v>-613944</v>
      </c>
    </row>
    <row r="344" spans="1:14" ht="30" customHeight="1" outlineLevel="2" x14ac:dyDescent="0.35">
      <c r="A344" s="77" t="s">
        <v>574</v>
      </c>
      <c r="B344" s="108" t="s">
        <v>200</v>
      </c>
      <c r="C344" s="106">
        <v>27688064</v>
      </c>
      <c r="D344" s="106">
        <v>-254817</v>
      </c>
      <c r="E344" s="106">
        <v>0</v>
      </c>
      <c r="F344" s="106">
        <v>0</v>
      </c>
      <c r="G344" s="106">
        <v>0</v>
      </c>
      <c r="H344" s="106">
        <v>27433247</v>
      </c>
      <c r="I344" s="106">
        <v>-27433247</v>
      </c>
      <c r="J344" s="106">
        <v>0</v>
      </c>
      <c r="K344" s="106">
        <v>240489</v>
      </c>
      <c r="L344" s="106">
        <v>-240489</v>
      </c>
      <c r="M344" s="106">
        <v>0</v>
      </c>
      <c r="N344" s="106">
        <v>0</v>
      </c>
    </row>
    <row r="345" spans="1:14" ht="30" customHeight="1" outlineLevel="2" x14ac:dyDescent="0.35">
      <c r="A345" s="77" t="s">
        <v>574</v>
      </c>
      <c r="B345" s="108" t="s">
        <v>199</v>
      </c>
      <c r="C345" s="106">
        <v>28660209</v>
      </c>
      <c r="D345" s="106">
        <v>-553190</v>
      </c>
      <c r="E345" s="106">
        <v>0</v>
      </c>
      <c r="F345" s="106">
        <v>0</v>
      </c>
      <c r="G345" s="106">
        <v>0</v>
      </c>
      <c r="H345" s="106">
        <v>28107019</v>
      </c>
      <c r="I345" s="106">
        <v>-28107019</v>
      </c>
      <c r="J345" s="106">
        <v>0</v>
      </c>
      <c r="K345" s="106">
        <v>517475</v>
      </c>
      <c r="L345" s="106">
        <v>-433247</v>
      </c>
      <c r="M345" s="106">
        <v>84228</v>
      </c>
      <c r="N345" s="106">
        <v>-84228</v>
      </c>
    </row>
    <row r="346" spans="1:14" ht="30" customHeight="1" outlineLevel="2" x14ac:dyDescent="0.35">
      <c r="A346" s="77" t="s">
        <v>574</v>
      </c>
      <c r="B346" s="108" t="s">
        <v>198</v>
      </c>
      <c r="C346" s="106">
        <v>31718684</v>
      </c>
      <c r="D346" s="106">
        <v>-948079</v>
      </c>
      <c r="E346" s="106">
        <v>0</v>
      </c>
      <c r="F346" s="106">
        <v>0</v>
      </c>
      <c r="G346" s="106">
        <v>0</v>
      </c>
      <c r="H346" s="106">
        <v>30770605</v>
      </c>
      <c r="I346" s="106">
        <v>-30770605</v>
      </c>
      <c r="J346" s="106">
        <v>0</v>
      </c>
      <c r="K346" s="106">
        <v>867444</v>
      </c>
      <c r="L346" s="106">
        <v>-826768</v>
      </c>
      <c r="M346" s="106">
        <v>40676</v>
      </c>
      <c r="N346" s="106">
        <v>-40676</v>
      </c>
    </row>
    <row r="347" spans="1:14" ht="30" customHeight="1" outlineLevel="2" x14ac:dyDescent="0.35">
      <c r="A347" s="77" t="s">
        <v>574</v>
      </c>
      <c r="B347" s="108" t="s">
        <v>197</v>
      </c>
      <c r="C347" s="106">
        <v>36410253</v>
      </c>
      <c r="D347" s="106">
        <v>-1739236</v>
      </c>
      <c r="E347" s="106">
        <v>0</v>
      </c>
      <c r="F347" s="106">
        <v>0</v>
      </c>
      <c r="G347" s="106">
        <v>0</v>
      </c>
      <c r="H347" s="106">
        <v>34671017</v>
      </c>
      <c r="I347" s="106">
        <v>-34671017</v>
      </c>
      <c r="J347" s="106">
        <v>0</v>
      </c>
      <c r="K347" s="106">
        <v>7346372</v>
      </c>
      <c r="L347" s="106">
        <v>-7327621</v>
      </c>
      <c r="M347" s="106">
        <v>18751</v>
      </c>
      <c r="N347" s="106">
        <v>-18751</v>
      </c>
    </row>
    <row r="348" spans="1:14" ht="30" customHeight="1" outlineLevel="2" x14ac:dyDescent="0.35">
      <c r="A348" s="77" t="s">
        <v>574</v>
      </c>
      <c r="B348" s="108" t="s">
        <v>196</v>
      </c>
      <c r="C348" s="106">
        <v>39850661</v>
      </c>
      <c r="D348" s="106">
        <v>-2870476</v>
      </c>
      <c r="E348" s="106">
        <v>0</v>
      </c>
      <c r="F348" s="106">
        <v>0</v>
      </c>
      <c r="G348" s="106">
        <v>0</v>
      </c>
      <c r="H348" s="106">
        <v>36980185</v>
      </c>
      <c r="I348" s="106">
        <v>-36980185</v>
      </c>
      <c r="J348" s="106">
        <v>0</v>
      </c>
      <c r="K348" s="106">
        <v>10551511</v>
      </c>
      <c r="L348" s="106">
        <v>-10551511</v>
      </c>
      <c r="M348" s="106">
        <v>0</v>
      </c>
      <c r="N348" s="106">
        <v>0</v>
      </c>
    </row>
    <row r="349" spans="1:14" ht="30" customHeight="1" outlineLevel="2" x14ac:dyDescent="0.35">
      <c r="A349" s="77" t="s">
        <v>574</v>
      </c>
      <c r="B349" s="108" t="s">
        <v>195</v>
      </c>
      <c r="C349" s="106">
        <v>46106412</v>
      </c>
      <c r="D349" s="106">
        <v>-2829818</v>
      </c>
      <c r="E349" s="106">
        <v>0</v>
      </c>
      <c r="F349" s="106">
        <v>0</v>
      </c>
      <c r="G349" s="106">
        <v>0</v>
      </c>
      <c r="H349" s="106">
        <v>43276594</v>
      </c>
      <c r="I349" s="106">
        <v>-43276594</v>
      </c>
      <c r="J349" s="106">
        <v>0</v>
      </c>
      <c r="K349" s="106">
        <v>5245736</v>
      </c>
      <c r="L349" s="106">
        <v>-5240272</v>
      </c>
      <c r="M349" s="106">
        <v>5464</v>
      </c>
      <c r="N349" s="106">
        <v>-5464</v>
      </c>
    </row>
    <row r="350" spans="1:14" ht="30" customHeight="1" outlineLevel="2" x14ac:dyDescent="0.35">
      <c r="A350" s="77" t="s">
        <v>574</v>
      </c>
      <c r="B350" s="108" t="s">
        <v>194</v>
      </c>
      <c r="C350" s="106">
        <v>45441874</v>
      </c>
      <c r="D350" s="106">
        <v>-600654</v>
      </c>
      <c r="E350" s="106">
        <v>0</v>
      </c>
      <c r="F350" s="106">
        <v>0</v>
      </c>
      <c r="G350" s="106">
        <v>0</v>
      </c>
      <c r="H350" s="106">
        <v>44841220</v>
      </c>
      <c r="I350" s="106">
        <v>-44841220</v>
      </c>
      <c r="J350" s="106">
        <v>0</v>
      </c>
      <c r="K350" s="106">
        <v>4763751</v>
      </c>
      <c r="L350" s="106">
        <v>-4753555</v>
      </c>
      <c r="M350" s="106">
        <v>10196</v>
      </c>
      <c r="N350" s="106">
        <v>-10196</v>
      </c>
    </row>
    <row r="351" spans="1:14" ht="30" customHeight="1" outlineLevel="2" x14ac:dyDescent="0.35">
      <c r="A351" s="77" t="s">
        <v>574</v>
      </c>
      <c r="B351" s="108" t="s">
        <v>193</v>
      </c>
      <c r="C351" s="106">
        <v>37762015</v>
      </c>
      <c r="D351" s="106">
        <v>-1299607</v>
      </c>
      <c r="E351" s="106">
        <v>0</v>
      </c>
      <c r="F351" s="106">
        <v>0</v>
      </c>
      <c r="G351" s="106">
        <v>0</v>
      </c>
      <c r="H351" s="106">
        <v>36462408</v>
      </c>
      <c r="I351" s="106">
        <v>-36462408</v>
      </c>
      <c r="J351" s="106">
        <v>0</v>
      </c>
      <c r="K351" s="106">
        <v>6956351</v>
      </c>
      <c r="L351" s="106">
        <v>-6947061</v>
      </c>
      <c r="M351" s="106">
        <v>9290</v>
      </c>
      <c r="N351" s="106">
        <v>-9290</v>
      </c>
    </row>
    <row r="352" spans="1:14" ht="30" customHeight="1" outlineLevel="2" x14ac:dyDescent="0.35">
      <c r="A352" s="77" t="s">
        <v>574</v>
      </c>
      <c r="B352" s="108" t="s">
        <v>192</v>
      </c>
      <c r="C352" s="106">
        <v>37650821</v>
      </c>
      <c r="D352" s="106">
        <v>-1919451</v>
      </c>
      <c r="E352" s="106">
        <v>0</v>
      </c>
      <c r="F352" s="106">
        <v>0</v>
      </c>
      <c r="G352" s="106">
        <v>0</v>
      </c>
      <c r="H352" s="106">
        <v>35731370</v>
      </c>
      <c r="I352" s="106">
        <v>-35731370</v>
      </c>
      <c r="J352" s="106">
        <v>0</v>
      </c>
      <c r="K352" s="106">
        <v>8222200</v>
      </c>
      <c r="L352" s="106">
        <v>-8207235</v>
      </c>
      <c r="M352" s="106">
        <v>14965</v>
      </c>
      <c r="N352" s="106">
        <v>-14965</v>
      </c>
    </row>
    <row r="353" spans="1:14" ht="30" customHeight="1" outlineLevel="2" x14ac:dyDescent="0.35">
      <c r="A353" s="77" t="s">
        <v>574</v>
      </c>
      <c r="B353" s="108" t="s">
        <v>191</v>
      </c>
      <c r="C353" s="106">
        <v>34759189</v>
      </c>
      <c r="D353" s="106">
        <v>-3165484</v>
      </c>
      <c r="E353" s="106">
        <v>0</v>
      </c>
      <c r="F353" s="106">
        <v>0</v>
      </c>
      <c r="G353" s="106">
        <v>0</v>
      </c>
      <c r="H353" s="106">
        <v>31593705</v>
      </c>
      <c r="I353" s="106">
        <v>-31593705</v>
      </c>
      <c r="J353" s="106">
        <v>0</v>
      </c>
      <c r="K353" s="106">
        <v>9201086</v>
      </c>
      <c r="L353" s="106">
        <v>-9191407</v>
      </c>
      <c r="M353" s="106">
        <v>9679</v>
      </c>
      <c r="N353" s="106">
        <v>-9679</v>
      </c>
    </row>
    <row r="354" spans="1:14" ht="30" customHeight="1" outlineLevel="1" x14ac:dyDescent="0.35">
      <c r="A354" s="77" t="s">
        <v>574</v>
      </c>
      <c r="B354" s="108" t="s">
        <v>190</v>
      </c>
      <c r="C354" s="106">
        <v>27891056</v>
      </c>
      <c r="D354" s="106">
        <v>-816101</v>
      </c>
      <c r="E354" s="106">
        <v>0</v>
      </c>
      <c r="F354" s="106">
        <v>0</v>
      </c>
      <c r="G354" s="106">
        <v>0</v>
      </c>
      <c r="H354" s="106">
        <v>27074955</v>
      </c>
      <c r="I354" s="106">
        <v>-27074955</v>
      </c>
      <c r="J354" s="106">
        <v>0</v>
      </c>
      <c r="K354" s="106">
        <v>4242653</v>
      </c>
      <c r="L354" s="106">
        <v>-4242653</v>
      </c>
      <c r="M354" s="106">
        <v>0</v>
      </c>
      <c r="N354" s="106">
        <v>0</v>
      </c>
    </row>
    <row r="355" spans="1:14" ht="30" customHeight="1" outlineLevel="1" x14ac:dyDescent="0.35">
      <c r="A355" s="77" t="s">
        <v>574</v>
      </c>
      <c r="B355" s="108" t="s">
        <v>189</v>
      </c>
      <c r="C355" s="106">
        <v>29928090</v>
      </c>
      <c r="D355" s="106">
        <v>41405</v>
      </c>
      <c r="E355" s="106">
        <v>0</v>
      </c>
      <c r="F355" s="106">
        <v>0</v>
      </c>
      <c r="G355" s="106">
        <v>0</v>
      </c>
      <c r="H355" s="106">
        <v>29969495</v>
      </c>
      <c r="I355" s="106">
        <v>-29969495</v>
      </c>
      <c r="J355" s="106">
        <v>0</v>
      </c>
      <c r="K355" s="106">
        <v>3859762</v>
      </c>
      <c r="L355" s="106">
        <v>-3792203</v>
      </c>
      <c r="M355" s="106">
        <v>67559</v>
      </c>
      <c r="N355" s="106">
        <v>-67559</v>
      </c>
    </row>
    <row r="356" spans="1:14" ht="30" customHeight="1" outlineLevel="1" x14ac:dyDescent="0.35">
      <c r="A356" s="77" t="s">
        <v>574</v>
      </c>
      <c r="B356" s="108" t="s">
        <v>188</v>
      </c>
      <c r="C356" s="106">
        <v>29725049</v>
      </c>
      <c r="D356" s="106">
        <v>-415587</v>
      </c>
      <c r="E356" s="106">
        <v>0</v>
      </c>
      <c r="F356" s="106">
        <v>0</v>
      </c>
      <c r="G356" s="106">
        <v>0</v>
      </c>
      <c r="H356" s="106">
        <v>29309462</v>
      </c>
      <c r="I356" s="106">
        <v>-29309462</v>
      </c>
      <c r="J356" s="106">
        <v>0</v>
      </c>
      <c r="K356" s="106">
        <v>3004258</v>
      </c>
      <c r="L356" s="106">
        <v>-2983106</v>
      </c>
      <c r="M356" s="106">
        <v>21152</v>
      </c>
      <c r="N356" s="106">
        <v>-21152</v>
      </c>
    </row>
    <row r="357" spans="1:14" ht="30" customHeight="1" outlineLevel="2" x14ac:dyDescent="0.35">
      <c r="A357" s="77" t="s">
        <v>574</v>
      </c>
      <c r="B357" s="108" t="s">
        <v>186</v>
      </c>
      <c r="C357" s="106">
        <v>28944616</v>
      </c>
      <c r="D357" s="106">
        <v>-350102</v>
      </c>
      <c r="E357" s="106">
        <v>0</v>
      </c>
      <c r="F357" s="106">
        <v>0</v>
      </c>
      <c r="G357" s="106">
        <v>0</v>
      </c>
      <c r="H357" s="106">
        <v>28594514</v>
      </c>
      <c r="I357" s="106">
        <v>-28594514</v>
      </c>
      <c r="J357" s="106">
        <v>0</v>
      </c>
      <c r="K357" s="106">
        <v>2745049</v>
      </c>
      <c r="L357" s="106">
        <v>-2745049</v>
      </c>
      <c r="M357" s="106">
        <v>0</v>
      </c>
      <c r="N357" s="106">
        <v>0</v>
      </c>
    </row>
    <row r="358" spans="1:14" ht="30" customHeight="1" outlineLevel="2" x14ac:dyDescent="0.35">
      <c r="A358" s="77" t="s">
        <v>574</v>
      </c>
      <c r="B358" s="108" t="s">
        <v>227</v>
      </c>
      <c r="C358" s="106">
        <v>26672</v>
      </c>
      <c r="D358" s="106">
        <v>-1000</v>
      </c>
      <c r="E358" s="106">
        <v>0</v>
      </c>
      <c r="F358" s="106">
        <v>0</v>
      </c>
      <c r="G358" s="106">
        <v>0</v>
      </c>
      <c r="H358" s="106">
        <v>25672</v>
      </c>
      <c r="I358" s="106">
        <v>-25672</v>
      </c>
      <c r="J358" s="106">
        <v>0</v>
      </c>
      <c r="K358" s="106">
        <v>963942</v>
      </c>
      <c r="L358" s="106">
        <v>-963942</v>
      </c>
      <c r="M358" s="106">
        <v>0</v>
      </c>
      <c r="N358" s="106">
        <v>0</v>
      </c>
    </row>
    <row r="359" spans="1:14" ht="30" customHeight="1" outlineLevel="2" x14ac:dyDescent="0.35">
      <c r="A359" s="77" t="s">
        <v>574</v>
      </c>
      <c r="B359" s="108" t="s">
        <v>226</v>
      </c>
      <c r="C359" s="106">
        <v>0</v>
      </c>
      <c r="D359" s="106">
        <v>0</v>
      </c>
      <c r="E359" s="106">
        <v>0</v>
      </c>
      <c r="F359" s="106">
        <v>0</v>
      </c>
      <c r="G359" s="106">
        <v>0</v>
      </c>
      <c r="H359" s="106">
        <v>0</v>
      </c>
      <c r="I359" s="106">
        <v>0</v>
      </c>
      <c r="J359" s="106">
        <v>0</v>
      </c>
      <c r="K359" s="106">
        <v>471923</v>
      </c>
      <c r="L359" s="106">
        <v>-471923</v>
      </c>
      <c r="M359" s="106">
        <v>0</v>
      </c>
      <c r="N359" s="106">
        <v>0</v>
      </c>
    </row>
    <row r="360" spans="1:14" ht="30" customHeight="1" outlineLevel="2" x14ac:dyDescent="0.35">
      <c r="A360" s="77" t="s">
        <v>574</v>
      </c>
      <c r="B360" s="108" t="s">
        <v>225</v>
      </c>
      <c r="C360" s="106">
        <v>0</v>
      </c>
      <c r="D360" s="106">
        <v>0</v>
      </c>
      <c r="E360" s="106">
        <v>0</v>
      </c>
      <c r="F360" s="106">
        <v>0</v>
      </c>
      <c r="G360" s="106">
        <v>0</v>
      </c>
      <c r="H360" s="106">
        <v>0</v>
      </c>
      <c r="I360" s="106">
        <v>0</v>
      </c>
      <c r="J360" s="106">
        <v>0</v>
      </c>
      <c r="K360" s="106">
        <v>58987</v>
      </c>
      <c r="L360" s="106">
        <v>-58987</v>
      </c>
      <c r="M360" s="106">
        <v>0</v>
      </c>
      <c r="N360" s="106">
        <v>0</v>
      </c>
    </row>
    <row r="361" spans="1:14" ht="30" customHeight="1" outlineLevel="2" x14ac:dyDescent="0.35">
      <c r="A361" s="77" t="s">
        <v>574</v>
      </c>
      <c r="B361" s="108" t="s">
        <v>223</v>
      </c>
      <c r="C361" s="106">
        <v>19194</v>
      </c>
      <c r="D361" s="106">
        <v>9770</v>
      </c>
      <c r="E361" s="106">
        <v>0</v>
      </c>
      <c r="F361" s="106">
        <v>0</v>
      </c>
      <c r="G361" s="106">
        <v>0</v>
      </c>
      <c r="H361" s="106">
        <v>28964</v>
      </c>
      <c r="I361" s="106">
        <v>-28964</v>
      </c>
      <c r="J361" s="106">
        <v>0</v>
      </c>
      <c r="K361" s="106">
        <v>3589405</v>
      </c>
      <c r="L361" s="106">
        <v>-3589405</v>
      </c>
      <c r="M361" s="106">
        <v>0</v>
      </c>
      <c r="N361" s="106">
        <v>0</v>
      </c>
    </row>
    <row r="362" spans="1:14" ht="30" customHeight="1" outlineLevel="2" x14ac:dyDescent="0.35">
      <c r="A362" s="77" t="s">
        <v>574</v>
      </c>
      <c r="B362" s="108" t="s">
        <v>257</v>
      </c>
      <c r="C362" s="106">
        <v>0</v>
      </c>
      <c r="D362" s="106">
        <v>520</v>
      </c>
      <c r="E362" s="106">
        <v>0</v>
      </c>
      <c r="F362" s="106">
        <v>0</v>
      </c>
      <c r="G362" s="106">
        <v>0</v>
      </c>
      <c r="H362" s="106">
        <v>520</v>
      </c>
      <c r="I362" s="106">
        <v>-520</v>
      </c>
      <c r="J362" s="106">
        <v>0</v>
      </c>
      <c r="K362" s="106">
        <v>75876</v>
      </c>
      <c r="L362" s="106">
        <v>-75876</v>
      </c>
      <c r="M362" s="106">
        <v>0</v>
      </c>
      <c r="N362" s="106">
        <v>0</v>
      </c>
    </row>
    <row r="363" spans="1:14" ht="30" customHeight="1" outlineLevel="2" x14ac:dyDescent="0.35">
      <c r="A363" s="77" t="s">
        <v>574</v>
      </c>
      <c r="B363" s="108" t="s">
        <v>255</v>
      </c>
      <c r="C363" s="106">
        <v>0</v>
      </c>
      <c r="D363" s="106">
        <v>0</v>
      </c>
      <c r="E363" s="106">
        <v>0</v>
      </c>
      <c r="F363" s="106">
        <v>0</v>
      </c>
      <c r="G363" s="106">
        <v>0</v>
      </c>
      <c r="H363" s="106">
        <v>0</v>
      </c>
      <c r="I363" s="106">
        <v>0</v>
      </c>
      <c r="J363" s="106">
        <v>0</v>
      </c>
      <c r="K363" s="106">
        <v>283241</v>
      </c>
      <c r="L363" s="106">
        <v>-283241</v>
      </c>
      <c r="M363" s="106">
        <v>0</v>
      </c>
      <c r="N363" s="106">
        <v>0</v>
      </c>
    </row>
    <row r="364" spans="1:14" ht="30" customHeight="1" outlineLevel="2" x14ac:dyDescent="0.35">
      <c r="A364" s="77" t="s">
        <v>574</v>
      </c>
      <c r="B364" s="108" t="s">
        <v>273</v>
      </c>
      <c r="C364" s="106">
        <v>0</v>
      </c>
      <c r="D364" s="106">
        <v>0</v>
      </c>
      <c r="E364" s="106">
        <v>0</v>
      </c>
      <c r="F364" s="106">
        <v>0</v>
      </c>
      <c r="G364" s="106">
        <v>0</v>
      </c>
      <c r="H364" s="106">
        <v>0</v>
      </c>
      <c r="I364" s="106">
        <v>0</v>
      </c>
      <c r="J364" s="106">
        <v>0</v>
      </c>
      <c r="K364" s="106">
        <v>7304</v>
      </c>
      <c r="L364" s="106">
        <v>-7304</v>
      </c>
      <c r="M364" s="106">
        <v>0</v>
      </c>
      <c r="N364" s="106">
        <v>0</v>
      </c>
    </row>
    <row r="365" spans="1:14" ht="16" outlineLevel="2" thickBot="1" x14ac:dyDescent="0.4">
      <c r="A365" s="105" t="s">
        <v>453</v>
      </c>
      <c r="B365" s="79" t="s">
        <v>12</v>
      </c>
      <c r="C365" s="103">
        <f>SUBTOTAL(109,Program11[(C)
Program
Costs])</f>
        <v>656337719</v>
      </c>
      <c r="D365" s="103">
        <f>SUBTOTAL(109,Program11[(D)
Prior Period Adjustments])</f>
        <v>-27811142</v>
      </c>
      <c r="E365" s="103">
        <f>SUBTOTAL(109,Program11[(E)
Current Period Desk 
Reviews])</f>
        <v>0</v>
      </c>
      <c r="F365" s="103">
        <f>SUBTOTAL(109,Program11[(F)
Current Period 
Final 
Audits])</f>
        <v>0</v>
      </c>
      <c r="G365" s="103">
        <f>SUBTOTAL(109,Program11[(G)
Current Period 
Other Adjustments])</f>
        <v>0</v>
      </c>
      <c r="H365" s="103">
        <f>SUBTOTAL(109,Program11[(H)
Net Program Costs
Sum (C through G)])</f>
        <v>628526577</v>
      </c>
      <c r="I365" s="103">
        <f>SUBTOTAL(109,Program11[(I)
Payments
 and Offsets])</f>
        <v>-606635320</v>
      </c>
      <c r="J365" s="103">
        <f>SUBTOTAL(109,Program11[(J)
Accounts Payable Balance
(H + I)])</f>
        <v>21891257</v>
      </c>
      <c r="K365" s="103">
        <f>SUBTOTAL(109,Program11[(K)
Established 
Accounts Receivable])</f>
        <v>79899770</v>
      </c>
      <c r="L365" s="103">
        <f>SUBTOTAL(109,Program11[(L)
Recovered
 Accounts Receivable])</f>
        <v>-78486492</v>
      </c>
      <c r="M365" s="103">
        <f>SUBTOTAL(109,Program11[(M)
Accounts Receivable Balance
(K + L)])</f>
        <v>1413278</v>
      </c>
      <c r="N365" s="103">
        <f>SUBTOTAL(109,Program11[(N)
Net Balance
(J minus M)])</f>
        <v>20477979</v>
      </c>
    </row>
    <row r="366" spans="1:14" outlineLevel="1" x14ac:dyDescent="0.35">
      <c r="A366" s="116" t="s">
        <v>33</v>
      </c>
      <c r="B366" s="115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</row>
    <row r="367" spans="1:14" ht="78.75" customHeight="1" outlineLevel="1" x14ac:dyDescent="0.35">
      <c r="A367" s="113" t="s">
        <v>185</v>
      </c>
      <c r="B367" s="112" t="s">
        <v>184</v>
      </c>
      <c r="C367" s="111" t="s">
        <v>183</v>
      </c>
      <c r="D367" s="111" t="s">
        <v>182</v>
      </c>
      <c r="E367" s="111" t="s">
        <v>181</v>
      </c>
      <c r="F367" s="111" t="s">
        <v>180</v>
      </c>
      <c r="G367" s="111" t="s">
        <v>179</v>
      </c>
      <c r="H367" s="110" t="s">
        <v>674</v>
      </c>
      <c r="I367" s="110" t="s">
        <v>178</v>
      </c>
      <c r="J367" s="110" t="s">
        <v>177</v>
      </c>
      <c r="K367" s="111" t="s">
        <v>176</v>
      </c>
      <c r="L367" s="110" t="s">
        <v>175</v>
      </c>
      <c r="M367" s="110" t="s">
        <v>174</v>
      </c>
      <c r="N367" s="109" t="s">
        <v>173</v>
      </c>
    </row>
    <row r="368" spans="1:14" ht="15.5" customHeight="1" outlineLevel="1" x14ac:dyDescent="0.35">
      <c r="A368" s="77" t="s">
        <v>573</v>
      </c>
      <c r="B368" s="108" t="s">
        <v>205</v>
      </c>
      <c r="C368" s="106">
        <v>433669</v>
      </c>
      <c r="D368" s="106">
        <v>-433669</v>
      </c>
      <c r="E368" s="106">
        <v>0</v>
      </c>
      <c r="F368" s="106">
        <v>0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</row>
    <row r="369" spans="1:14" ht="15.5" customHeight="1" outlineLevel="2" x14ac:dyDescent="0.35">
      <c r="A369" s="77" t="s">
        <v>573</v>
      </c>
      <c r="B369" s="108" t="s">
        <v>204</v>
      </c>
      <c r="C369" s="106">
        <v>4160761</v>
      </c>
      <c r="D369" s="106">
        <v>-15771</v>
      </c>
      <c r="E369" s="106">
        <v>0</v>
      </c>
      <c r="F369" s="106">
        <v>0</v>
      </c>
      <c r="G369" s="106">
        <v>0</v>
      </c>
      <c r="H369" s="106">
        <v>4144990</v>
      </c>
      <c r="I369" s="106">
        <v>-4098250</v>
      </c>
      <c r="J369" s="106">
        <v>46740</v>
      </c>
      <c r="K369" s="106">
        <v>7808</v>
      </c>
      <c r="L369" s="106">
        <v>-5918</v>
      </c>
      <c r="M369" s="106">
        <v>1890</v>
      </c>
      <c r="N369" s="106">
        <v>44850</v>
      </c>
    </row>
    <row r="370" spans="1:14" ht="15.5" customHeight="1" outlineLevel="2" x14ac:dyDescent="0.35">
      <c r="A370" s="77" t="s">
        <v>573</v>
      </c>
      <c r="B370" s="108" t="s">
        <v>203</v>
      </c>
      <c r="C370" s="106">
        <v>4083418</v>
      </c>
      <c r="D370" s="106">
        <v>-43932</v>
      </c>
      <c r="E370" s="106">
        <v>0</v>
      </c>
      <c r="F370" s="106">
        <v>0</v>
      </c>
      <c r="G370" s="106">
        <v>0</v>
      </c>
      <c r="H370" s="106">
        <v>4039486</v>
      </c>
      <c r="I370" s="106">
        <v>-3691207</v>
      </c>
      <c r="J370" s="106">
        <v>348279</v>
      </c>
      <c r="K370" s="106">
        <v>3</v>
      </c>
      <c r="L370" s="106">
        <v>0</v>
      </c>
      <c r="M370" s="106">
        <v>3</v>
      </c>
      <c r="N370" s="106">
        <v>348276</v>
      </c>
    </row>
    <row r="371" spans="1:14" ht="15.5" customHeight="1" outlineLevel="2" x14ac:dyDescent="0.35">
      <c r="A371" s="77" t="s">
        <v>573</v>
      </c>
      <c r="B371" s="108" t="s">
        <v>202</v>
      </c>
      <c r="C371" s="106">
        <v>3893491</v>
      </c>
      <c r="D371" s="106">
        <v>-52875</v>
      </c>
      <c r="E371" s="106">
        <v>0</v>
      </c>
      <c r="F371" s="106">
        <v>0</v>
      </c>
      <c r="G371" s="106">
        <v>0</v>
      </c>
      <c r="H371" s="106">
        <v>3840616</v>
      </c>
      <c r="I371" s="106">
        <v>-3651128</v>
      </c>
      <c r="J371" s="106">
        <v>189488</v>
      </c>
      <c r="K371" s="106">
        <v>93330</v>
      </c>
      <c r="L371" s="106">
        <v>-46371</v>
      </c>
      <c r="M371" s="106">
        <v>46959</v>
      </c>
      <c r="N371" s="106">
        <v>142529</v>
      </c>
    </row>
    <row r="372" spans="1:14" ht="15.5" customHeight="1" outlineLevel="2" x14ac:dyDescent="0.35">
      <c r="A372" s="77" t="s">
        <v>573</v>
      </c>
      <c r="B372" s="108" t="s">
        <v>201</v>
      </c>
      <c r="C372" s="106">
        <v>4167088</v>
      </c>
      <c r="D372" s="106">
        <v>-41835</v>
      </c>
      <c r="E372" s="106">
        <v>0</v>
      </c>
      <c r="F372" s="106">
        <v>0</v>
      </c>
      <c r="G372" s="106">
        <v>0</v>
      </c>
      <c r="H372" s="106">
        <v>4125253</v>
      </c>
      <c r="I372" s="106">
        <v>-3957366</v>
      </c>
      <c r="J372" s="106">
        <v>167887</v>
      </c>
      <c r="K372" s="106">
        <v>0</v>
      </c>
      <c r="L372" s="106">
        <v>0</v>
      </c>
      <c r="M372" s="106">
        <v>0</v>
      </c>
      <c r="N372" s="106">
        <v>167887</v>
      </c>
    </row>
    <row r="373" spans="1:14" ht="15.5" customHeight="1" outlineLevel="2" x14ac:dyDescent="0.35">
      <c r="A373" s="77" t="s">
        <v>573</v>
      </c>
      <c r="B373" s="108" t="s">
        <v>198</v>
      </c>
      <c r="C373" s="106">
        <v>5128453</v>
      </c>
      <c r="D373" s="106">
        <v>-10330</v>
      </c>
      <c r="E373" s="106">
        <v>0</v>
      </c>
      <c r="F373" s="106">
        <v>0</v>
      </c>
      <c r="G373" s="106">
        <v>0</v>
      </c>
      <c r="H373" s="106">
        <v>5118123</v>
      </c>
      <c r="I373" s="106">
        <v>-5118123</v>
      </c>
      <c r="J373" s="106">
        <v>0</v>
      </c>
      <c r="K373" s="106">
        <v>0</v>
      </c>
      <c r="L373" s="106">
        <v>0</v>
      </c>
      <c r="M373" s="106">
        <v>0</v>
      </c>
      <c r="N373" s="106">
        <v>0</v>
      </c>
    </row>
    <row r="374" spans="1:14" ht="15.5" customHeight="1" outlineLevel="1" x14ac:dyDescent="0.35">
      <c r="A374" s="77" t="s">
        <v>573</v>
      </c>
      <c r="B374" s="108" t="s">
        <v>197</v>
      </c>
      <c r="C374" s="106">
        <v>5580132</v>
      </c>
      <c r="D374" s="106">
        <v>-31854</v>
      </c>
      <c r="E374" s="106">
        <v>0</v>
      </c>
      <c r="F374" s="106">
        <v>0</v>
      </c>
      <c r="G374" s="106">
        <v>0</v>
      </c>
      <c r="H374" s="106">
        <v>5548278</v>
      </c>
      <c r="I374" s="106">
        <v>-5548278</v>
      </c>
      <c r="J374" s="106">
        <v>0</v>
      </c>
      <c r="K374" s="106">
        <v>14656</v>
      </c>
      <c r="L374" s="106">
        <v>-9604</v>
      </c>
      <c r="M374" s="106">
        <v>5052</v>
      </c>
      <c r="N374" s="106">
        <v>-5052</v>
      </c>
    </row>
    <row r="375" spans="1:14" ht="15.5" customHeight="1" outlineLevel="1" x14ac:dyDescent="0.35">
      <c r="A375" s="77" t="s">
        <v>573</v>
      </c>
      <c r="B375" s="108" t="s">
        <v>196</v>
      </c>
      <c r="C375" s="106">
        <v>4598986</v>
      </c>
      <c r="D375" s="106">
        <v>-29050</v>
      </c>
      <c r="E375" s="106">
        <v>0</v>
      </c>
      <c r="F375" s="106">
        <v>0</v>
      </c>
      <c r="G375" s="106">
        <v>0</v>
      </c>
      <c r="H375" s="106">
        <v>4569936</v>
      </c>
      <c r="I375" s="106">
        <v>-4569936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</row>
    <row r="376" spans="1:14" ht="15.5" customHeight="1" outlineLevel="1" x14ac:dyDescent="0.35">
      <c r="A376" s="77" t="s">
        <v>573</v>
      </c>
      <c r="B376" s="108" t="s">
        <v>195</v>
      </c>
      <c r="C376" s="106">
        <v>3739717</v>
      </c>
      <c r="D376" s="106">
        <v>-16356</v>
      </c>
      <c r="E376" s="106">
        <v>0</v>
      </c>
      <c r="F376" s="106">
        <v>0</v>
      </c>
      <c r="G376" s="106">
        <v>0</v>
      </c>
      <c r="H376" s="106">
        <v>3723361</v>
      </c>
      <c r="I376" s="106">
        <v>-3723361</v>
      </c>
      <c r="J376" s="106">
        <v>0</v>
      </c>
      <c r="K376" s="106">
        <v>0</v>
      </c>
      <c r="L376" s="106">
        <v>0</v>
      </c>
      <c r="M376" s="106">
        <v>0</v>
      </c>
      <c r="N376" s="106">
        <v>0</v>
      </c>
    </row>
    <row r="377" spans="1:14" ht="15.5" customHeight="1" outlineLevel="2" x14ac:dyDescent="0.35">
      <c r="A377" s="77" t="s">
        <v>573</v>
      </c>
      <c r="B377" s="108" t="s">
        <v>194</v>
      </c>
      <c r="C377" s="106">
        <v>3507424</v>
      </c>
      <c r="D377" s="106">
        <v>-7606</v>
      </c>
      <c r="E377" s="106">
        <v>0</v>
      </c>
      <c r="F377" s="106">
        <v>0</v>
      </c>
      <c r="G377" s="106">
        <v>0</v>
      </c>
      <c r="H377" s="106">
        <v>3499818</v>
      </c>
      <c r="I377" s="106">
        <v>-3499818</v>
      </c>
      <c r="J377" s="106">
        <v>0</v>
      </c>
      <c r="K377" s="106">
        <v>0</v>
      </c>
      <c r="L377" s="106">
        <v>0</v>
      </c>
      <c r="M377" s="106">
        <v>0</v>
      </c>
      <c r="N377" s="106">
        <v>0</v>
      </c>
    </row>
    <row r="378" spans="1:14" ht="15.5" customHeight="1" outlineLevel="2" x14ac:dyDescent="0.35">
      <c r="A378" s="77" t="s">
        <v>573</v>
      </c>
      <c r="B378" s="108" t="s">
        <v>193</v>
      </c>
      <c r="C378" s="106">
        <v>4959444</v>
      </c>
      <c r="D378" s="106">
        <v>-6946</v>
      </c>
      <c r="E378" s="106">
        <v>0</v>
      </c>
      <c r="F378" s="106">
        <v>0</v>
      </c>
      <c r="G378" s="106">
        <v>0</v>
      </c>
      <c r="H378" s="106">
        <v>4952498</v>
      </c>
      <c r="I378" s="106">
        <v>-4952498</v>
      </c>
      <c r="J378" s="106">
        <v>0</v>
      </c>
      <c r="K378" s="106">
        <v>0</v>
      </c>
      <c r="L378" s="106">
        <v>0</v>
      </c>
      <c r="M378" s="106">
        <v>0</v>
      </c>
      <c r="N378" s="106">
        <v>0</v>
      </c>
    </row>
    <row r="379" spans="1:14" ht="15.65" customHeight="1" outlineLevel="1" thickBot="1" x14ac:dyDescent="0.4">
      <c r="A379" s="105" t="s">
        <v>452</v>
      </c>
      <c r="B379" s="79" t="s">
        <v>12</v>
      </c>
      <c r="C379" s="103">
        <f>SUBTOTAL(109,Program223[(C)
Program
Costs])</f>
        <v>44252583</v>
      </c>
      <c r="D379" s="103">
        <f>SUBTOTAL(109,Program223[(D)
Prior Period Adjustments])</f>
        <v>-690224</v>
      </c>
      <c r="E379" s="103">
        <f>SUBTOTAL(105,Program223[(E)
Current Period Desk 
Reviews])</f>
        <v>0</v>
      </c>
      <c r="F379" s="103">
        <f>SUBTOTAL(109,Program223[(F)
Current Period 
Final 
Audits])</f>
        <v>0</v>
      </c>
      <c r="G379" s="103">
        <f>SUBTOTAL(109,Program223[(G)
Current Period 
Other Adjustments])</f>
        <v>0</v>
      </c>
      <c r="H379" s="103">
        <f>SUBTOTAL(109,Program223[(H)
Net Program Costs
Sum (C through G)])</f>
        <v>43562359</v>
      </c>
      <c r="I379" s="103">
        <f>SUBTOTAL(109,Program223[(I)
Payments
 and Offsets])</f>
        <v>-42809965</v>
      </c>
      <c r="J379" s="103">
        <f>SUBTOTAL(109,Program223[(J)
Accounts Payable Balance
(H + I)])</f>
        <v>752394</v>
      </c>
      <c r="K379" s="103">
        <f>SUBTOTAL(109,Program223[(K)
Established 
Accounts Receivable])</f>
        <v>115797</v>
      </c>
      <c r="L379" s="103">
        <f>SUBTOTAL(109,Program223[(L)
Recovered
 Accounts Receivable])</f>
        <v>-61893</v>
      </c>
      <c r="M379" s="103">
        <f>SUBTOTAL(109,Program223[(M)
Accounts Receivable Balance
(K + L)])</f>
        <v>53904</v>
      </c>
      <c r="N379" s="103">
        <f>SUBTOTAL(109,Program223[(N)
Net Balance
(J minus M)])</f>
        <v>698490</v>
      </c>
    </row>
    <row r="380" spans="1:14" ht="15" customHeight="1" outlineLevel="1" x14ac:dyDescent="0.35">
      <c r="A380" s="116" t="s">
        <v>33</v>
      </c>
      <c r="B380" s="115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</row>
    <row r="381" spans="1:14" ht="77.5" outlineLevel="2" x14ac:dyDescent="0.35">
      <c r="A381" s="113" t="s">
        <v>185</v>
      </c>
      <c r="B381" s="112" t="s">
        <v>184</v>
      </c>
      <c r="C381" s="111" t="s">
        <v>183</v>
      </c>
      <c r="D381" s="111" t="s">
        <v>182</v>
      </c>
      <c r="E381" s="111" t="s">
        <v>181</v>
      </c>
      <c r="F381" s="111" t="s">
        <v>180</v>
      </c>
      <c r="G381" s="111" t="s">
        <v>179</v>
      </c>
      <c r="H381" s="110" t="s">
        <v>674</v>
      </c>
      <c r="I381" s="110" t="s">
        <v>178</v>
      </c>
      <c r="J381" s="110" t="s">
        <v>177</v>
      </c>
      <c r="K381" s="111" t="s">
        <v>176</v>
      </c>
      <c r="L381" s="110" t="s">
        <v>175</v>
      </c>
      <c r="M381" s="110" t="s">
        <v>174</v>
      </c>
      <c r="N381" s="109" t="s">
        <v>173</v>
      </c>
    </row>
    <row r="382" spans="1:14" ht="31" outlineLevel="2" x14ac:dyDescent="0.35">
      <c r="A382" s="77" t="s">
        <v>572</v>
      </c>
      <c r="B382" s="108" t="s">
        <v>215</v>
      </c>
      <c r="C382" s="106">
        <v>27892</v>
      </c>
      <c r="D382" s="106">
        <v>0</v>
      </c>
      <c r="E382" s="106">
        <v>0</v>
      </c>
      <c r="F382" s="106">
        <v>0</v>
      </c>
      <c r="G382" s="106">
        <v>0</v>
      </c>
      <c r="H382" s="106">
        <v>27892</v>
      </c>
      <c r="I382" s="106">
        <v>0</v>
      </c>
      <c r="J382" s="106">
        <v>27892</v>
      </c>
      <c r="K382" s="106">
        <v>0</v>
      </c>
      <c r="L382" s="106">
        <v>0</v>
      </c>
      <c r="M382" s="106">
        <v>0</v>
      </c>
      <c r="N382" s="106">
        <v>27892</v>
      </c>
    </row>
    <row r="383" spans="1:14" ht="31" outlineLevel="2" x14ac:dyDescent="0.35">
      <c r="A383" s="77" t="s">
        <v>572</v>
      </c>
      <c r="B383" s="108" t="s">
        <v>214</v>
      </c>
      <c r="C383" s="106">
        <v>52448</v>
      </c>
      <c r="D383" s="106">
        <v>0</v>
      </c>
      <c r="E383" s="106">
        <v>0</v>
      </c>
      <c r="F383" s="106">
        <v>0</v>
      </c>
      <c r="G383" s="106">
        <v>0</v>
      </c>
      <c r="H383" s="106">
        <v>52448</v>
      </c>
      <c r="I383" s="106">
        <v>-1000</v>
      </c>
      <c r="J383" s="106">
        <v>51448</v>
      </c>
      <c r="K383" s="106">
        <v>0</v>
      </c>
      <c r="L383" s="106">
        <v>0</v>
      </c>
      <c r="M383" s="106">
        <v>0</v>
      </c>
      <c r="N383" s="106">
        <v>51448</v>
      </c>
    </row>
    <row r="384" spans="1:14" ht="31" outlineLevel="2" x14ac:dyDescent="0.35">
      <c r="A384" s="77" t="s">
        <v>572</v>
      </c>
      <c r="B384" s="108" t="s">
        <v>212</v>
      </c>
      <c r="C384" s="106">
        <v>35671</v>
      </c>
      <c r="D384" s="106">
        <v>0</v>
      </c>
      <c r="E384" s="106">
        <v>0</v>
      </c>
      <c r="F384" s="106">
        <v>0</v>
      </c>
      <c r="G384" s="106">
        <v>0</v>
      </c>
      <c r="H384" s="106">
        <v>35671</v>
      </c>
      <c r="I384" s="106">
        <v>-1285</v>
      </c>
      <c r="J384" s="106">
        <v>34386</v>
      </c>
      <c r="K384" s="106">
        <v>0</v>
      </c>
      <c r="L384" s="106">
        <v>0</v>
      </c>
      <c r="M384" s="106">
        <v>0</v>
      </c>
      <c r="N384" s="106">
        <v>34386</v>
      </c>
    </row>
    <row r="385" spans="1:14" ht="31" outlineLevel="2" x14ac:dyDescent="0.35">
      <c r="A385" s="77" t="s">
        <v>572</v>
      </c>
      <c r="B385" s="108" t="s">
        <v>220</v>
      </c>
      <c r="C385" s="106">
        <v>39319</v>
      </c>
      <c r="D385" s="106">
        <v>0</v>
      </c>
      <c r="E385" s="106">
        <v>0</v>
      </c>
      <c r="F385" s="106">
        <v>0</v>
      </c>
      <c r="G385" s="106">
        <v>0</v>
      </c>
      <c r="H385" s="106">
        <v>39319</v>
      </c>
      <c r="I385" s="106">
        <v>-7612</v>
      </c>
      <c r="J385" s="106">
        <v>31707</v>
      </c>
      <c r="K385" s="106">
        <v>0</v>
      </c>
      <c r="L385" s="106">
        <v>0</v>
      </c>
      <c r="M385" s="106">
        <v>0</v>
      </c>
      <c r="N385" s="106">
        <v>31707</v>
      </c>
    </row>
    <row r="386" spans="1:14" ht="31" outlineLevel="2" x14ac:dyDescent="0.35">
      <c r="A386" s="77" t="s">
        <v>572</v>
      </c>
      <c r="B386" s="108" t="s">
        <v>219</v>
      </c>
      <c r="C386" s="106">
        <v>193078</v>
      </c>
      <c r="D386" s="106">
        <v>-112</v>
      </c>
      <c r="E386" s="106">
        <v>0</v>
      </c>
      <c r="F386" s="106">
        <v>0</v>
      </c>
      <c r="G386" s="106">
        <v>0</v>
      </c>
      <c r="H386" s="106">
        <v>192966</v>
      </c>
      <c r="I386" s="106">
        <v>-38911</v>
      </c>
      <c r="J386" s="106">
        <v>154055</v>
      </c>
      <c r="K386" s="106">
        <v>0</v>
      </c>
      <c r="L386" s="106">
        <v>0</v>
      </c>
      <c r="M386" s="106">
        <v>0</v>
      </c>
      <c r="N386" s="106">
        <v>154055</v>
      </c>
    </row>
    <row r="387" spans="1:14" ht="31" outlineLevel="2" x14ac:dyDescent="0.35">
      <c r="A387" s="77" t="s">
        <v>572</v>
      </c>
      <c r="B387" s="108" t="s">
        <v>218</v>
      </c>
      <c r="C387" s="106">
        <v>257801</v>
      </c>
      <c r="D387" s="106">
        <v>-349</v>
      </c>
      <c r="E387" s="106">
        <v>0</v>
      </c>
      <c r="F387" s="106">
        <v>0</v>
      </c>
      <c r="G387" s="106">
        <v>0</v>
      </c>
      <c r="H387" s="106">
        <v>257452</v>
      </c>
      <c r="I387" s="106">
        <v>-89237</v>
      </c>
      <c r="J387" s="106">
        <v>168215</v>
      </c>
      <c r="K387" s="106">
        <v>0</v>
      </c>
      <c r="L387" s="106">
        <v>0</v>
      </c>
      <c r="M387" s="106">
        <v>0</v>
      </c>
      <c r="N387" s="106">
        <v>168215</v>
      </c>
    </row>
    <row r="388" spans="1:14" ht="31" outlineLevel="1" x14ac:dyDescent="0.35">
      <c r="A388" s="77" t="s">
        <v>572</v>
      </c>
      <c r="B388" s="108" t="s">
        <v>209</v>
      </c>
      <c r="C388" s="106">
        <v>649828</v>
      </c>
      <c r="D388" s="106">
        <v>-13883</v>
      </c>
      <c r="E388" s="106">
        <v>0</v>
      </c>
      <c r="F388" s="106">
        <v>0</v>
      </c>
      <c r="G388" s="106">
        <v>0</v>
      </c>
      <c r="H388" s="106">
        <v>635945</v>
      </c>
      <c r="I388" s="106">
        <v>-302976</v>
      </c>
      <c r="J388" s="106">
        <v>332969</v>
      </c>
      <c r="K388" s="106">
        <v>0</v>
      </c>
      <c r="L388" s="106">
        <v>0</v>
      </c>
      <c r="M388" s="106">
        <v>0</v>
      </c>
      <c r="N388" s="106">
        <v>332969</v>
      </c>
    </row>
    <row r="389" spans="1:14" ht="30" customHeight="1" outlineLevel="1" x14ac:dyDescent="0.35">
      <c r="A389" s="77" t="s">
        <v>572</v>
      </c>
      <c r="B389" s="108" t="s">
        <v>208</v>
      </c>
      <c r="C389" s="106">
        <v>3388094</v>
      </c>
      <c r="D389" s="106">
        <v>-7875</v>
      </c>
      <c r="E389" s="106">
        <v>0</v>
      </c>
      <c r="F389" s="106">
        <v>0</v>
      </c>
      <c r="G389" s="106">
        <v>0</v>
      </c>
      <c r="H389" s="106">
        <v>3380219</v>
      </c>
      <c r="I389" s="106">
        <v>-2665902</v>
      </c>
      <c r="J389" s="106">
        <v>714317</v>
      </c>
      <c r="K389" s="106">
        <v>0</v>
      </c>
      <c r="L389" s="106">
        <v>0</v>
      </c>
      <c r="M389" s="106">
        <v>0</v>
      </c>
      <c r="N389" s="106">
        <v>714317</v>
      </c>
    </row>
    <row r="390" spans="1:14" ht="30" customHeight="1" outlineLevel="1" x14ac:dyDescent="0.35">
      <c r="A390" s="77" t="s">
        <v>572</v>
      </c>
      <c r="B390" s="108" t="s">
        <v>206</v>
      </c>
      <c r="C390" s="106">
        <v>3251941</v>
      </c>
      <c r="D390" s="106">
        <v>-9468</v>
      </c>
      <c r="E390" s="106">
        <v>0</v>
      </c>
      <c r="F390" s="106">
        <v>0</v>
      </c>
      <c r="G390" s="106">
        <v>0</v>
      </c>
      <c r="H390" s="106">
        <v>3242473</v>
      </c>
      <c r="I390" s="106">
        <v>-2671236</v>
      </c>
      <c r="J390" s="106">
        <v>571237</v>
      </c>
      <c r="K390" s="106">
        <v>0</v>
      </c>
      <c r="L390" s="106">
        <v>0</v>
      </c>
      <c r="M390" s="106">
        <v>0</v>
      </c>
      <c r="N390" s="106">
        <v>571237</v>
      </c>
    </row>
    <row r="391" spans="1:14" ht="31" outlineLevel="2" x14ac:dyDescent="0.35">
      <c r="A391" s="77" t="s">
        <v>572</v>
      </c>
      <c r="B391" s="108" t="s">
        <v>205</v>
      </c>
      <c r="C391" s="106">
        <v>3349409</v>
      </c>
      <c r="D391" s="106">
        <v>-9765</v>
      </c>
      <c r="E391" s="106">
        <v>0</v>
      </c>
      <c r="F391" s="106">
        <v>0</v>
      </c>
      <c r="G391" s="106">
        <v>0</v>
      </c>
      <c r="H391" s="106">
        <v>3339644</v>
      </c>
      <c r="I391" s="106">
        <v>-3296121</v>
      </c>
      <c r="J391" s="106">
        <v>43523</v>
      </c>
      <c r="K391" s="106">
        <v>0</v>
      </c>
      <c r="L391" s="106">
        <v>0</v>
      </c>
      <c r="M391" s="106">
        <v>0</v>
      </c>
      <c r="N391" s="106">
        <v>43523</v>
      </c>
    </row>
    <row r="392" spans="1:14" ht="16" outlineLevel="2" thickBot="1" x14ac:dyDescent="0.4">
      <c r="A392" s="105" t="s">
        <v>451</v>
      </c>
      <c r="B392" s="79" t="s">
        <v>12</v>
      </c>
      <c r="C392" s="103">
        <f>SUBTOTAL(109,Program313[(C)
Program
Costs])</f>
        <v>11245481</v>
      </c>
      <c r="D392" s="103">
        <f>SUBTOTAL(109,Program313[(D)
Prior Period Adjustments])</f>
        <v>-41452</v>
      </c>
      <c r="E392" s="103">
        <f>SUBTOTAL(109,Program313[(E)
Current Period Desk 
Reviews])</f>
        <v>0</v>
      </c>
      <c r="F392" s="103">
        <f>SUBTOTAL(109,Program313[(F)
Current Period 
Final 
Audits])</f>
        <v>0</v>
      </c>
      <c r="G392" s="103">
        <f>SUBTOTAL(109,Program313[(G)
Current Period 
Other Adjustments])</f>
        <v>0</v>
      </c>
      <c r="H392" s="103">
        <f>SUBTOTAL(109,Program313[(H)
Net Program Costs
Sum (C through G)])</f>
        <v>11204029</v>
      </c>
      <c r="I392" s="103">
        <f>SUBTOTAL(109,Program313[(I)
Payments
 and Offsets])</f>
        <v>-9074280</v>
      </c>
      <c r="J392" s="103">
        <f>SUBTOTAL(109,Program313[(J)
Accounts Payable Balance
(H + I)])</f>
        <v>2129749</v>
      </c>
      <c r="K392" s="103">
        <f>SUBTOTAL(109,Program313[(K)
Established 
Accounts Receivable])</f>
        <v>0</v>
      </c>
      <c r="L392" s="103">
        <f>SUBTOTAL(109,Program313[(L)
Recovered
 Accounts Receivable])</f>
        <v>0</v>
      </c>
      <c r="M392" s="103">
        <f>SUBTOTAL(109,Program313[(M)
Accounts Receivable Balance
(K + L)])</f>
        <v>0</v>
      </c>
      <c r="N392" s="103">
        <f>SUBTOTAL(109,Program313[(N)
Net Balance
(J minus M)])</f>
        <v>2129749</v>
      </c>
    </row>
    <row r="393" spans="1:14" outlineLevel="2" x14ac:dyDescent="0.35">
      <c r="A393" s="116" t="s">
        <v>33</v>
      </c>
      <c r="B393" s="115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</row>
    <row r="394" spans="1:14" ht="77.5" outlineLevel="2" x14ac:dyDescent="0.35">
      <c r="A394" s="113" t="s">
        <v>185</v>
      </c>
      <c r="B394" s="112" t="s">
        <v>184</v>
      </c>
      <c r="C394" s="111" t="s">
        <v>183</v>
      </c>
      <c r="D394" s="111" t="s">
        <v>182</v>
      </c>
      <c r="E394" s="111" t="s">
        <v>181</v>
      </c>
      <c r="F394" s="111" t="s">
        <v>180</v>
      </c>
      <c r="G394" s="111" t="s">
        <v>179</v>
      </c>
      <c r="H394" s="110" t="s">
        <v>674</v>
      </c>
      <c r="I394" s="110" t="s">
        <v>178</v>
      </c>
      <c r="J394" s="110" t="s">
        <v>177</v>
      </c>
      <c r="K394" s="111" t="s">
        <v>176</v>
      </c>
      <c r="L394" s="110" t="s">
        <v>175</v>
      </c>
      <c r="M394" s="110" t="s">
        <v>174</v>
      </c>
      <c r="N394" s="109" t="s">
        <v>173</v>
      </c>
    </row>
    <row r="395" spans="1:14" ht="45" customHeight="1" outlineLevel="2" x14ac:dyDescent="0.35">
      <c r="A395" s="77" t="s">
        <v>571</v>
      </c>
      <c r="B395" s="108" t="s">
        <v>204</v>
      </c>
      <c r="C395" s="106">
        <v>3616</v>
      </c>
      <c r="D395" s="106">
        <v>0</v>
      </c>
      <c r="E395" s="106">
        <v>0</v>
      </c>
      <c r="F395" s="106">
        <v>0</v>
      </c>
      <c r="G395" s="106">
        <v>0</v>
      </c>
      <c r="H395" s="106">
        <v>3616</v>
      </c>
      <c r="I395" s="106">
        <v>-3616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</row>
    <row r="396" spans="1:14" ht="45" customHeight="1" outlineLevel="2" x14ac:dyDescent="0.35">
      <c r="A396" s="77" t="s">
        <v>571</v>
      </c>
      <c r="B396" s="108" t="s">
        <v>203</v>
      </c>
      <c r="C396" s="106">
        <v>3730</v>
      </c>
      <c r="D396" s="106">
        <v>0</v>
      </c>
      <c r="E396" s="106">
        <v>0</v>
      </c>
      <c r="F396" s="106">
        <v>0</v>
      </c>
      <c r="G396" s="106">
        <v>0</v>
      </c>
      <c r="H396" s="106">
        <v>3730</v>
      </c>
      <c r="I396" s="106">
        <v>-3730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</row>
    <row r="397" spans="1:14" ht="45" customHeight="1" outlineLevel="2" x14ac:dyDescent="0.35">
      <c r="A397" s="77" t="s">
        <v>571</v>
      </c>
      <c r="B397" s="108" t="s">
        <v>200</v>
      </c>
      <c r="C397" s="106">
        <v>1029</v>
      </c>
      <c r="D397" s="106">
        <v>0</v>
      </c>
      <c r="E397" s="106">
        <v>0</v>
      </c>
      <c r="F397" s="106">
        <v>0</v>
      </c>
      <c r="G397" s="106">
        <v>0</v>
      </c>
      <c r="H397" s="106">
        <v>1029</v>
      </c>
      <c r="I397" s="106">
        <v>-1029</v>
      </c>
      <c r="J397" s="106">
        <v>0</v>
      </c>
      <c r="K397" s="106">
        <v>0</v>
      </c>
      <c r="L397" s="106">
        <v>0</v>
      </c>
      <c r="M397" s="106">
        <v>0</v>
      </c>
      <c r="N397" s="106">
        <v>0</v>
      </c>
    </row>
    <row r="398" spans="1:14" ht="45" customHeight="1" outlineLevel="2" x14ac:dyDescent="0.35">
      <c r="A398" s="77" t="s">
        <v>571</v>
      </c>
      <c r="B398" s="108" t="s">
        <v>198</v>
      </c>
      <c r="C398" s="106">
        <v>3668</v>
      </c>
      <c r="D398" s="106">
        <v>0</v>
      </c>
      <c r="E398" s="106">
        <v>0</v>
      </c>
      <c r="F398" s="106">
        <v>0</v>
      </c>
      <c r="G398" s="106">
        <v>0</v>
      </c>
      <c r="H398" s="106">
        <v>3668</v>
      </c>
      <c r="I398" s="106">
        <v>-3668</v>
      </c>
      <c r="J398" s="106">
        <v>0</v>
      </c>
      <c r="K398" s="106">
        <v>0</v>
      </c>
      <c r="L398" s="106">
        <v>0</v>
      </c>
      <c r="M398" s="106">
        <v>0</v>
      </c>
      <c r="N398" s="106">
        <v>0</v>
      </c>
    </row>
    <row r="399" spans="1:14" ht="45" customHeight="1" outlineLevel="2" x14ac:dyDescent="0.35">
      <c r="A399" s="77" t="s">
        <v>571</v>
      </c>
      <c r="B399" s="108" t="s">
        <v>197</v>
      </c>
      <c r="C399" s="106">
        <v>6973</v>
      </c>
      <c r="D399" s="106">
        <v>0</v>
      </c>
      <c r="E399" s="106">
        <v>0</v>
      </c>
      <c r="F399" s="106">
        <v>0</v>
      </c>
      <c r="G399" s="106">
        <v>0</v>
      </c>
      <c r="H399" s="106">
        <v>6973</v>
      </c>
      <c r="I399" s="106">
        <v>-6973</v>
      </c>
      <c r="J399" s="106">
        <v>0</v>
      </c>
      <c r="K399" s="106">
        <v>0</v>
      </c>
      <c r="L399" s="106">
        <v>0</v>
      </c>
      <c r="M399" s="106">
        <v>0</v>
      </c>
      <c r="N399" s="106">
        <v>0</v>
      </c>
    </row>
    <row r="400" spans="1:14" ht="16" outlineLevel="2" thickBot="1" x14ac:dyDescent="0.4">
      <c r="A400" s="105" t="s">
        <v>450</v>
      </c>
      <c r="B400" s="79" t="s">
        <v>12</v>
      </c>
      <c r="C400" s="103">
        <f>SUBTOTAL(109,Program311[(C)
Program
Costs])</f>
        <v>19016</v>
      </c>
      <c r="D400" s="103">
        <f>SUBTOTAL(109,Program311[(D)
Prior Period Adjustments])</f>
        <v>0</v>
      </c>
      <c r="E400" s="103">
        <f>SUBTOTAL(109,Program311[(E)
Current Period Desk 
Reviews])</f>
        <v>0</v>
      </c>
      <c r="F400" s="103">
        <f>SUBTOTAL(109,Program311[(F)
Current Period 
Final 
Audits])</f>
        <v>0</v>
      </c>
      <c r="G400" s="103">
        <f>SUBTOTAL(109,Program311[(G)
Current Period 
Other Adjustments])</f>
        <v>0</v>
      </c>
      <c r="H400" s="103">
        <f>SUBTOTAL(109,Program311[(H)
Net Program Costs
Sum (C through G)])</f>
        <v>19016</v>
      </c>
      <c r="I400" s="103">
        <f>SUBTOTAL(109,Program311[(I)
Payments
 and Offsets])</f>
        <v>-19016</v>
      </c>
      <c r="J400" s="103">
        <f>SUBTOTAL(109,Program311[(J)
Accounts Payable Balance
(H + I)])</f>
        <v>0</v>
      </c>
      <c r="K400" s="103">
        <f>SUBTOTAL(109,Program311[(K)
Established 
Accounts Receivable])</f>
        <v>0</v>
      </c>
      <c r="L400" s="103">
        <f>SUBTOTAL(109,Program311[(L)
Recovered
 Accounts Receivable])</f>
        <v>0</v>
      </c>
      <c r="M400" s="103">
        <f>SUBTOTAL(109,Program311[(M)
Accounts Receivable Balance
(K + L)])</f>
        <v>0</v>
      </c>
      <c r="N400" s="103">
        <f>SUBTOTAL(109,Program311[(N)
Net Balance
(J minus M)])</f>
        <v>0</v>
      </c>
    </row>
    <row r="401" spans="1:14" outlineLevel="2" x14ac:dyDescent="0.35">
      <c r="A401" s="116" t="s">
        <v>33</v>
      </c>
      <c r="B401" s="115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</row>
    <row r="402" spans="1:14" ht="77.5" outlineLevel="2" x14ac:dyDescent="0.35">
      <c r="A402" s="113" t="s">
        <v>185</v>
      </c>
      <c r="B402" s="112" t="s">
        <v>184</v>
      </c>
      <c r="C402" s="111" t="s">
        <v>183</v>
      </c>
      <c r="D402" s="111" t="s">
        <v>182</v>
      </c>
      <c r="E402" s="111" t="s">
        <v>181</v>
      </c>
      <c r="F402" s="111" t="s">
        <v>180</v>
      </c>
      <c r="G402" s="111" t="s">
        <v>179</v>
      </c>
      <c r="H402" s="110" t="s">
        <v>674</v>
      </c>
      <c r="I402" s="110" t="s">
        <v>178</v>
      </c>
      <c r="J402" s="110" t="s">
        <v>177</v>
      </c>
      <c r="K402" s="111" t="s">
        <v>176</v>
      </c>
      <c r="L402" s="110" t="s">
        <v>175</v>
      </c>
      <c r="M402" s="110" t="s">
        <v>174</v>
      </c>
      <c r="N402" s="109" t="s">
        <v>173</v>
      </c>
    </row>
    <row r="403" spans="1:14" ht="45" customHeight="1" outlineLevel="2" x14ac:dyDescent="0.35">
      <c r="A403" s="77" t="s">
        <v>570</v>
      </c>
      <c r="B403" s="108" t="s">
        <v>202</v>
      </c>
      <c r="C403" s="106">
        <v>3045</v>
      </c>
      <c r="D403" s="106">
        <v>0</v>
      </c>
      <c r="E403" s="106">
        <v>0</v>
      </c>
      <c r="F403" s="106">
        <v>0</v>
      </c>
      <c r="G403" s="106">
        <v>0</v>
      </c>
      <c r="H403" s="106">
        <v>3045</v>
      </c>
      <c r="I403" s="106">
        <v>-3045</v>
      </c>
      <c r="J403" s="106">
        <v>0</v>
      </c>
      <c r="K403" s="106">
        <v>0</v>
      </c>
      <c r="L403" s="106">
        <v>0</v>
      </c>
      <c r="M403" s="106">
        <v>0</v>
      </c>
      <c r="N403" s="106">
        <v>0</v>
      </c>
    </row>
    <row r="404" spans="1:14" ht="45" customHeight="1" outlineLevel="1" x14ac:dyDescent="0.35">
      <c r="A404" s="77" t="s">
        <v>570</v>
      </c>
      <c r="B404" s="108" t="s">
        <v>201</v>
      </c>
      <c r="C404" s="106">
        <v>1649</v>
      </c>
      <c r="D404" s="106">
        <v>0</v>
      </c>
      <c r="E404" s="106">
        <v>0</v>
      </c>
      <c r="F404" s="106">
        <v>0</v>
      </c>
      <c r="G404" s="106">
        <v>0</v>
      </c>
      <c r="H404" s="106">
        <v>1649</v>
      </c>
      <c r="I404" s="106">
        <v>-1649</v>
      </c>
      <c r="J404" s="106">
        <v>0</v>
      </c>
      <c r="K404" s="106">
        <v>0</v>
      </c>
      <c r="L404" s="106">
        <v>0</v>
      </c>
      <c r="M404" s="106">
        <v>0</v>
      </c>
      <c r="N404" s="106">
        <v>0</v>
      </c>
    </row>
    <row r="405" spans="1:14" ht="15" customHeight="1" outlineLevel="1" thickBot="1" x14ac:dyDescent="0.4">
      <c r="A405" s="105" t="s">
        <v>449</v>
      </c>
      <c r="B405" s="79" t="s">
        <v>12</v>
      </c>
      <c r="C405" s="48">
        <f>SUBTOTAL(109,Program312[(C)
Program
Costs])</f>
        <v>4694</v>
      </c>
      <c r="D405" s="48">
        <f>SUBTOTAL(109,Program312[(D)
Prior Period Adjustments])</f>
        <v>0</v>
      </c>
      <c r="E405" s="48">
        <f>SUBTOTAL(109,Program312[(E)
Current Period Desk 
Reviews])</f>
        <v>0</v>
      </c>
      <c r="F405" s="48">
        <f>SUBTOTAL(109,Program312[(F)
Current Period 
Final 
Audits])</f>
        <v>0</v>
      </c>
      <c r="G405" s="48">
        <f>SUBTOTAL(109,Program312[(G)
Current Period 
Other Adjustments])</f>
        <v>0</v>
      </c>
      <c r="H405" s="48">
        <f>SUBTOTAL(109,Program312[(H)
Net Program Costs
Sum (C through G)])</f>
        <v>4694</v>
      </c>
      <c r="I405" s="48">
        <f>SUBTOTAL(109,Program312[(I)
Payments
 and Offsets])</f>
        <v>-4694</v>
      </c>
      <c r="J405" s="48">
        <f>SUBTOTAL(109,Program312[(J)
Accounts Payable Balance
(H + I)])</f>
        <v>0</v>
      </c>
      <c r="K405" s="48">
        <f>SUBTOTAL(107,Program312[(K)
Established 
Accounts Receivable])</f>
        <v>0</v>
      </c>
      <c r="L405" s="48">
        <f>SUBTOTAL(109,Program312[(L)
Recovered
 Accounts Receivable])</f>
        <v>0</v>
      </c>
      <c r="M405" s="48">
        <f>SUBTOTAL(109,Program312[(M)
Accounts Receivable Balance
(K + L)])</f>
        <v>0</v>
      </c>
      <c r="N405" s="48">
        <f>SUBTOTAL(109,Program312[(N)
Net Balance
(J minus M)])</f>
        <v>0</v>
      </c>
    </row>
    <row r="406" spans="1:14" outlineLevel="2" x14ac:dyDescent="0.35">
      <c r="A406" s="116" t="s">
        <v>33</v>
      </c>
      <c r="B406" s="115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</row>
    <row r="407" spans="1:14" ht="77.5" outlineLevel="2" x14ac:dyDescent="0.35">
      <c r="A407" s="113" t="s">
        <v>185</v>
      </c>
      <c r="B407" s="112" t="s">
        <v>184</v>
      </c>
      <c r="C407" s="111" t="s">
        <v>183</v>
      </c>
      <c r="D407" s="111" t="s">
        <v>182</v>
      </c>
      <c r="E407" s="111" t="s">
        <v>181</v>
      </c>
      <c r="F407" s="111" t="s">
        <v>180</v>
      </c>
      <c r="G407" s="111" t="s">
        <v>179</v>
      </c>
      <c r="H407" s="110" t="s">
        <v>674</v>
      </c>
      <c r="I407" s="110" t="s">
        <v>178</v>
      </c>
      <c r="J407" s="110" t="s">
        <v>177</v>
      </c>
      <c r="K407" s="111" t="s">
        <v>176</v>
      </c>
      <c r="L407" s="110" t="s">
        <v>175</v>
      </c>
      <c r="M407" s="110" t="s">
        <v>174</v>
      </c>
      <c r="N407" s="109" t="s">
        <v>173</v>
      </c>
    </row>
    <row r="408" spans="1:14" ht="31" outlineLevel="2" x14ac:dyDescent="0.35">
      <c r="A408" s="77" t="s">
        <v>569</v>
      </c>
      <c r="B408" s="108" t="s">
        <v>215</v>
      </c>
      <c r="C408" s="106">
        <v>36306</v>
      </c>
      <c r="D408" s="106">
        <v>0</v>
      </c>
      <c r="E408" s="106">
        <v>0</v>
      </c>
      <c r="F408" s="106">
        <v>0</v>
      </c>
      <c r="G408" s="106">
        <v>0</v>
      </c>
      <c r="H408" s="106">
        <v>36306</v>
      </c>
      <c r="I408" s="106">
        <v>0</v>
      </c>
      <c r="J408" s="106">
        <v>36306</v>
      </c>
      <c r="K408" s="106">
        <v>0</v>
      </c>
      <c r="L408" s="106">
        <v>0</v>
      </c>
      <c r="M408" s="106">
        <v>0</v>
      </c>
      <c r="N408" s="106">
        <v>36306</v>
      </c>
    </row>
    <row r="409" spans="1:14" ht="31" outlineLevel="2" x14ac:dyDescent="0.35">
      <c r="A409" s="77" t="s">
        <v>569</v>
      </c>
      <c r="B409" s="108" t="s">
        <v>214</v>
      </c>
      <c r="C409" s="106">
        <v>50776</v>
      </c>
      <c r="D409" s="106">
        <v>0</v>
      </c>
      <c r="E409" s="106">
        <v>0</v>
      </c>
      <c r="F409" s="106">
        <v>0</v>
      </c>
      <c r="G409" s="106">
        <v>0</v>
      </c>
      <c r="H409" s="106">
        <v>50776</v>
      </c>
      <c r="I409" s="106">
        <v>-1000</v>
      </c>
      <c r="J409" s="106">
        <v>49776</v>
      </c>
      <c r="K409" s="106">
        <v>0</v>
      </c>
      <c r="L409" s="106">
        <v>0</v>
      </c>
      <c r="M409" s="106">
        <v>0</v>
      </c>
      <c r="N409" s="106">
        <v>49776</v>
      </c>
    </row>
    <row r="410" spans="1:14" ht="31" outlineLevel="2" x14ac:dyDescent="0.35">
      <c r="A410" s="77" t="s">
        <v>569</v>
      </c>
      <c r="B410" s="108" t="s">
        <v>212</v>
      </c>
      <c r="C410" s="106">
        <v>44856</v>
      </c>
      <c r="D410" s="106">
        <v>0</v>
      </c>
      <c r="E410" s="106">
        <v>0</v>
      </c>
      <c r="F410" s="106">
        <v>0</v>
      </c>
      <c r="G410" s="106">
        <v>0</v>
      </c>
      <c r="H410" s="106">
        <v>44856</v>
      </c>
      <c r="I410" s="106">
        <v>-1000</v>
      </c>
      <c r="J410" s="106">
        <v>43856</v>
      </c>
      <c r="K410" s="106">
        <v>0</v>
      </c>
      <c r="L410" s="106">
        <v>0</v>
      </c>
      <c r="M410" s="106">
        <v>0</v>
      </c>
      <c r="N410" s="106">
        <v>43856</v>
      </c>
    </row>
    <row r="411" spans="1:14" ht="31" outlineLevel="2" x14ac:dyDescent="0.35">
      <c r="A411" s="77" t="s">
        <v>569</v>
      </c>
      <c r="B411" s="108" t="s">
        <v>220</v>
      </c>
      <c r="C411" s="106">
        <v>69777</v>
      </c>
      <c r="D411" s="106">
        <v>-102</v>
      </c>
      <c r="E411" s="106">
        <v>0</v>
      </c>
      <c r="F411" s="106">
        <v>0</v>
      </c>
      <c r="G411" s="106">
        <v>0</v>
      </c>
      <c r="H411" s="106">
        <v>69675</v>
      </c>
      <c r="I411" s="106">
        <v>-9406</v>
      </c>
      <c r="J411" s="106">
        <v>60269</v>
      </c>
      <c r="K411" s="106">
        <v>0</v>
      </c>
      <c r="L411" s="106">
        <v>0</v>
      </c>
      <c r="M411" s="106">
        <v>0</v>
      </c>
      <c r="N411" s="106">
        <v>60269</v>
      </c>
    </row>
    <row r="412" spans="1:14" ht="31" outlineLevel="2" x14ac:dyDescent="0.35">
      <c r="A412" s="77" t="s">
        <v>569</v>
      </c>
      <c r="B412" s="108" t="s">
        <v>219</v>
      </c>
      <c r="C412" s="106">
        <v>163009</v>
      </c>
      <c r="D412" s="106">
        <v>0</v>
      </c>
      <c r="E412" s="106">
        <v>0</v>
      </c>
      <c r="F412" s="106">
        <v>0</v>
      </c>
      <c r="G412" s="106">
        <v>0</v>
      </c>
      <c r="H412" s="106">
        <v>163009</v>
      </c>
      <c r="I412" s="106">
        <v>-36297</v>
      </c>
      <c r="J412" s="106">
        <v>126712</v>
      </c>
      <c r="K412" s="106">
        <v>0</v>
      </c>
      <c r="L412" s="106">
        <v>0</v>
      </c>
      <c r="M412" s="106">
        <v>0</v>
      </c>
      <c r="N412" s="106">
        <v>126712</v>
      </c>
    </row>
    <row r="413" spans="1:14" ht="31" outlineLevel="2" x14ac:dyDescent="0.35">
      <c r="A413" s="77" t="s">
        <v>569</v>
      </c>
      <c r="B413" s="108" t="s">
        <v>218</v>
      </c>
      <c r="C413" s="106">
        <v>223094</v>
      </c>
      <c r="D413" s="106">
        <v>0</v>
      </c>
      <c r="E413" s="106">
        <v>0</v>
      </c>
      <c r="F413" s="106">
        <v>0</v>
      </c>
      <c r="G413" s="106">
        <v>0</v>
      </c>
      <c r="H413" s="106">
        <v>223094</v>
      </c>
      <c r="I413" s="106">
        <v>-90234</v>
      </c>
      <c r="J413" s="106">
        <v>132860</v>
      </c>
      <c r="K413" s="106">
        <v>0</v>
      </c>
      <c r="L413" s="106">
        <v>0</v>
      </c>
      <c r="M413" s="106">
        <v>0</v>
      </c>
      <c r="N413" s="106">
        <v>132860</v>
      </c>
    </row>
    <row r="414" spans="1:14" ht="31" outlineLevel="2" x14ac:dyDescent="0.35">
      <c r="A414" s="77" t="s">
        <v>569</v>
      </c>
      <c r="B414" s="108" t="s">
        <v>209</v>
      </c>
      <c r="C414" s="106">
        <v>804335</v>
      </c>
      <c r="D414" s="106">
        <v>-8043</v>
      </c>
      <c r="E414" s="106">
        <v>0</v>
      </c>
      <c r="F414" s="106">
        <v>0</v>
      </c>
      <c r="G414" s="106">
        <v>0</v>
      </c>
      <c r="H414" s="106">
        <v>796292</v>
      </c>
      <c r="I414" s="106">
        <v>-385103</v>
      </c>
      <c r="J414" s="106">
        <v>411189</v>
      </c>
      <c r="K414" s="106">
        <v>0</v>
      </c>
      <c r="L414" s="106">
        <v>0</v>
      </c>
      <c r="M414" s="106">
        <v>0</v>
      </c>
      <c r="N414" s="106">
        <v>411189</v>
      </c>
    </row>
    <row r="415" spans="1:14" ht="16" outlineLevel="2" thickBot="1" x14ac:dyDescent="0.4">
      <c r="A415" s="105" t="s">
        <v>448</v>
      </c>
      <c r="B415" s="79" t="s">
        <v>12</v>
      </c>
      <c r="C415" s="103">
        <f>SUBTOTAL(109,Program330[(C)
Program
Costs])</f>
        <v>1392153</v>
      </c>
      <c r="D415" s="103">
        <f>SUBTOTAL(109,Program330[(D)
Prior Period Adjustments])</f>
        <v>-8145</v>
      </c>
      <c r="E415" s="103">
        <f>SUBTOTAL(109,Program330[(E)
Current Period Desk 
Reviews])</f>
        <v>0</v>
      </c>
      <c r="F415" s="103">
        <f>SUBTOTAL(109,Program330[(F)
Current Period 
Final 
Audits])</f>
        <v>0</v>
      </c>
      <c r="G415" s="103">
        <f>SUBTOTAL(109,Program330[(G)
Current Period 
Other Adjustments])</f>
        <v>0</v>
      </c>
      <c r="H415" s="103">
        <f>SUBTOTAL(109,Program330[(H)
Net Program Costs
Sum (C through G)])</f>
        <v>1384008</v>
      </c>
      <c r="I415" s="103">
        <f>SUBTOTAL(109,Program330[(I)
Payments
 and Offsets])</f>
        <v>-523040</v>
      </c>
      <c r="J415" s="103">
        <f>SUBTOTAL(109,Program330[(J)
Accounts Payable Balance
(H + I)])</f>
        <v>860968</v>
      </c>
      <c r="K415" s="103">
        <f>SUBTOTAL(109,Program330[(K)
Established 
Accounts Receivable])</f>
        <v>0</v>
      </c>
      <c r="L415" s="103">
        <f>SUBTOTAL(109,Program330[(L)
Recovered
 Accounts Receivable])</f>
        <v>0</v>
      </c>
      <c r="M415" s="103">
        <f>SUBTOTAL(109,Program330[(M)
Accounts Receivable Balance
(K + L)])</f>
        <v>0</v>
      </c>
      <c r="N415" s="103">
        <f>SUBTOTAL(109,Program330[(N)
Net Balance
(J minus M)])</f>
        <v>860968</v>
      </c>
    </row>
    <row r="416" spans="1:14" outlineLevel="2" x14ac:dyDescent="0.35">
      <c r="A416" s="116" t="s">
        <v>33</v>
      </c>
      <c r="B416" s="115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</row>
    <row r="417" spans="1:14" ht="77.5" outlineLevel="1" x14ac:dyDescent="0.35">
      <c r="A417" s="113" t="s">
        <v>185</v>
      </c>
      <c r="B417" s="112" t="s">
        <v>184</v>
      </c>
      <c r="C417" s="111" t="s">
        <v>183</v>
      </c>
      <c r="D417" s="111" t="s">
        <v>182</v>
      </c>
      <c r="E417" s="111" t="s">
        <v>181</v>
      </c>
      <c r="F417" s="111" t="s">
        <v>180</v>
      </c>
      <c r="G417" s="111" t="s">
        <v>179</v>
      </c>
      <c r="H417" s="110" t="s">
        <v>674</v>
      </c>
      <c r="I417" s="110" t="s">
        <v>178</v>
      </c>
      <c r="J417" s="110" t="s">
        <v>177</v>
      </c>
      <c r="K417" s="111" t="s">
        <v>176</v>
      </c>
      <c r="L417" s="110" t="s">
        <v>175</v>
      </c>
      <c r="M417" s="110" t="s">
        <v>174</v>
      </c>
      <c r="N417" s="109" t="s">
        <v>173</v>
      </c>
    </row>
    <row r="418" spans="1:14" ht="30" customHeight="1" outlineLevel="1" x14ac:dyDescent="0.35">
      <c r="A418" s="77" t="s">
        <v>568</v>
      </c>
      <c r="B418" s="108" t="s">
        <v>215</v>
      </c>
      <c r="C418" s="106">
        <v>24722</v>
      </c>
      <c r="D418" s="106">
        <v>0</v>
      </c>
      <c r="E418" s="106">
        <v>0</v>
      </c>
      <c r="F418" s="106">
        <v>0</v>
      </c>
      <c r="G418" s="106">
        <v>0</v>
      </c>
      <c r="H418" s="106">
        <v>24722</v>
      </c>
      <c r="I418" s="106">
        <v>0</v>
      </c>
      <c r="J418" s="106">
        <v>24722</v>
      </c>
      <c r="K418" s="106">
        <v>0</v>
      </c>
      <c r="L418" s="106">
        <v>0</v>
      </c>
      <c r="M418" s="106">
        <v>0</v>
      </c>
      <c r="N418" s="106">
        <v>24722</v>
      </c>
    </row>
    <row r="419" spans="1:14" ht="30" customHeight="1" outlineLevel="1" x14ac:dyDescent="0.35">
      <c r="A419" s="77" t="s">
        <v>568</v>
      </c>
      <c r="B419" s="108" t="s">
        <v>214</v>
      </c>
      <c r="C419" s="106">
        <v>37266</v>
      </c>
      <c r="D419" s="106">
        <v>0</v>
      </c>
      <c r="E419" s="106">
        <v>0</v>
      </c>
      <c r="F419" s="106">
        <v>0</v>
      </c>
      <c r="G419" s="106">
        <v>0</v>
      </c>
      <c r="H419" s="106">
        <v>37266</v>
      </c>
      <c r="I419" s="106">
        <v>-1000</v>
      </c>
      <c r="J419" s="106">
        <v>36266</v>
      </c>
      <c r="K419" s="106">
        <v>0</v>
      </c>
      <c r="L419" s="106">
        <v>0</v>
      </c>
      <c r="M419" s="106">
        <v>0</v>
      </c>
      <c r="N419" s="106">
        <v>36266</v>
      </c>
    </row>
    <row r="420" spans="1:14" ht="30" customHeight="1" outlineLevel="2" x14ac:dyDescent="0.35">
      <c r="A420" s="77" t="s">
        <v>568</v>
      </c>
      <c r="B420" s="108" t="s">
        <v>212</v>
      </c>
      <c r="C420" s="106">
        <v>31110</v>
      </c>
      <c r="D420" s="106">
        <v>0</v>
      </c>
      <c r="E420" s="106">
        <v>0</v>
      </c>
      <c r="F420" s="106">
        <v>0</v>
      </c>
      <c r="G420" s="106">
        <v>0</v>
      </c>
      <c r="H420" s="106">
        <v>31110</v>
      </c>
      <c r="I420" s="106">
        <v>-1000</v>
      </c>
      <c r="J420" s="106">
        <v>30110</v>
      </c>
      <c r="K420" s="106">
        <v>0</v>
      </c>
      <c r="L420" s="106">
        <v>0</v>
      </c>
      <c r="M420" s="106">
        <v>0</v>
      </c>
      <c r="N420" s="106">
        <v>30110</v>
      </c>
    </row>
    <row r="421" spans="1:14" ht="30" customHeight="1" outlineLevel="2" x14ac:dyDescent="0.35">
      <c r="A421" s="77" t="s">
        <v>568</v>
      </c>
      <c r="B421" s="108" t="s">
        <v>220</v>
      </c>
      <c r="C421" s="106">
        <v>39610</v>
      </c>
      <c r="D421" s="106">
        <v>0</v>
      </c>
      <c r="E421" s="106">
        <v>0</v>
      </c>
      <c r="F421" s="106">
        <v>0</v>
      </c>
      <c r="G421" s="106">
        <v>0</v>
      </c>
      <c r="H421" s="106">
        <v>39610</v>
      </c>
      <c r="I421" s="106">
        <v>-2379</v>
      </c>
      <c r="J421" s="106">
        <v>37231</v>
      </c>
      <c r="K421" s="106">
        <v>0</v>
      </c>
      <c r="L421" s="106">
        <v>0</v>
      </c>
      <c r="M421" s="106">
        <v>0</v>
      </c>
      <c r="N421" s="106">
        <v>37231</v>
      </c>
    </row>
    <row r="422" spans="1:14" ht="30" customHeight="1" outlineLevel="2" x14ac:dyDescent="0.35">
      <c r="A422" s="77" t="s">
        <v>568</v>
      </c>
      <c r="B422" s="108" t="s">
        <v>219</v>
      </c>
      <c r="C422" s="106">
        <v>219338</v>
      </c>
      <c r="D422" s="106">
        <v>0</v>
      </c>
      <c r="E422" s="106">
        <v>0</v>
      </c>
      <c r="F422" s="106">
        <v>0</v>
      </c>
      <c r="G422" s="106">
        <v>0</v>
      </c>
      <c r="H422" s="106">
        <v>219338</v>
      </c>
      <c r="I422" s="106">
        <v>-34030</v>
      </c>
      <c r="J422" s="106">
        <v>185308</v>
      </c>
      <c r="K422" s="106">
        <v>0</v>
      </c>
      <c r="L422" s="106">
        <v>0</v>
      </c>
      <c r="M422" s="106">
        <v>0</v>
      </c>
      <c r="N422" s="106">
        <v>185308</v>
      </c>
    </row>
    <row r="423" spans="1:14" ht="30" customHeight="1" outlineLevel="2" x14ac:dyDescent="0.35">
      <c r="A423" s="77" t="s">
        <v>568</v>
      </c>
      <c r="B423" s="108" t="s">
        <v>218</v>
      </c>
      <c r="C423" s="106">
        <v>315064</v>
      </c>
      <c r="D423" s="106">
        <v>-113</v>
      </c>
      <c r="E423" s="106">
        <v>0</v>
      </c>
      <c r="F423" s="106">
        <v>0</v>
      </c>
      <c r="G423" s="106">
        <v>0</v>
      </c>
      <c r="H423" s="106">
        <v>314951</v>
      </c>
      <c r="I423" s="106">
        <v>-107194</v>
      </c>
      <c r="J423" s="106">
        <v>207757</v>
      </c>
      <c r="K423" s="106">
        <v>0</v>
      </c>
      <c r="L423" s="106">
        <v>0</v>
      </c>
      <c r="M423" s="106">
        <v>0</v>
      </c>
      <c r="N423" s="106">
        <v>207757</v>
      </c>
    </row>
    <row r="424" spans="1:14" ht="30" customHeight="1" outlineLevel="2" x14ac:dyDescent="0.35">
      <c r="A424" s="77" t="s">
        <v>568</v>
      </c>
      <c r="B424" s="108" t="s">
        <v>209</v>
      </c>
      <c r="C424" s="106">
        <v>1006762</v>
      </c>
      <c r="D424" s="106">
        <v>-8325</v>
      </c>
      <c r="E424" s="106">
        <v>0</v>
      </c>
      <c r="F424" s="106">
        <v>0</v>
      </c>
      <c r="G424" s="106">
        <v>0</v>
      </c>
      <c r="H424" s="106">
        <v>998437</v>
      </c>
      <c r="I424" s="106">
        <v>-714840</v>
      </c>
      <c r="J424" s="106">
        <v>283597</v>
      </c>
      <c r="K424" s="106">
        <v>0</v>
      </c>
      <c r="L424" s="106">
        <v>0</v>
      </c>
      <c r="M424" s="106">
        <v>0</v>
      </c>
      <c r="N424" s="106">
        <v>283597</v>
      </c>
    </row>
    <row r="425" spans="1:14" ht="30" customHeight="1" outlineLevel="2" x14ac:dyDescent="0.35">
      <c r="A425" s="77" t="s">
        <v>568</v>
      </c>
      <c r="B425" s="108" t="s">
        <v>208</v>
      </c>
      <c r="C425" s="106">
        <v>8058059</v>
      </c>
      <c r="D425" s="106">
        <v>-2305662</v>
      </c>
      <c r="E425" s="106">
        <v>0</v>
      </c>
      <c r="F425" s="106">
        <v>0</v>
      </c>
      <c r="G425" s="106">
        <v>0</v>
      </c>
      <c r="H425" s="106">
        <v>5752397</v>
      </c>
      <c r="I425" s="106">
        <v>-4834791</v>
      </c>
      <c r="J425" s="106">
        <v>917606</v>
      </c>
      <c r="K425" s="106">
        <v>0</v>
      </c>
      <c r="L425" s="106">
        <v>0</v>
      </c>
      <c r="M425" s="106">
        <v>0</v>
      </c>
      <c r="N425" s="106">
        <v>917606</v>
      </c>
    </row>
    <row r="426" spans="1:14" ht="30" customHeight="1" outlineLevel="2" x14ac:dyDescent="0.35">
      <c r="A426" s="77" t="s">
        <v>568</v>
      </c>
      <c r="B426" s="108" t="s">
        <v>206</v>
      </c>
      <c r="C426" s="106">
        <v>9404272</v>
      </c>
      <c r="D426" s="106">
        <v>-13351</v>
      </c>
      <c r="E426" s="106">
        <v>0</v>
      </c>
      <c r="F426" s="106">
        <v>0</v>
      </c>
      <c r="G426" s="106">
        <v>0</v>
      </c>
      <c r="H426" s="106">
        <v>9390921</v>
      </c>
      <c r="I426" s="106">
        <v>-7958284</v>
      </c>
      <c r="J426" s="106">
        <v>1432637</v>
      </c>
      <c r="K426" s="106">
        <v>0</v>
      </c>
      <c r="L426" s="106">
        <v>0</v>
      </c>
      <c r="M426" s="106">
        <v>0</v>
      </c>
      <c r="N426" s="106">
        <v>1432637</v>
      </c>
    </row>
    <row r="427" spans="1:14" ht="30" customHeight="1" outlineLevel="2" x14ac:dyDescent="0.35">
      <c r="A427" s="77" t="s">
        <v>568</v>
      </c>
      <c r="B427" s="108" t="s">
        <v>205</v>
      </c>
      <c r="C427" s="106">
        <v>9282366</v>
      </c>
      <c r="D427" s="106">
        <v>-36581</v>
      </c>
      <c r="E427" s="106">
        <v>0</v>
      </c>
      <c r="F427" s="106">
        <v>0</v>
      </c>
      <c r="G427" s="106">
        <v>0</v>
      </c>
      <c r="H427" s="106">
        <v>9245785</v>
      </c>
      <c r="I427" s="106">
        <v>-9214618</v>
      </c>
      <c r="J427" s="106">
        <v>31167</v>
      </c>
      <c r="K427" s="106">
        <v>0</v>
      </c>
      <c r="L427" s="106">
        <v>0</v>
      </c>
      <c r="M427" s="106">
        <v>0</v>
      </c>
      <c r="N427" s="106">
        <v>31167</v>
      </c>
    </row>
    <row r="428" spans="1:14" ht="30" customHeight="1" outlineLevel="2" x14ac:dyDescent="0.35">
      <c r="A428" s="77" t="s">
        <v>568</v>
      </c>
      <c r="B428" s="108" t="s">
        <v>204</v>
      </c>
      <c r="C428" s="106">
        <v>10130798</v>
      </c>
      <c r="D428" s="106">
        <v>-24926</v>
      </c>
      <c r="E428" s="106">
        <v>0</v>
      </c>
      <c r="F428" s="106">
        <v>0</v>
      </c>
      <c r="G428" s="106">
        <v>0</v>
      </c>
      <c r="H428" s="106">
        <v>10105872</v>
      </c>
      <c r="I428" s="106">
        <v>-10100035</v>
      </c>
      <c r="J428" s="106">
        <v>5837</v>
      </c>
      <c r="K428" s="106">
        <v>865406</v>
      </c>
      <c r="L428" s="106">
        <v>-11587</v>
      </c>
      <c r="M428" s="106">
        <v>853819</v>
      </c>
      <c r="N428" s="106">
        <v>-847982</v>
      </c>
    </row>
    <row r="429" spans="1:14" ht="30" customHeight="1" outlineLevel="2" x14ac:dyDescent="0.35">
      <c r="A429" s="77" t="s">
        <v>568</v>
      </c>
      <c r="B429" s="108" t="s">
        <v>203</v>
      </c>
      <c r="C429" s="106">
        <v>9344697</v>
      </c>
      <c r="D429" s="106">
        <v>-120478</v>
      </c>
      <c r="E429" s="106">
        <v>0</v>
      </c>
      <c r="F429" s="106">
        <v>0</v>
      </c>
      <c r="G429" s="106">
        <v>0</v>
      </c>
      <c r="H429" s="106">
        <v>9224219</v>
      </c>
      <c r="I429" s="106">
        <v>-8491932</v>
      </c>
      <c r="J429" s="106">
        <v>732287</v>
      </c>
      <c r="K429" s="106">
        <v>2</v>
      </c>
      <c r="L429" s="106">
        <v>0</v>
      </c>
      <c r="M429" s="106">
        <v>2</v>
      </c>
      <c r="N429" s="106">
        <v>732285</v>
      </c>
    </row>
    <row r="430" spans="1:14" ht="30" customHeight="1" outlineLevel="2" x14ac:dyDescent="0.35">
      <c r="A430" s="77" t="s">
        <v>568</v>
      </c>
      <c r="B430" s="108" t="s">
        <v>202</v>
      </c>
      <c r="C430" s="106">
        <v>9158039</v>
      </c>
      <c r="D430" s="106">
        <v>-70052</v>
      </c>
      <c r="E430" s="106">
        <v>0</v>
      </c>
      <c r="F430" s="106">
        <v>0</v>
      </c>
      <c r="G430" s="106">
        <v>0</v>
      </c>
      <c r="H430" s="106">
        <v>9087987</v>
      </c>
      <c r="I430" s="106">
        <v>-8656133</v>
      </c>
      <c r="J430" s="106">
        <v>431854</v>
      </c>
      <c r="K430" s="106">
        <v>55256</v>
      </c>
      <c r="L430" s="106">
        <v>-49366</v>
      </c>
      <c r="M430" s="106">
        <v>5890</v>
      </c>
      <c r="N430" s="106">
        <v>425964</v>
      </c>
    </row>
    <row r="431" spans="1:14" ht="30" customHeight="1" outlineLevel="1" x14ac:dyDescent="0.35">
      <c r="A431" s="77" t="s">
        <v>568</v>
      </c>
      <c r="B431" s="108" t="s">
        <v>201</v>
      </c>
      <c r="C431" s="106">
        <v>8424113</v>
      </c>
      <c r="D431" s="106">
        <v>-52938</v>
      </c>
      <c r="E431" s="106">
        <v>0</v>
      </c>
      <c r="F431" s="106">
        <v>0</v>
      </c>
      <c r="G431" s="106">
        <v>0</v>
      </c>
      <c r="H431" s="106">
        <v>8371175</v>
      </c>
      <c r="I431" s="106">
        <v>-8200303</v>
      </c>
      <c r="J431" s="106">
        <v>170872</v>
      </c>
      <c r="K431" s="106">
        <v>0</v>
      </c>
      <c r="L431" s="106">
        <v>0</v>
      </c>
      <c r="M431" s="106">
        <v>0</v>
      </c>
      <c r="N431" s="106">
        <v>170872</v>
      </c>
    </row>
    <row r="432" spans="1:14" ht="30" customHeight="1" outlineLevel="1" x14ac:dyDescent="0.35">
      <c r="A432" s="77" t="s">
        <v>568</v>
      </c>
      <c r="B432" s="108" t="s">
        <v>200</v>
      </c>
      <c r="C432" s="106">
        <v>3844995</v>
      </c>
      <c r="D432" s="106">
        <v>-8199</v>
      </c>
      <c r="E432" s="106">
        <v>0</v>
      </c>
      <c r="F432" s="106">
        <v>0</v>
      </c>
      <c r="G432" s="106">
        <v>0</v>
      </c>
      <c r="H432" s="106">
        <v>3836796</v>
      </c>
      <c r="I432" s="106">
        <v>-3836796</v>
      </c>
      <c r="J432" s="106">
        <v>0</v>
      </c>
      <c r="K432" s="106">
        <v>232908</v>
      </c>
      <c r="L432" s="106">
        <v>-228852</v>
      </c>
      <c r="M432" s="106">
        <v>4056</v>
      </c>
      <c r="N432" s="106">
        <v>-4056</v>
      </c>
    </row>
    <row r="433" spans="1:14" ht="16" outlineLevel="2" thickBot="1" x14ac:dyDescent="0.4">
      <c r="A433" s="105" t="s">
        <v>447</v>
      </c>
      <c r="B433" s="79" t="s">
        <v>12</v>
      </c>
      <c r="C433" s="103">
        <f>SUBTOTAL(109,Program272[(C)
Program
Costs])</f>
        <v>69321211</v>
      </c>
      <c r="D433" s="103">
        <f>SUBTOTAL(109,Program272[(D)
Prior Period Adjustments])</f>
        <v>-2640625</v>
      </c>
      <c r="E433" s="103">
        <f>SUBTOTAL(109,Program272[(E)
Current Period Desk 
Reviews])</f>
        <v>0</v>
      </c>
      <c r="F433" s="103">
        <f>SUBTOTAL(109,Program272[(F)
Current Period 
Final 
Audits])</f>
        <v>0</v>
      </c>
      <c r="G433" s="103">
        <f>SUBTOTAL(109,Program272[(G)
Current Period 
Other Adjustments])</f>
        <v>0</v>
      </c>
      <c r="H433" s="103">
        <f>SUBTOTAL(109,Program272[(H)
Net Program Costs
Sum (C through G)])</f>
        <v>66680586</v>
      </c>
      <c r="I433" s="103">
        <f>SUBTOTAL(109,Program272[(I)
Payments
 and Offsets])</f>
        <v>-62153335</v>
      </c>
      <c r="J433" s="103">
        <f>SUBTOTAL(109,Program272[(J)
Accounts Payable Balance
(H + I)])</f>
        <v>4527251</v>
      </c>
      <c r="K433" s="103">
        <f>SUBTOTAL(109,Program272[(K)
Established 
Accounts Receivable])</f>
        <v>1153572</v>
      </c>
      <c r="L433" s="103">
        <f>SUBTOTAL(109,Program272[(L)
Recovered
 Accounts Receivable])</f>
        <v>-289805</v>
      </c>
      <c r="M433" s="103">
        <f>SUBTOTAL(109,Program272[(M)
Accounts Receivable Balance
(K + L)])</f>
        <v>863767</v>
      </c>
      <c r="N433" s="103">
        <f>SUBTOTAL(109,Program272[(N)
Net Balance
(J minus M)])</f>
        <v>3663484</v>
      </c>
    </row>
    <row r="434" spans="1:14" outlineLevel="2" x14ac:dyDescent="0.35">
      <c r="A434" s="116" t="s">
        <v>33</v>
      </c>
      <c r="B434" s="115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</row>
    <row r="435" spans="1:14" ht="77.5" outlineLevel="2" x14ac:dyDescent="0.35">
      <c r="A435" s="113" t="s">
        <v>185</v>
      </c>
      <c r="B435" s="112" t="s">
        <v>184</v>
      </c>
      <c r="C435" s="111" t="s">
        <v>183</v>
      </c>
      <c r="D435" s="111" t="s">
        <v>182</v>
      </c>
      <c r="E435" s="111" t="s">
        <v>181</v>
      </c>
      <c r="F435" s="111" t="s">
        <v>180</v>
      </c>
      <c r="G435" s="111" t="s">
        <v>179</v>
      </c>
      <c r="H435" s="110" t="s">
        <v>674</v>
      </c>
      <c r="I435" s="110" t="s">
        <v>178</v>
      </c>
      <c r="J435" s="110" t="s">
        <v>177</v>
      </c>
      <c r="K435" s="111" t="s">
        <v>176</v>
      </c>
      <c r="L435" s="110" t="s">
        <v>175</v>
      </c>
      <c r="M435" s="110" t="s">
        <v>174</v>
      </c>
      <c r="N435" s="109" t="s">
        <v>173</v>
      </c>
    </row>
    <row r="436" spans="1:14" ht="30" customHeight="1" outlineLevel="2" x14ac:dyDescent="0.35">
      <c r="A436" s="77" t="s">
        <v>567</v>
      </c>
      <c r="B436" s="108" t="s">
        <v>215</v>
      </c>
      <c r="C436" s="106">
        <v>3169</v>
      </c>
      <c r="D436" s="106">
        <v>0</v>
      </c>
      <c r="E436" s="106">
        <v>0</v>
      </c>
      <c r="F436" s="106">
        <v>0</v>
      </c>
      <c r="G436" s="106">
        <v>0</v>
      </c>
      <c r="H436" s="106">
        <v>3169</v>
      </c>
      <c r="I436" s="106">
        <v>0</v>
      </c>
      <c r="J436" s="106">
        <v>3169</v>
      </c>
      <c r="K436" s="106">
        <v>0</v>
      </c>
      <c r="L436" s="106">
        <v>0</v>
      </c>
      <c r="M436" s="106">
        <v>0</v>
      </c>
      <c r="N436" s="106">
        <v>3169</v>
      </c>
    </row>
    <row r="437" spans="1:14" ht="30" customHeight="1" outlineLevel="2" x14ac:dyDescent="0.35">
      <c r="A437" s="77" t="s">
        <v>567</v>
      </c>
      <c r="B437" s="108" t="s">
        <v>214</v>
      </c>
      <c r="C437" s="106">
        <v>5401</v>
      </c>
      <c r="D437" s="106">
        <v>0</v>
      </c>
      <c r="E437" s="106">
        <v>0</v>
      </c>
      <c r="F437" s="106">
        <v>0</v>
      </c>
      <c r="G437" s="106">
        <v>0</v>
      </c>
      <c r="H437" s="106">
        <v>5401</v>
      </c>
      <c r="I437" s="106">
        <v>-1000</v>
      </c>
      <c r="J437" s="106">
        <v>4401</v>
      </c>
      <c r="K437" s="106">
        <v>0</v>
      </c>
      <c r="L437" s="106">
        <v>0</v>
      </c>
      <c r="M437" s="106">
        <v>0</v>
      </c>
      <c r="N437" s="106">
        <v>4401</v>
      </c>
    </row>
    <row r="438" spans="1:14" ht="30" customHeight="1" outlineLevel="2" x14ac:dyDescent="0.35">
      <c r="A438" s="77" t="s">
        <v>567</v>
      </c>
      <c r="B438" s="108" t="s">
        <v>212</v>
      </c>
      <c r="C438" s="106">
        <v>1065</v>
      </c>
      <c r="D438" s="106">
        <v>0</v>
      </c>
      <c r="E438" s="106">
        <v>0</v>
      </c>
      <c r="F438" s="106">
        <v>0</v>
      </c>
      <c r="G438" s="106">
        <v>0</v>
      </c>
      <c r="H438" s="106">
        <v>1065</v>
      </c>
      <c r="I438" s="106">
        <v>-1000</v>
      </c>
      <c r="J438" s="106">
        <v>65</v>
      </c>
      <c r="K438" s="106">
        <v>0</v>
      </c>
      <c r="L438" s="106">
        <v>0</v>
      </c>
      <c r="M438" s="106">
        <v>0</v>
      </c>
      <c r="N438" s="106">
        <v>65</v>
      </c>
    </row>
    <row r="439" spans="1:14" ht="30" customHeight="1" outlineLevel="2" x14ac:dyDescent="0.35">
      <c r="A439" s="77" t="s">
        <v>567</v>
      </c>
      <c r="B439" s="108" t="s">
        <v>220</v>
      </c>
      <c r="C439" s="106">
        <v>8772</v>
      </c>
      <c r="D439" s="106">
        <v>0</v>
      </c>
      <c r="E439" s="106">
        <v>0</v>
      </c>
      <c r="F439" s="106">
        <v>0</v>
      </c>
      <c r="G439" s="106">
        <v>0</v>
      </c>
      <c r="H439" s="106">
        <v>8772</v>
      </c>
      <c r="I439" s="106">
        <v>-2009</v>
      </c>
      <c r="J439" s="106">
        <v>6763</v>
      </c>
      <c r="K439" s="106">
        <v>0</v>
      </c>
      <c r="L439" s="106">
        <v>0</v>
      </c>
      <c r="M439" s="106">
        <v>0</v>
      </c>
      <c r="N439" s="106">
        <v>6763</v>
      </c>
    </row>
    <row r="440" spans="1:14" ht="30" customHeight="1" outlineLevel="2" x14ac:dyDescent="0.35">
      <c r="A440" s="77" t="s">
        <v>567</v>
      </c>
      <c r="B440" s="108" t="s">
        <v>219</v>
      </c>
      <c r="C440" s="106">
        <v>84258</v>
      </c>
      <c r="D440" s="106">
        <v>0</v>
      </c>
      <c r="E440" s="106">
        <v>0</v>
      </c>
      <c r="F440" s="106">
        <v>0</v>
      </c>
      <c r="G440" s="106">
        <v>0</v>
      </c>
      <c r="H440" s="106">
        <v>84258</v>
      </c>
      <c r="I440" s="106">
        <v>-2880</v>
      </c>
      <c r="J440" s="106">
        <v>81378</v>
      </c>
      <c r="K440" s="106">
        <v>0</v>
      </c>
      <c r="L440" s="106">
        <v>0</v>
      </c>
      <c r="M440" s="106">
        <v>0</v>
      </c>
      <c r="N440" s="106">
        <v>81378</v>
      </c>
    </row>
    <row r="441" spans="1:14" ht="30" customHeight="1" outlineLevel="1" x14ac:dyDescent="0.35">
      <c r="A441" s="77" t="s">
        <v>567</v>
      </c>
      <c r="B441" s="108" t="s">
        <v>218</v>
      </c>
      <c r="C441" s="106">
        <v>98339</v>
      </c>
      <c r="D441" s="106">
        <v>-242</v>
      </c>
      <c r="E441" s="106">
        <v>0</v>
      </c>
      <c r="F441" s="106">
        <v>0</v>
      </c>
      <c r="G441" s="106">
        <v>0</v>
      </c>
      <c r="H441" s="106">
        <v>98097</v>
      </c>
      <c r="I441" s="106">
        <v>-5803</v>
      </c>
      <c r="J441" s="106">
        <v>92294</v>
      </c>
      <c r="K441" s="106">
        <v>0</v>
      </c>
      <c r="L441" s="106">
        <v>0</v>
      </c>
      <c r="M441" s="106">
        <v>0</v>
      </c>
      <c r="N441" s="106">
        <v>92294</v>
      </c>
    </row>
    <row r="442" spans="1:14" ht="30" customHeight="1" outlineLevel="1" x14ac:dyDescent="0.35">
      <c r="A442" s="77" t="s">
        <v>567</v>
      </c>
      <c r="B442" s="108" t="s">
        <v>209</v>
      </c>
      <c r="C442" s="106">
        <v>107115</v>
      </c>
      <c r="D442" s="106">
        <v>0</v>
      </c>
      <c r="E442" s="106">
        <v>0</v>
      </c>
      <c r="F442" s="106">
        <v>0</v>
      </c>
      <c r="G442" s="106">
        <v>0</v>
      </c>
      <c r="H442" s="106">
        <v>107115</v>
      </c>
      <c r="I442" s="106">
        <v>-46927</v>
      </c>
      <c r="J442" s="106">
        <v>60188</v>
      </c>
      <c r="K442" s="106">
        <v>0</v>
      </c>
      <c r="L442" s="106">
        <v>0</v>
      </c>
      <c r="M442" s="106">
        <v>0</v>
      </c>
      <c r="N442" s="106">
        <v>60188</v>
      </c>
    </row>
    <row r="443" spans="1:14" ht="30" customHeight="1" outlineLevel="1" x14ac:dyDescent="0.35">
      <c r="A443" s="77" t="s">
        <v>567</v>
      </c>
      <c r="B443" s="108" t="s">
        <v>208</v>
      </c>
      <c r="C443" s="106">
        <v>732726</v>
      </c>
      <c r="D443" s="106">
        <v>-2357</v>
      </c>
      <c r="E443" s="106">
        <v>0</v>
      </c>
      <c r="F443" s="106">
        <v>0</v>
      </c>
      <c r="G443" s="106">
        <v>0</v>
      </c>
      <c r="H443" s="106">
        <v>730369</v>
      </c>
      <c r="I443" s="106">
        <v>-500095</v>
      </c>
      <c r="J443" s="106">
        <v>230274</v>
      </c>
      <c r="K443" s="106">
        <v>0</v>
      </c>
      <c r="L443" s="106">
        <v>0</v>
      </c>
      <c r="M443" s="106">
        <v>0</v>
      </c>
      <c r="N443" s="106">
        <v>230274</v>
      </c>
    </row>
    <row r="444" spans="1:14" ht="30" customHeight="1" outlineLevel="2" x14ac:dyDescent="0.35">
      <c r="A444" s="77" t="s">
        <v>567</v>
      </c>
      <c r="B444" s="108" t="s">
        <v>206</v>
      </c>
      <c r="C444" s="106">
        <v>939183</v>
      </c>
      <c r="D444" s="106">
        <v>-830</v>
      </c>
      <c r="E444" s="106">
        <v>0</v>
      </c>
      <c r="F444" s="106">
        <v>0</v>
      </c>
      <c r="G444" s="106">
        <v>0</v>
      </c>
      <c r="H444" s="106">
        <v>938353</v>
      </c>
      <c r="I444" s="106">
        <v>-629984</v>
      </c>
      <c r="J444" s="106">
        <v>308369</v>
      </c>
      <c r="K444" s="106">
        <v>0</v>
      </c>
      <c r="L444" s="106">
        <v>0</v>
      </c>
      <c r="M444" s="106">
        <v>0</v>
      </c>
      <c r="N444" s="106">
        <v>308369</v>
      </c>
    </row>
    <row r="445" spans="1:14" ht="30" customHeight="1" outlineLevel="2" x14ac:dyDescent="0.35">
      <c r="A445" s="77" t="s">
        <v>567</v>
      </c>
      <c r="B445" s="108" t="s">
        <v>205</v>
      </c>
      <c r="C445" s="106">
        <v>830275</v>
      </c>
      <c r="D445" s="106">
        <v>-5667</v>
      </c>
      <c r="E445" s="106">
        <v>0</v>
      </c>
      <c r="F445" s="106">
        <v>0</v>
      </c>
      <c r="G445" s="106">
        <v>0</v>
      </c>
      <c r="H445" s="106">
        <v>824608</v>
      </c>
      <c r="I445" s="106">
        <v>-616600</v>
      </c>
      <c r="J445" s="106">
        <v>208008</v>
      </c>
      <c r="K445" s="106">
        <v>0</v>
      </c>
      <c r="L445" s="106">
        <v>0</v>
      </c>
      <c r="M445" s="106">
        <v>0</v>
      </c>
      <c r="N445" s="106">
        <v>208008</v>
      </c>
    </row>
    <row r="446" spans="1:14" ht="30" customHeight="1" outlineLevel="2" x14ac:dyDescent="0.35">
      <c r="A446" s="77" t="s">
        <v>567</v>
      </c>
      <c r="B446" s="108" t="s">
        <v>204</v>
      </c>
      <c r="C446" s="106">
        <v>891533</v>
      </c>
      <c r="D446" s="106">
        <v>0</v>
      </c>
      <c r="E446" s="106">
        <v>0</v>
      </c>
      <c r="F446" s="106">
        <v>0</v>
      </c>
      <c r="G446" s="106">
        <v>0</v>
      </c>
      <c r="H446" s="106">
        <v>891533</v>
      </c>
      <c r="I446" s="106">
        <v>-649528</v>
      </c>
      <c r="J446" s="106">
        <v>242005</v>
      </c>
      <c r="K446" s="106">
        <v>0</v>
      </c>
      <c r="L446" s="106">
        <v>0</v>
      </c>
      <c r="M446" s="106">
        <v>0</v>
      </c>
      <c r="N446" s="106">
        <v>242005</v>
      </c>
    </row>
    <row r="447" spans="1:14" ht="30" customHeight="1" outlineLevel="2" x14ac:dyDescent="0.35">
      <c r="A447" s="77" t="s">
        <v>567</v>
      </c>
      <c r="B447" s="108" t="s">
        <v>203</v>
      </c>
      <c r="C447" s="106">
        <v>892019</v>
      </c>
      <c r="D447" s="106">
        <v>-946</v>
      </c>
      <c r="E447" s="106">
        <v>0</v>
      </c>
      <c r="F447" s="106">
        <v>0</v>
      </c>
      <c r="G447" s="106">
        <v>0</v>
      </c>
      <c r="H447" s="106">
        <v>891073</v>
      </c>
      <c r="I447" s="106">
        <v>-717431</v>
      </c>
      <c r="J447" s="106">
        <v>173642</v>
      </c>
      <c r="K447" s="106">
        <v>0</v>
      </c>
      <c r="L447" s="106">
        <v>0</v>
      </c>
      <c r="M447" s="106">
        <v>0</v>
      </c>
      <c r="N447" s="106">
        <v>173642</v>
      </c>
    </row>
    <row r="448" spans="1:14" ht="16" outlineLevel="2" thickBot="1" x14ac:dyDescent="0.4">
      <c r="A448" s="105" t="s">
        <v>446</v>
      </c>
      <c r="B448" s="79" t="s">
        <v>12</v>
      </c>
      <c r="C448" s="103">
        <f>SUBTOTAL(109,Program276[(C)
Program
Costs])</f>
        <v>4593855</v>
      </c>
      <c r="D448" s="103">
        <f>SUBTOTAL(109,Program276[(D)
Prior Period Adjustments])</f>
        <v>-10042</v>
      </c>
      <c r="E448" s="103">
        <f>SUBTOTAL(109,Program276[(E)
Current Period Desk 
Reviews])</f>
        <v>0</v>
      </c>
      <c r="F448" s="103">
        <f>SUBTOTAL(109,Program276[(F)
Current Period 
Final 
Audits])</f>
        <v>0</v>
      </c>
      <c r="G448" s="103">
        <f>SUBTOTAL(109,Program276[(G)
Current Period 
Other Adjustments])</f>
        <v>0</v>
      </c>
      <c r="H448" s="103">
        <f>SUBTOTAL(109,Program276[(H)
Net Program Costs
Sum (C through G)])</f>
        <v>4583813</v>
      </c>
      <c r="I448" s="103">
        <f>SUBTOTAL(109,Program276[(I)
Payments
 and Offsets])</f>
        <v>-3173257</v>
      </c>
      <c r="J448" s="103">
        <f>SUBTOTAL(109,Program276[(J)
Accounts Payable Balance
(H + I)])</f>
        <v>1410556</v>
      </c>
      <c r="K448" s="103">
        <f>SUBTOTAL(109,Program276[(K)
Established 
Accounts Receivable])</f>
        <v>0</v>
      </c>
      <c r="L448" s="103">
        <f>SUBTOTAL(109,Program276[(L)
Recovered
 Accounts Receivable])</f>
        <v>0</v>
      </c>
      <c r="M448" s="103">
        <f>SUBTOTAL(109,Program276[(M)
Accounts Receivable Balance
(K + L)])</f>
        <v>0</v>
      </c>
      <c r="N448" s="103">
        <f>SUBTOTAL(109,Program276[(N)
Net Balance
(J minus M)])</f>
        <v>1410556</v>
      </c>
    </row>
    <row r="449" spans="1:14" outlineLevel="2" x14ac:dyDescent="0.35">
      <c r="A449" s="116" t="s">
        <v>33</v>
      </c>
      <c r="B449" s="115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</row>
    <row r="450" spans="1:14" ht="77.5" outlineLevel="2" x14ac:dyDescent="0.35">
      <c r="A450" s="113" t="s">
        <v>185</v>
      </c>
      <c r="B450" s="112" t="s">
        <v>184</v>
      </c>
      <c r="C450" s="111" t="s">
        <v>183</v>
      </c>
      <c r="D450" s="111" t="s">
        <v>182</v>
      </c>
      <c r="E450" s="111" t="s">
        <v>181</v>
      </c>
      <c r="F450" s="111" t="s">
        <v>180</v>
      </c>
      <c r="G450" s="111" t="s">
        <v>179</v>
      </c>
      <c r="H450" s="110" t="s">
        <v>674</v>
      </c>
      <c r="I450" s="110" t="s">
        <v>178</v>
      </c>
      <c r="J450" s="110" t="s">
        <v>177</v>
      </c>
      <c r="K450" s="111" t="s">
        <v>176</v>
      </c>
      <c r="L450" s="110" t="s">
        <v>175</v>
      </c>
      <c r="M450" s="110" t="s">
        <v>174</v>
      </c>
      <c r="N450" s="109" t="s">
        <v>173</v>
      </c>
    </row>
    <row r="451" spans="1:14" ht="62" outlineLevel="2" x14ac:dyDescent="0.35">
      <c r="A451" s="77" t="s">
        <v>566</v>
      </c>
      <c r="B451" s="108" t="s">
        <v>215</v>
      </c>
      <c r="C451" s="106">
        <v>27368</v>
      </c>
      <c r="D451" s="106">
        <v>0</v>
      </c>
      <c r="E451" s="106">
        <v>0</v>
      </c>
      <c r="F451" s="106">
        <v>0</v>
      </c>
      <c r="G451" s="106">
        <v>0</v>
      </c>
      <c r="H451" s="106">
        <v>27368</v>
      </c>
      <c r="I451" s="106">
        <v>0</v>
      </c>
      <c r="J451" s="106">
        <v>27368</v>
      </c>
      <c r="K451" s="106">
        <v>0</v>
      </c>
      <c r="L451" s="106">
        <v>0</v>
      </c>
      <c r="M451" s="106">
        <v>0</v>
      </c>
      <c r="N451" s="106">
        <v>27368</v>
      </c>
    </row>
    <row r="452" spans="1:14" ht="62" outlineLevel="2" x14ac:dyDescent="0.35">
      <c r="A452" s="77" t="s">
        <v>566</v>
      </c>
      <c r="B452" s="108" t="s">
        <v>214</v>
      </c>
      <c r="C452" s="106">
        <v>68320</v>
      </c>
      <c r="D452" s="106">
        <v>0</v>
      </c>
      <c r="E452" s="106">
        <v>0</v>
      </c>
      <c r="F452" s="106">
        <v>0</v>
      </c>
      <c r="G452" s="106">
        <v>0</v>
      </c>
      <c r="H452" s="106">
        <v>68320</v>
      </c>
      <c r="I452" s="106">
        <v>-1000</v>
      </c>
      <c r="J452" s="106">
        <v>67320</v>
      </c>
      <c r="K452" s="106">
        <v>0</v>
      </c>
      <c r="L452" s="106">
        <v>0</v>
      </c>
      <c r="M452" s="106">
        <v>0</v>
      </c>
      <c r="N452" s="106">
        <v>67320</v>
      </c>
    </row>
    <row r="453" spans="1:14" ht="62" outlineLevel="2" x14ac:dyDescent="0.35">
      <c r="A453" s="77" t="s">
        <v>566</v>
      </c>
      <c r="B453" s="108" t="s">
        <v>212</v>
      </c>
      <c r="C453" s="106">
        <v>55727</v>
      </c>
      <c r="D453" s="106">
        <v>0</v>
      </c>
      <c r="E453" s="106">
        <v>0</v>
      </c>
      <c r="F453" s="106">
        <v>0</v>
      </c>
      <c r="G453" s="106">
        <v>0</v>
      </c>
      <c r="H453" s="106">
        <v>55727</v>
      </c>
      <c r="I453" s="106">
        <v>-10004</v>
      </c>
      <c r="J453" s="106">
        <v>45723</v>
      </c>
      <c r="K453" s="106">
        <v>0</v>
      </c>
      <c r="L453" s="106">
        <v>0</v>
      </c>
      <c r="M453" s="106">
        <v>0</v>
      </c>
      <c r="N453" s="106">
        <v>45723</v>
      </c>
    </row>
    <row r="454" spans="1:14" ht="62" outlineLevel="2" x14ac:dyDescent="0.35">
      <c r="A454" s="77" t="s">
        <v>566</v>
      </c>
      <c r="B454" s="108" t="s">
        <v>220</v>
      </c>
      <c r="C454" s="106">
        <v>86047</v>
      </c>
      <c r="D454" s="106">
        <v>-1479</v>
      </c>
      <c r="E454" s="106">
        <v>0</v>
      </c>
      <c r="F454" s="106">
        <v>0</v>
      </c>
      <c r="G454" s="106">
        <v>0</v>
      </c>
      <c r="H454" s="106">
        <v>84568</v>
      </c>
      <c r="I454" s="106">
        <v>-18907</v>
      </c>
      <c r="J454" s="106">
        <v>65661</v>
      </c>
      <c r="K454" s="106">
        <v>0</v>
      </c>
      <c r="L454" s="106">
        <v>0</v>
      </c>
      <c r="M454" s="106">
        <v>0</v>
      </c>
      <c r="N454" s="106">
        <v>65661</v>
      </c>
    </row>
    <row r="455" spans="1:14" ht="62" outlineLevel="2" x14ac:dyDescent="0.35">
      <c r="A455" s="77" t="s">
        <v>566</v>
      </c>
      <c r="B455" s="108" t="s">
        <v>219</v>
      </c>
      <c r="C455" s="106">
        <v>571847</v>
      </c>
      <c r="D455" s="106">
        <v>-133</v>
      </c>
      <c r="E455" s="106">
        <v>0</v>
      </c>
      <c r="F455" s="106">
        <v>0</v>
      </c>
      <c r="G455" s="106">
        <v>0</v>
      </c>
      <c r="H455" s="106">
        <v>571714</v>
      </c>
      <c r="I455" s="106">
        <v>-49899</v>
      </c>
      <c r="J455" s="106">
        <v>521815</v>
      </c>
      <c r="K455" s="106">
        <v>0</v>
      </c>
      <c r="L455" s="106">
        <v>0</v>
      </c>
      <c r="M455" s="106">
        <v>0</v>
      </c>
      <c r="N455" s="106">
        <v>521815</v>
      </c>
    </row>
    <row r="456" spans="1:14" ht="62" outlineLevel="2" x14ac:dyDescent="0.35">
      <c r="A456" s="77" t="s">
        <v>566</v>
      </c>
      <c r="B456" s="108" t="s">
        <v>218</v>
      </c>
      <c r="C456" s="106">
        <v>606340</v>
      </c>
      <c r="D456" s="106">
        <v>-997</v>
      </c>
      <c r="E456" s="106">
        <v>0</v>
      </c>
      <c r="F456" s="106">
        <v>0</v>
      </c>
      <c r="G456" s="106">
        <v>0</v>
      </c>
      <c r="H456" s="106">
        <v>605343</v>
      </c>
      <c r="I456" s="106">
        <v>-154725</v>
      </c>
      <c r="J456" s="106">
        <v>450618</v>
      </c>
      <c r="K456" s="106">
        <v>0</v>
      </c>
      <c r="L456" s="106">
        <v>0</v>
      </c>
      <c r="M456" s="106">
        <v>0</v>
      </c>
      <c r="N456" s="106">
        <v>450618</v>
      </c>
    </row>
    <row r="457" spans="1:14" ht="62" outlineLevel="2" x14ac:dyDescent="0.35">
      <c r="A457" s="77" t="s">
        <v>566</v>
      </c>
      <c r="B457" s="108" t="s">
        <v>209</v>
      </c>
      <c r="C457" s="106">
        <v>1238142</v>
      </c>
      <c r="D457" s="106">
        <v>0</v>
      </c>
      <c r="E457" s="106">
        <v>0</v>
      </c>
      <c r="F457" s="106">
        <v>0</v>
      </c>
      <c r="G457" s="106">
        <v>0</v>
      </c>
      <c r="H457" s="106">
        <v>1238142</v>
      </c>
      <c r="I457" s="106">
        <v>-557867</v>
      </c>
      <c r="J457" s="106">
        <v>680275</v>
      </c>
      <c r="K457" s="106">
        <v>0</v>
      </c>
      <c r="L457" s="106">
        <v>0</v>
      </c>
      <c r="M457" s="106">
        <v>0</v>
      </c>
      <c r="N457" s="106">
        <v>680275</v>
      </c>
    </row>
    <row r="458" spans="1:14" ht="62" outlineLevel="2" x14ac:dyDescent="0.35">
      <c r="A458" s="77" t="s">
        <v>566</v>
      </c>
      <c r="B458" s="108" t="s">
        <v>208</v>
      </c>
      <c r="C458" s="106">
        <v>6503528</v>
      </c>
      <c r="D458" s="106">
        <v>-4780</v>
      </c>
      <c r="E458" s="106">
        <v>0</v>
      </c>
      <c r="F458" s="106">
        <v>0</v>
      </c>
      <c r="G458" s="106">
        <v>0</v>
      </c>
      <c r="H458" s="106">
        <v>6498748</v>
      </c>
      <c r="I458" s="106">
        <v>-4834944</v>
      </c>
      <c r="J458" s="106">
        <v>1663804</v>
      </c>
      <c r="K458" s="106">
        <v>0</v>
      </c>
      <c r="L458" s="106">
        <v>0</v>
      </c>
      <c r="M458" s="106">
        <v>0</v>
      </c>
      <c r="N458" s="106">
        <v>1663804</v>
      </c>
    </row>
    <row r="459" spans="1:14" ht="62" outlineLevel="2" x14ac:dyDescent="0.35">
      <c r="A459" s="77" t="s">
        <v>566</v>
      </c>
      <c r="B459" s="108" t="s">
        <v>206</v>
      </c>
      <c r="C459" s="106">
        <v>7868471</v>
      </c>
      <c r="D459" s="106">
        <v>-12102</v>
      </c>
      <c r="E459" s="106">
        <v>0</v>
      </c>
      <c r="F459" s="106">
        <v>0</v>
      </c>
      <c r="G459" s="106">
        <v>0</v>
      </c>
      <c r="H459" s="106">
        <v>7856369</v>
      </c>
      <c r="I459" s="106">
        <v>-6178623</v>
      </c>
      <c r="J459" s="106">
        <v>1677746</v>
      </c>
      <c r="K459" s="106">
        <v>0</v>
      </c>
      <c r="L459" s="106">
        <v>0</v>
      </c>
      <c r="M459" s="106">
        <v>0</v>
      </c>
      <c r="N459" s="106">
        <v>1677746</v>
      </c>
    </row>
    <row r="460" spans="1:14" ht="62" outlineLevel="2" x14ac:dyDescent="0.35">
      <c r="A460" s="77" t="s">
        <v>566</v>
      </c>
      <c r="B460" s="108" t="s">
        <v>205</v>
      </c>
      <c r="C460" s="106">
        <v>8811989</v>
      </c>
      <c r="D460" s="106">
        <v>-35957</v>
      </c>
      <c r="E460" s="106">
        <v>0</v>
      </c>
      <c r="F460" s="106">
        <v>0</v>
      </c>
      <c r="G460" s="106">
        <v>0</v>
      </c>
      <c r="H460" s="106">
        <v>8776032</v>
      </c>
      <c r="I460" s="106">
        <v>-8520670</v>
      </c>
      <c r="J460" s="106">
        <v>255362</v>
      </c>
      <c r="K460" s="106">
        <v>33477</v>
      </c>
      <c r="L460" s="106">
        <v>-11081</v>
      </c>
      <c r="M460" s="106">
        <v>22396</v>
      </c>
      <c r="N460" s="106">
        <v>232966</v>
      </c>
    </row>
    <row r="461" spans="1:14" ht="62" outlineLevel="2" x14ac:dyDescent="0.35">
      <c r="A461" s="77" t="s">
        <v>566</v>
      </c>
      <c r="B461" s="108" t="s">
        <v>204</v>
      </c>
      <c r="C461" s="106">
        <v>8524567</v>
      </c>
      <c r="D461" s="106">
        <v>-12688</v>
      </c>
      <c r="E461" s="106">
        <v>0</v>
      </c>
      <c r="F461" s="106">
        <v>0</v>
      </c>
      <c r="G461" s="106">
        <v>0</v>
      </c>
      <c r="H461" s="106">
        <v>8511879</v>
      </c>
      <c r="I461" s="106">
        <v>-8403076</v>
      </c>
      <c r="J461" s="106">
        <v>108803</v>
      </c>
      <c r="K461" s="106">
        <v>2076</v>
      </c>
      <c r="L461" s="106">
        <v>0</v>
      </c>
      <c r="M461" s="106">
        <v>2076</v>
      </c>
      <c r="N461" s="106">
        <v>106727</v>
      </c>
    </row>
    <row r="462" spans="1:14" ht="16" outlineLevel="2" thickBot="1" x14ac:dyDescent="0.4">
      <c r="A462" s="105" t="s">
        <v>445</v>
      </c>
      <c r="B462" s="79" t="s">
        <v>12</v>
      </c>
      <c r="C462" s="103">
        <f>SUBTOTAL(109,Program292[(C)
Program
Costs])</f>
        <v>34362346</v>
      </c>
      <c r="D462" s="103">
        <f>SUBTOTAL(109,Program292[(D)
Prior Period Adjustments])</f>
        <v>-68136</v>
      </c>
      <c r="E462" s="103">
        <f>SUBTOTAL(109,Program292[(E)
Current Period Desk 
Reviews])</f>
        <v>0</v>
      </c>
      <c r="F462" s="103">
        <f>SUBTOTAL(109,Program292[(F)
Current Period 
Final 
Audits])</f>
        <v>0</v>
      </c>
      <c r="G462" s="103">
        <f>SUBTOTAL(109,Program292[(G)
Current Period 
Other Adjustments])</f>
        <v>0</v>
      </c>
      <c r="H462" s="103">
        <f>SUBTOTAL(109,Program292[(H)
Net Program Costs
Sum (C through G)])</f>
        <v>34294210</v>
      </c>
      <c r="I462" s="103">
        <f>SUBTOTAL(109,Program292[(I)
Payments
 and Offsets])</f>
        <v>-28729715</v>
      </c>
      <c r="J462" s="103">
        <f>SUBTOTAL(109,Program292[(J)
Accounts Payable Balance
(H + I)])</f>
        <v>5564495</v>
      </c>
      <c r="K462" s="103">
        <f>SUBTOTAL(109,Program292[(K)
Established 
Accounts Receivable])</f>
        <v>35553</v>
      </c>
      <c r="L462" s="103">
        <f>SUBTOTAL(109,Program292[(L)
Recovered
 Accounts Receivable])</f>
        <v>-11081</v>
      </c>
      <c r="M462" s="103">
        <f>SUBTOTAL(109,Program292[(M)
Accounts Receivable Balance
(K + L)])</f>
        <v>24472</v>
      </c>
      <c r="N462" s="103">
        <f>SUBTOTAL(109,Program292[(N)
Net Balance
(J minus M)])</f>
        <v>5540023</v>
      </c>
    </row>
    <row r="463" spans="1:14" outlineLevel="2" x14ac:dyDescent="0.35">
      <c r="A463" s="116" t="s">
        <v>33</v>
      </c>
      <c r="B463" s="115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</row>
    <row r="464" spans="1:14" ht="77.5" outlineLevel="2" x14ac:dyDescent="0.35">
      <c r="A464" s="113" t="s">
        <v>185</v>
      </c>
      <c r="B464" s="112" t="s">
        <v>184</v>
      </c>
      <c r="C464" s="111" t="s">
        <v>183</v>
      </c>
      <c r="D464" s="111" t="s">
        <v>182</v>
      </c>
      <c r="E464" s="111" t="s">
        <v>181</v>
      </c>
      <c r="F464" s="111" t="s">
        <v>180</v>
      </c>
      <c r="G464" s="111" t="s">
        <v>179</v>
      </c>
      <c r="H464" s="110" t="s">
        <v>674</v>
      </c>
      <c r="I464" s="110" t="s">
        <v>178</v>
      </c>
      <c r="J464" s="110" t="s">
        <v>177</v>
      </c>
      <c r="K464" s="111" t="s">
        <v>176</v>
      </c>
      <c r="L464" s="110" t="s">
        <v>175</v>
      </c>
      <c r="M464" s="110" t="s">
        <v>174</v>
      </c>
      <c r="N464" s="109" t="s">
        <v>173</v>
      </c>
    </row>
    <row r="465" spans="1:14" ht="46.5" outlineLevel="1" x14ac:dyDescent="0.35">
      <c r="A465" s="77" t="s">
        <v>565</v>
      </c>
      <c r="B465" s="108" t="s">
        <v>203</v>
      </c>
      <c r="C465" s="106">
        <v>347374</v>
      </c>
      <c r="D465" s="106">
        <v>-974</v>
      </c>
      <c r="E465" s="106">
        <v>0</v>
      </c>
      <c r="F465" s="106">
        <v>0</v>
      </c>
      <c r="G465" s="106">
        <v>0</v>
      </c>
      <c r="H465" s="106">
        <v>346400</v>
      </c>
      <c r="I465" s="106">
        <v>-287064</v>
      </c>
      <c r="J465" s="106">
        <v>59336</v>
      </c>
      <c r="K465" s="106">
        <v>0</v>
      </c>
      <c r="L465" s="106">
        <v>0</v>
      </c>
      <c r="M465" s="106">
        <v>0</v>
      </c>
      <c r="N465" s="106">
        <v>59336</v>
      </c>
    </row>
    <row r="466" spans="1:14" ht="45" customHeight="1" outlineLevel="1" x14ac:dyDescent="0.35">
      <c r="A466" s="77" t="s">
        <v>565</v>
      </c>
      <c r="B466" s="108" t="s">
        <v>202</v>
      </c>
      <c r="C466" s="106">
        <v>216173</v>
      </c>
      <c r="D466" s="106">
        <v>-224</v>
      </c>
      <c r="E466" s="106">
        <v>0</v>
      </c>
      <c r="F466" s="106">
        <v>0</v>
      </c>
      <c r="G466" s="106">
        <v>0</v>
      </c>
      <c r="H466" s="106">
        <v>215949</v>
      </c>
      <c r="I466" s="106">
        <v>-138573</v>
      </c>
      <c r="J466" s="106">
        <v>77376</v>
      </c>
      <c r="K466" s="106">
        <v>0</v>
      </c>
      <c r="L466" s="106">
        <v>0</v>
      </c>
      <c r="M466" s="106">
        <v>0</v>
      </c>
      <c r="N466" s="106">
        <v>77376</v>
      </c>
    </row>
    <row r="467" spans="1:14" ht="45" customHeight="1" outlineLevel="1" x14ac:dyDescent="0.35">
      <c r="A467" s="77" t="s">
        <v>565</v>
      </c>
      <c r="B467" s="108" t="s">
        <v>201</v>
      </c>
      <c r="C467" s="106">
        <v>221880</v>
      </c>
      <c r="D467" s="106">
        <v>-243</v>
      </c>
      <c r="E467" s="106">
        <v>0</v>
      </c>
      <c r="F467" s="106">
        <v>0</v>
      </c>
      <c r="G467" s="106">
        <v>0</v>
      </c>
      <c r="H467" s="106">
        <v>221637</v>
      </c>
      <c r="I467" s="106">
        <v>-135227</v>
      </c>
      <c r="J467" s="106">
        <v>86410</v>
      </c>
      <c r="K467" s="106">
        <v>0</v>
      </c>
      <c r="L467" s="106">
        <v>0</v>
      </c>
      <c r="M467" s="106">
        <v>0</v>
      </c>
      <c r="N467" s="106">
        <v>86410</v>
      </c>
    </row>
    <row r="468" spans="1:14" ht="46.5" outlineLevel="2" x14ac:dyDescent="0.35">
      <c r="A468" s="77" t="s">
        <v>565</v>
      </c>
      <c r="B468" s="108" t="s">
        <v>200</v>
      </c>
      <c r="C468" s="106">
        <v>279578</v>
      </c>
      <c r="D468" s="106">
        <v>-942</v>
      </c>
      <c r="E468" s="106">
        <v>0</v>
      </c>
      <c r="F468" s="106">
        <v>0</v>
      </c>
      <c r="G468" s="106">
        <v>0</v>
      </c>
      <c r="H468" s="106">
        <v>278636</v>
      </c>
      <c r="I468" s="106">
        <v>-243156</v>
      </c>
      <c r="J468" s="106">
        <v>35480</v>
      </c>
      <c r="K468" s="106">
        <v>0</v>
      </c>
      <c r="L468" s="106">
        <v>0</v>
      </c>
      <c r="M468" s="106">
        <v>0</v>
      </c>
      <c r="N468" s="106">
        <v>35480</v>
      </c>
    </row>
    <row r="469" spans="1:14" ht="46.5" outlineLevel="2" x14ac:dyDescent="0.35">
      <c r="A469" s="77" t="s">
        <v>565</v>
      </c>
      <c r="B469" s="108" t="s">
        <v>199</v>
      </c>
      <c r="C469" s="106">
        <v>177550</v>
      </c>
      <c r="D469" s="106">
        <v>-1082</v>
      </c>
      <c r="E469" s="106">
        <v>0</v>
      </c>
      <c r="F469" s="106">
        <v>0</v>
      </c>
      <c r="G469" s="106">
        <v>0</v>
      </c>
      <c r="H469" s="106">
        <v>176468</v>
      </c>
      <c r="I469" s="106">
        <v>-170016</v>
      </c>
      <c r="J469" s="106">
        <v>6452</v>
      </c>
      <c r="K469" s="106">
        <v>0</v>
      </c>
      <c r="L469" s="106">
        <v>0</v>
      </c>
      <c r="M469" s="106">
        <v>0</v>
      </c>
      <c r="N469" s="106">
        <v>6452</v>
      </c>
    </row>
    <row r="470" spans="1:14" ht="46.5" outlineLevel="2" x14ac:dyDescent="0.35">
      <c r="A470" s="77" t="s">
        <v>565</v>
      </c>
      <c r="B470" s="108" t="s">
        <v>198</v>
      </c>
      <c r="C470" s="106">
        <v>194480</v>
      </c>
      <c r="D470" s="106">
        <v>-249</v>
      </c>
      <c r="E470" s="106">
        <v>0</v>
      </c>
      <c r="F470" s="106">
        <v>0</v>
      </c>
      <c r="G470" s="106">
        <v>0</v>
      </c>
      <c r="H470" s="106">
        <v>194231</v>
      </c>
      <c r="I470" s="106">
        <v>-194231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</row>
    <row r="471" spans="1:14" ht="46.5" outlineLevel="2" x14ac:dyDescent="0.35">
      <c r="A471" s="77" t="s">
        <v>565</v>
      </c>
      <c r="B471" s="108" t="s">
        <v>197</v>
      </c>
      <c r="C471" s="106">
        <v>59805</v>
      </c>
      <c r="D471" s="106">
        <v>-235</v>
      </c>
      <c r="E471" s="106">
        <v>0</v>
      </c>
      <c r="F471" s="106">
        <v>0</v>
      </c>
      <c r="G471" s="106">
        <v>0</v>
      </c>
      <c r="H471" s="106">
        <v>59570</v>
      </c>
      <c r="I471" s="106">
        <v>-59570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</row>
    <row r="472" spans="1:14" ht="46.5" outlineLevel="2" x14ac:dyDescent="0.35">
      <c r="A472" s="77" t="s">
        <v>565</v>
      </c>
      <c r="B472" s="108" t="s">
        <v>196</v>
      </c>
      <c r="C472" s="106">
        <v>23166</v>
      </c>
      <c r="D472" s="106">
        <v>0</v>
      </c>
      <c r="E472" s="106">
        <v>0</v>
      </c>
      <c r="F472" s="106">
        <v>0</v>
      </c>
      <c r="G472" s="106">
        <v>0</v>
      </c>
      <c r="H472" s="106">
        <v>23166</v>
      </c>
      <c r="I472" s="106">
        <v>-23166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</row>
    <row r="473" spans="1:14" ht="16" outlineLevel="2" thickBot="1" x14ac:dyDescent="0.4">
      <c r="A473" s="105" t="s">
        <v>444</v>
      </c>
      <c r="B473" s="79" t="s">
        <v>12</v>
      </c>
      <c r="C473" s="103">
        <f>SUBTOTAL(109,Program291[(C)
Program
Costs])</f>
        <v>1520006</v>
      </c>
      <c r="D473" s="103">
        <f>SUBTOTAL(109,Program291[(D)
Prior Period Adjustments])</f>
        <v>-3949</v>
      </c>
      <c r="E473" s="103">
        <f>SUBTOTAL(109,Program291[(E)
Current Period Desk 
Reviews])</f>
        <v>0</v>
      </c>
      <c r="F473" s="103">
        <f>SUBTOTAL(109,Program291[(F)
Current Period 
Final 
Audits])</f>
        <v>0</v>
      </c>
      <c r="G473" s="103">
        <f>SUBTOTAL(109,Program291[(G)
Current Period 
Other Adjustments])</f>
        <v>0</v>
      </c>
      <c r="H473" s="103">
        <f>SUBTOTAL(109,Program291[(H)
Net Program Costs
Sum (C through G)])</f>
        <v>1516057</v>
      </c>
      <c r="I473" s="103">
        <f>SUBTOTAL(109,Program291[(I)
Payments
 and Offsets])</f>
        <v>-1251003</v>
      </c>
      <c r="J473" s="103">
        <f>SUBTOTAL(109,Program291[(J)
Accounts Payable Balance
(H + I)])</f>
        <v>265054</v>
      </c>
      <c r="K473" s="103">
        <f>SUBTOTAL(109,Program291[(K)
Established 
Accounts Receivable])</f>
        <v>0</v>
      </c>
      <c r="L473" s="103">
        <f>SUBTOTAL(109,Program291[(L)
Recovered
 Accounts Receivable])</f>
        <v>0</v>
      </c>
      <c r="M473" s="103">
        <f>SUBTOTAL(109,Program291[(M)
Accounts Receivable Balance
(K + L)])</f>
        <v>0</v>
      </c>
      <c r="N473" s="103">
        <f>SUBTOTAL(109,Program291[(N)
Net Balance
(J minus M)])</f>
        <v>265054</v>
      </c>
    </row>
    <row r="474" spans="1:14" outlineLevel="2" x14ac:dyDescent="0.35">
      <c r="A474" s="116" t="s">
        <v>33</v>
      </c>
      <c r="B474" s="115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</row>
    <row r="475" spans="1:14" ht="77.5" outlineLevel="1" x14ac:dyDescent="0.35">
      <c r="A475" s="113" t="s">
        <v>185</v>
      </c>
      <c r="B475" s="112" t="s">
        <v>184</v>
      </c>
      <c r="C475" s="111" t="s">
        <v>183</v>
      </c>
      <c r="D475" s="111" t="s">
        <v>182</v>
      </c>
      <c r="E475" s="111" t="s">
        <v>181</v>
      </c>
      <c r="F475" s="111" t="s">
        <v>180</v>
      </c>
      <c r="G475" s="111" t="s">
        <v>179</v>
      </c>
      <c r="H475" s="110" t="s">
        <v>674</v>
      </c>
      <c r="I475" s="110" t="s">
        <v>178</v>
      </c>
      <c r="J475" s="110" t="s">
        <v>177</v>
      </c>
      <c r="K475" s="111" t="s">
        <v>176</v>
      </c>
      <c r="L475" s="110" t="s">
        <v>175</v>
      </c>
      <c r="M475" s="110" t="s">
        <v>174</v>
      </c>
      <c r="N475" s="109" t="s">
        <v>173</v>
      </c>
    </row>
    <row r="476" spans="1:14" ht="30" customHeight="1" outlineLevel="1" x14ac:dyDescent="0.35">
      <c r="A476" s="77" t="s">
        <v>564</v>
      </c>
      <c r="B476" s="108" t="s">
        <v>215</v>
      </c>
      <c r="C476" s="106">
        <v>31923</v>
      </c>
      <c r="D476" s="106">
        <v>0</v>
      </c>
      <c r="E476" s="106">
        <v>0</v>
      </c>
      <c r="F476" s="106">
        <v>0</v>
      </c>
      <c r="G476" s="106">
        <v>0</v>
      </c>
      <c r="H476" s="106">
        <v>31923</v>
      </c>
      <c r="I476" s="106">
        <v>0</v>
      </c>
      <c r="J476" s="106">
        <v>31923</v>
      </c>
      <c r="K476" s="106">
        <v>0</v>
      </c>
      <c r="L476" s="106">
        <v>0</v>
      </c>
      <c r="M476" s="106">
        <v>0</v>
      </c>
      <c r="N476" s="106">
        <v>31923</v>
      </c>
    </row>
    <row r="477" spans="1:14" ht="30" customHeight="1" outlineLevel="1" x14ac:dyDescent="0.35">
      <c r="A477" s="77" t="s">
        <v>564</v>
      </c>
      <c r="B477" s="108" t="s">
        <v>214</v>
      </c>
      <c r="C477" s="106">
        <v>52760</v>
      </c>
      <c r="D477" s="106">
        <v>0</v>
      </c>
      <c r="E477" s="106">
        <v>0</v>
      </c>
      <c r="F477" s="106">
        <v>0</v>
      </c>
      <c r="G477" s="106">
        <v>0</v>
      </c>
      <c r="H477" s="106">
        <v>52760</v>
      </c>
      <c r="I477" s="106">
        <v>-1000</v>
      </c>
      <c r="J477" s="106">
        <v>51760</v>
      </c>
      <c r="K477" s="106">
        <v>0</v>
      </c>
      <c r="L477" s="106">
        <v>0</v>
      </c>
      <c r="M477" s="106">
        <v>0</v>
      </c>
      <c r="N477" s="106">
        <v>51760</v>
      </c>
    </row>
    <row r="478" spans="1:14" ht="31" outlineLevel="2" x14ac:dyDescent="0.35">
      <c r="A478" s="77" t="s">
        <v>564</v>
      </c>
      <c r="B478" s="108" t="s">
        <v>212</v>
      </c>
      <c r="C478" s="106">
        <v>65899</v>
      </c>
      <c r="D478" s="106">
        <v>0</v>
      </c>
      <c r="E478" s="106">
        <v>0</v>
      </c>
      <c r="F478" s="106">
        <v>0</v>
      </c>
      <c r="G478" s="106">
        <v>0</v>
      </c>
      <c r="H478" s="106">
        <v>65899</v>
      </c>
      <c r="I478" s="106">
        <v>-1000</v>
      </c>
      <c r="J478" s="106">
        <v>64899</v>
      </c>
      <c r="K478" s="106">
        <v>0</v>
      </c>
      <c r="L478" s="106">
        <v>0</v>
      </c>
      <c r="M478" s="106">
        <v>0</v>
      </c>
      <c r="N478" s="106">
        <v>64899</v>
      </c>
    </row>
    <row r="479" spans="1:14" ht="31" outlineLevel="2" x14ac:dyDescent="0.35">
      <c r="A479" s="77" t="s">
        <v>564</v>
      </c>
      <c r="B479" s="108" t="s">
        <v>220</v>
      </c>
      <c r="C479" s="106">
        <v>46239</v>
      </c>
      <c r="D479" s="106">
        <v>0</v>
      </c>
      <c r="E479" s="106">
        <v>0</v>
      </c>
      <c r="F479" s="106">
        <v>0</v>
      </c>
      <c r="G479" s="106">
        <v>0</v>
      </c>
      <c r="H479" s="106">
        <v>46239</v>
      </c>
      <c r="I479" s="106">
        <v>-1000</v>
      </c>
      <c r="J479" s="106">
        <v>45239</v>
      </c>
      <c r="K479" s="106">
        <v>0</v>
      </c>
      <c r="L479" s="106">
        <v>0</v>
      </c>
      <c r="M479" s="106">
        <v>0</v>
      </c>
      <c r="N479" s="106">
        <v>45239</v>
      </c>
    </row>
    <row r="480" spans="1:14" ht="31" outlineLevel="2" x14ac:dyDescent="0.35">
      <c r="A480" s="77" t="s">
        <v>564</v>
      </c>
      <c r="B480" s="108" t="s">
        <v>219</v>
      </c>
      <c r="C480" s="106">
        <v>93729</v>
      </c>
      <c r="D480" s="106">
        <v>0</v>
      </c>
      <c r="E480" s="106">
        <v>0</v>
      </c>
      <c r="F480" s="106">
        <v>0</v>
      </c>
      <c r="G480" s="106">
        <v>0</v>
      </c>
      <c r="H480" s="106">
        <v>93729</v>
      </c>
      <c r="I480" s="106">
        <v>-1000</v>
      </c>
      <c r="J480" s="106">
        <v>92729</v>
      </c>
      <c r="K480" s="106">
        <v>0</v>
      </c>
      <c r="L480" s="106">
        <v>0</v>
      </c>
      <c r="M480" s="106">
        <v>0</v>
      </c>
      <c r="N480" s="106">
        <v>92729</v>
      </c>
    </row>
    <row r="481" spans="1:14" ht="31" outlineLevel="2" x14ac:dyDescent="0.35">
      <c r="A481" s="77" t="s">
        <v>564</v>
      </c>
      <c r="B481" s="108" t="s">
        <v>218</v>
      </c>
      <c r="C481" s="106">
        <v>100210</v>
      </c>
      <c r="D481" s="106">
        <v>0</v>
      </c>
      <c r="E481" s="106">
        <v>0</v>
      </c>
      <c r="F481" s="106">
        <v>0</v>
      </c>
      <c r="G481" s="106">
        <v>0</v>
      </c>
      <c r="H481" s="106">
        <v>100210</v>
      </c>
      <c r="I481" s="106">
        <v>-1000</v>
      </c>
      <c r="J481" s="106">
        <v>99210</v>
      </c>
      <c r="K481" s="106">
        <v>0</v>
      </c>
      <c r="L481" s="106">
        <v>0</v>
      </c>
      <c r="M481" s="106">
        <v>0</v>
      </c>
      <c r="N481" s="106">
        <v>99210</v>
      </c>
    </row>
    <row r="482" spans="1:14" ht="31" outlineLevel="2" x14ac:dyDescent="0.35">
      <c r="A482" s="77" t="s">
        <v>564</v>
      </c>
      <c r="B482" s="108" t="s">
        <v>209</v>
      </c>
      <c r="C482" s="106">
        <v>169611</v>
      </c>
      <c r="D482" s="106">
        <v>0</v>
      </c>
      <c r="E482" s="106">
        <v>0</v>
      </c>
      <c r="F482" s="106">
        <v>0</v>
      </c>
      <c r="G482" s="106">
        <v>0</v>
      </c>
      <c r="H482" s="106">
        <v>169611</v>
      </c>
      <c r="I482" s="106">
        <v>-1000</v>
      </c>
      <c r="J482" s="106">
        <v>168611</v>
      </c>
      <c r="K482" s="106">
        <v>0</v>
      </c>
      <c r="L482" s="106">
        <v>0</v>
      </c>
      <c r="M482" s="106">
        <v>0</v>
      </c>
      <c r="N482" s="106">
        <v>168611</v>
      </c>
    </row>
    <row r="483" spans="1:14" ht="31" outlineLevel="2" x14ac:dyDescent="0.35">
      <c r="A483" s="77" t="s">
        <v>564</v>
      </c>
      <c r="B483" s="108" t="s">
        <v>208</v>
      </c>
      <c r="C483" s="106">
        <v>268885</v>
      </c>
      <c r="D483" s="106">
        <v>0</v>
      </c>
      <c r="E483" s="106">
        <v>0</v>
      </c>
      <c r="F483" s="106">
        <v>0</v>
      </c>
      <c r="G483" s="106">
        <v>0</v>
      </c>
      <c r="H483" s="106">
        <v>268885</v>
      </c>
      <c r="I483" s="106">
        <v>-31975</v>
      </c>
      <c r="J483" s="106">
        <v>236910</v>
      </c>
      <c r="K483" s="106">
        <v>0</v>
      </c>
      <c r="L483" s="106">
        <v>0</v>
      </c>
      <c r="M483" s="106">
        <v>0</v>
      </c>
      <c r="N483" s="106">
        <v>236910</v>
      </c>
    </row>
    <row r="484" spans="1:14" ht="31" outlineLevel="2" x14ac:dyDescent="0.35">
      <c r="A484" s="77" t="s">
        <v>564</v>
      </c>
      <c r="B484" s="108" t="s">
        <v>206</v>
      </c>
      <c r="C484" s="106">
        <v>297262</v>
      </c>
      <c r="D484" s="106">
        <v>-220</v>
      </c>
      <c r="E484" s="106">
        <v>0</v>
      </c>
      <c r="F484" s="106">
        <v>0</v>
      </c>
      <c r="G484" s="106">
        <v>0</v>
      </c>
      <c r="H484" s="106">
        <v>297042</v>
      </c>
      <c r="I484" s="106">
        <v>-29832</v>
      </c>
      <c r="J484" s="106">
        <v>267210</v>
      </c>
      <c r="K484" s="106">
        <v>0</v>
      </c>
      <c r="L484" s="106">
        <v>0</v>
      </c>
      <c r="M484" s="106">
        <v>0</v>
      </c>
      <c r="N484" s="106">
        <v>267210</v>
      </c>
    </row>
    <row r="485" spans="1:14" ht="31" outlineLevel="2" x14ac:dyDescent="0.35">
      <c r="A485" s="77" t="s">
        <v>564</v>
      </c>
      <c r="B485" s="108" t="s">
        <v>205</v>
      </c>
      <c r="C485" s="106">
        <v>338128</v>
      </c>
      <c r="D485" s="106">
        <v>-141</v>
      </c>
      <c r="E485" s="106">
        <v>0</v>
      </c>
      <c r="F485" s="106">
        <v>0</v>
      </c>
      <c r="G485" s="106">
        <v>0</v>
      </c>
      <c r="H485" s="106">
        <v>337987</v>
      </c>
      <c r="I485" s="106">
        <v>-316188</v>
      </c>
      <c r="J485" s="106">
        <v>21799</v>
      </c>
      <c r="K485" s="106">
        <v>0</v>
      </c>
      <c r="L485" s="106">
        <v>0</v>
      </c>
      <c r="M485" s="106">
        <v>0</v>
      </c>
      <c r="N485" s="106">
        <v>21799</v>
      </c>
    </row>
    <row r="486" spans="1:14" ht="31" outlineLevel="2" x14ac:dyDescent="0.35">
      <c r="A486" s="77" t="s">
        <v>564</v>
      </c>
      <c r="B486" s="108" t="s">
        <v>204</v>
      </c>
      <c r="C486" s="106">
        <v>346403</v>
      </c>
      <c r="D486" s="106">
        <v>-135</v>
      </c>
      <c r="E486" s="106">
        <v>0</v>
      </c>
      <c r="F486" s="106">
        <v>0</v>
      </c>
      <c r="G486" s="106">
        <v>0</v>
      </c>
      <c r="H486" s="106">
        <v>346268</v>
      </c>
      <c r="I486" s="106">
        <v>-326021</v>
      </c>
      <c r="J486" s="106">
        <v>20247</v>
      </c>
      <c r="K486" s="106">
        <v>0</v>
      </c>
      <c r="L486" s="106">
        <v>0</v>
      </c>
      <c r="M486" s="106">
        <v>0</v>
      </c>
      <c r="N486" s="106">
        <v>20247</v>
      </c>
    </row>
    <row r="487" spans="1:14" ht="31" outlineLevel="1" x14ac:dyDescent="0.35">
      <c r="A487" s="77" t="s">
        <v>564</v>
      </c>
      <c r="B487" s="108" t="s">
        <v>203</v>
      </c>
      <c r="C487" s="106">
        <v>692487</v>
      </c>
      <c r="D487" s="106">
        <v>-382941</v>
      </c>
      <c r="E487" s="106">
        <v>0</v>
      </c>
      <c r="F487" s="106">
        <v>0</v>
      </c>
      <c r="G487" s="106">
        <v>0</v>
      </c>
      <c r="H487" s="106">
        <v>309546</v>
      </c>
      <c r="I487" s="106">
        <v>-224475</v>
      </c>
      <c r="J487" s="106">
        <v>85071</v>
      </c>
      <c r="K487" s="106">
        <v>0</v>
      </c>
      <c r="L487" s="106">
        <v>0</v>
      </c>
      <c r="M487" s="106">
        <v>0</v>
      </c>
      <c r="N487" s="106">
        <v>85071</v>
      </c>
    </row>
    <row r="488" spans="1:14" ht="30" customHeight="1" outlineLevel="1" x14ac:dyDescent="0.35">
      <c r="A488" s="77" t="s">
        <v>564</v>
      </c>
      <c r="B488" s="108" t="s">
        <v>202</v>
      </c>
      <c r="C488" s="106">
        <v>272441</v>
      </c>
      <c r="D488" s="106">
        <v>-1367</v>
      </c>
      <c r="E488" s="106">
        <v>0</v>
      </c>
      <c r="F488" s="106">
        <v>0</v>
      </c>
      <c r="G488" s="106">
        <v>0</v>
      </c>
      <c r="H488" s="106">
        <v>271074</v>
      </c>
      <c r="I488" s="106">
        <v>-209349</v>
      </c>
      <c r="J488" s="106">
        <v>61725</v>
      </c>
      <c r="K488" s="106">
        <v>15158</v>
      </c>
      <c r="L488" s="106">
        <v>-15158</v>
      </c>
      <c r="M488" s="106">
        <v>0</v>
      </c>
      <c r="N488" s="106">
        <v>61725</v>
      </c>
    </row>
    <row r="489" spans="1:14" ht="30" customHeight="1" outlineLevel="1" x14ac:dyDescent="0.35">
      <c r="A489" s="77" t="s">
        <v>564</v>
      </c>
      <c r="B489" s="108" t="s">
        <v>201</v>
      </c>
      <c r="C489" s="106">
        <v>333067</v>
      </c>
      <c r="D489" s="106">
        <v>-2099</v>
      </c>
      <c r="E489" s="106">
        <v>0</v>
      </c>
      <c r="F489" s="106">
        <v>0</v>
      </c>
      <c r="G489" s="106">
        <v>0</v>
      </c>
      <c r="H489" s="106">
        <v>330968</v>
      </c>
      <c r="I489" s="106">
        <v>-291805</v>
      </c>
      <c r="J489" s="106">
        <v>39163</v>
      </c>
      <c r="K489" s="106">
        <v>0</v>
      </c>
      <c r="L489" s="106">
        <v>0</v>
      </c>
      <c r="M489" s="106">
        <v>0</v>
      </c>
      <c r="N489" s="106">
        <v>39163</v>
      </c>
    </row>
    <row r="490" spans="1:14" ht="31" outlineLevel="2" x14ac:dyDescent="0.35">
      <c r="A490" s="77" t="s">
        <v>564</v>
      </c>
      <c r="B490" s="108" t="s">
        <v>200</v>
      </c>
      <c r="C490" s="106">
        <v>230238</v>
      </c>
      <c r="D490" s="106">
        <v>0</v>
      </c>
      <c r="E490" s="106">
        <v>0</v>
      </c>
      <c r="F490" s="106">
        <v>0</v>
      </c>
      <c r="G490" s="106">
        <v>0</v>
      </c>
      <c r="H490" s="106">
        <v>230238</v>
      </c>
      <c r="I490" s="106">
        <v>-230238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</row>
    <row r="491" spans="1:14" ht="31" outlineLevel="2" x14ac:dyDescent="0.35">
      <c r="A491" s="77" t="s">
        <v>564</v>
      </c>
      <c r="B491" s="108" t="s">
        <v>199</v>
      </c>
      <c r="C491" s="106">
        <v>290646</v>
      </c>
      <c r="D491" s="106">
        <v>-743</v>
      </c>
      <c r="E491" s="106">
        <v>0</v>
      </c>
      <c r="F491" s="106">
        <v>0</v>
      </c>
      <c r="G491" s="106">
        <v>0</v>
      </c>
      <c r="H491" s="106">
        <v>289903</v>
      </c>
      <c r="I491" s="106">
        <v>-289903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</row>
    <row r="492" spans="1:14" ht="31" outlineLevel="2" x14ac:dyDescent="0.35">
      <c r="A492" s="77" t="s">
        <v>564</v>
      </c>
      <c r="B492" s="108" t="s">
        <v>198</v>
      </c>
      <c r="C492" s="106">
        <v>385881</v>
      </c>
      <c r="D492" s="106">
        <v>-973</v>
      </c>
      <c r="E492" s="106">
        <v>0</v>
      </c>
      <c r="F492" s="106">
        <v>0</v>
      </c>
      <c r="G492" s="106">
        <v>0</v>
      </c>
      <c r="H492" s="106">
        <v>384908</v>
      </c>
      <c r="I492" s="106">
        <v>-384908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</row>
    <row r="493" spans="1:14" ht="31" outlineLevel="2" x14ac:dyDescent="0.35">
      <c r="A493" s="77" t="s">
        <v>564</v>
      </c>
      <c r="B493" s="108" t="s">
        <v>197</v>
      </c>
      <c r="C493" s="106">
        <v>373773</v>
      </c>
      <c r="D493" s="106">
        <v>0</v>
      </c>
      <c r="E493" s="106">
        <v>0</v>
      </c>
      <c r="F493" s="106">
        <v>0</v>
      </c>
      <c r="G493" s="106">
        <v>0</v>
      </c>
      <c r="H493" s="106">
        <v>373773</v>
      </c>
      <c r="I493" s="106">
        <v>-373773</v>
      </c>
      <c r="J493" s="106">
        <v>0</v>
      </c>
      <c r="K493" s="106">
        <v>0</v>
      </c>
      <c r="L493" s="106">
        <v>0</v>
      </c>
      <c r="M493" s="106">
        <v>0</v>
      </c>
      <c r="N493" s="106">
        <v>0</v>
      </c>
    </row>
    <row r="494" spans="1:14" ht="31" outlineLevel="2" x14ac:dyDescent="0.35">
      <c r="A494" s="77" t="s">
        <v>564</v>
      </c>
      <c r="B494" s="108" t="s">
        <v>196</v>
      </c>
      <c r="C494" s="106">
        <v>299951</v>
      </c>
      <c r="D494" s="106">
        <v>-343</v>
      </c>
      <c r="E494" s="106">
        <v>0</v>
      </c>
      <c r="F494" s="106">
        <v>0</v>
      </c>
      <c r="G494" s="106">
        <v>0</v>
      </c>
      <c r="H494" s="106">
        <v>299608</v>
      </c>
      <c r="I494" s="106">
        <v>-299608</v>
      </c>
      <c r="J494" s="106">
        <v>0</v>
      </c>
      <c r="K494" s="106">
        <v>0</v>
      </c>
      <c r="L494" s="106">
        <v>0</v>
      </c>
      <c r="M494" s="106">
        <v>0</v>
      </c>
      <c r="N494" s="106">
        <v>0</v>
      </c>
    </row>
    <row r="495" spans="1:14" ht="31" outlineLevel="2" x14ac:dyDescent="0.35">
      <c r="A495" s="77" t="s">
        <v>564</v>
      </c>
      <c r="B495" s="108" t="s">
        <v>195</v>
      </c>
      <c r="C495" s="106">
        <v>260548</v>
      </c>
      <c r="D495" s="106">
        <v>-439</v>
      </c>
      <c r="E495" s="106">
        <v>0</v>
      </c>
      <c r="F495" s="106">
        <v>0</v>
      </c>
      <c r="G495" s="106">
        <v>0</v>
      </c>
      <c r="H495" s="106">
        <v>260109</v>
      </c>
      <c r="I495" s="106">
        <v>-260109</v>
      </c>
      <c r="J495" s="106">
        <v>0</v>
      </c>
      <c r="K495" s="106">
        <v>0</v>
      </c>
      <c r="L495" s="106">
        <v>0</v>
      </c>
      <c r="M495" s="106">
        <v>0</v>
      </c>
      <c r="N495" s="106">
        <v>0</v>
      </c>
    </row>
    <row r="496" spans="1:14" ht="31" outlineLevel="2" x14ac:dyDescent="0.35">
      <c r="A496" s="77" t="s">
        <v>564</v>
      </c>
      <c r="B496" s="108" t="s">
        <v>194</v>
      </c>
      <c r="C496" s="106">
        <v>235654</v>
      </c>
      <c r="D496" s="106">
        <v>-441</v>
      </c>
      <c r="E496" s="106">
        <v>0</v>
      </c>
      <c r="F496" s="106">
        <v>0</v>
      </c>
      <c r="G496" s="106">
        <v>0</v>
      </c>
      <c r="H496" s="106">
        <v>235213</v>
      </c>
      <c r="I496" s="106">
        <v>-235213</v>
      </c>
      <c r="J496" s="106">
        <v>0</v>
      </c>
      <c r="K496" s="106">
        <v>0</v>
      </c>
      <c r="L496" s="106">
        <v>0</v>
      </c>
      <c r="M496" s="106">
        <v>0</v>
      </c>
      <c r="N496" s="106">
        <v>0</v>
      </c>
    </row>
    <row r="497" spans="1:14" ht="31" outlineLevel="2" x14ac:dyDescent="0.35">
      <c r="A497" s="77" t="s">
        <v>564</v>
      </c>
      <c r="B497" s="108" t="s">
        <v>193</v>
      </c>
      <c r="C497" s="106">
        <v>241619</v>
      </c>
      <c r="D497" s="106">
        <v>-439</v>
      </c>
      <c r="E497" s="106">
        <v>0</v>
      </c>
      <c r="F497" s="106">
        <v>0</v>
      </c>
      <c r="G497" s="106">
        <v>0</v>
      </c>
      <c r="H497" s="106">
        <v>241180</v>
      </c>
      <c r="I497" s="106">
        <v>-241180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</row>
    <row r="498" spans="1:14" ht="31" outlineLevel="2" x14ac:dyDescent="0.35">
      <c r="A498" s="77" t="s">
        <v>564</v>
      </c>
      <c r="B498" s="108" t="s">
        <v>192</v>
      </c>
      <c r="C498" s="106">
        <v>223251</v>
      </c>
      <c r="D498" s="106">
        <v>-384</v>
      </c>
      <c r="E498" s="106">
        <v>0</v>
      </c>
      <c r="F498" s="106">
        <v>0</v>
      </c>
      <c r="G498" s="106">
        <v>0</v>
      </c>
      <c r="H498" s="106">
        <v>222867</v>
      </c>
      <c r="I498" s="106">
        <v>-222867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</row>
    <row r="499" spans="1:14" ht="16" outlineLevel="2" thickBot="1" x14ac:dyDescent="0.4">
      <c r="A499" s="105" t="s">
        <v>443</v>
      </c>
      <c r="B499" s="79" t="s">
        <v>12</v>
      </c>
      <c r="C499" s="103">
        <f>SUBTOTAL(109,Program209[(C)
Program
Costs])</f>
        <v>5650605</v>
      </c>
      <c r="D499" s="103">
        <f>SUBTOTAL(109,Program209[(D)
Prior Period Adjustments])</f>
        <v>-390665</v>
      </c>
      <c r="E499" s="103">
        <f>SUBTOTAL(109,Program209[(E)
Current Period Desk 
Reviews])</f>
        <v>0</v>
      </c>
      <c r="F499" s="103">
        <f>SUBTOTAL(109,Program209[(F)
Current Period 
Final 
Audits])</f>
        <v>0</v>
      </c>
      <c r="G499" s="103">
        <f>SUBTOTAL(109,Program209[(G)
Current Period 
Other Adjustments])</f>
        <v>0</v>
      </c>
      <c r="H499" s="103">
        <f>SUBTOTAL(109,Program209[(H)
Net Program Costs
Sum (C through G)])</f>
        <v>5259940</v>
      </c>
      <c r="I499" s="103">
        <f>SUBTOTAL(109,Program209[(I)
Payments
 and Offsets])</f>
        <v>-3973444</v>
      </c>
      <c r="J499" s="103">
        <f>SUBTOTAL(109,Program209[(J)
Accounts Payable Balance
(H + I)])</f>
        <v>1286496</v>
      </c>
      <c r="K499" s="103">
        <f>SUBTOTAL(109,Program209[(K)
Established 
Accounts Receivable])</f>
        <v>15158</v>
      </c>
      <c r="L499" s="103">
        <f>SUBTOTAL(109,Program209[(L)
Recovered
 Accounts Receivable])</f>
        <v>-15158</v>
      </c>
      <c r="M499" s="103">
        <f>SUBTOTAL(109,Program209[(M)
Accounts Receivable Balance
(K + L)])</f>
        <v>0</v>
      </c>
      <c r="N499" s="103">
        <f>SUBTOTAL(109,Program209[(N)
Net Balance
(J minus M)])</f>
        <v>1286496</v>
      </c>
    </row>
    <row r="500" spans="1:14" outlineLevel="2" x14ac:dyDescent="0.35">
      <c r="A500" s="116" t="s">
        <v>33</v>
      </c>
      <c r="B500" s="115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</row>
    <row r="501" spans="1:14" ht="77.5" outlineLevel="2" x14ac:dyDescent="0.35">
      <c r="A501" s="113" t="s">
        <v>185</v>
      </c>
      <c r="B501" s="112" t="s">
        <v>184</v>
      </c>
      <c r="C501" s="111" t="s">
        <v>183</v>
      </c>
      <c r="D501" s="111" t="s">
        <v>182</v>
      </c>
      <c r="E501" s="111" t="s">
        <v>181</v>
      </c>
      <c r="F501" s="111" t="s">
        <v>180</v>
      </c>
      <c r="G501" s="111" t="s">
        <v>179</v>
      </c>
      <c r="H501" s="110" t="s">
        <v>674</v>
      </c>
      <c r="I501" s="110" t="s">
        <v>178</v>
      </c>
      <c r="J501" s="110" t="s">
        <v>177</v>
      </c>
      <c r="K501" s="111" t="s">
        <v>176</v>
      </c>
      <c r="L501" s="110" t="s">
        <v>175</v>
      </c>
      <c r="M501" s="110" t="s">
        <v>174</v>
      </c>
      <c r="N501" s="109" t="s">
        <v>173</v>
      </c>
    </row>
    <row r="502" spans="1:14" outlineLevel="2" x14ac:dyDescent="0.35">
      <c r="A502" s="77" t="s">
        <v>563</v>
      </c>
      <c r="B502" s="108" t="s">
        <v>198</v>
      </c>
      <c r="C502" s="106">
        <v>8141</v>
      </c>
      <c r="D502" s="106">
        <v>0</v>
      </c>
      <c r="E502" s="106">
        <v>0</v>
      </c>
      <c r="F502" s="106">
        <v>0</v>
      </c>
      <c r="G502" s="106">
        <v>0</v>
      </c>
      <c r="H502" s="106">
        <v>8141</v>
      </c>
      <c r="I502" s="106">
        <v>-8141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</row>
    <row r="503" spans="1:14" outlineLevel="2" x14ac:dyDescent="0.35">
      <c r="A503" s="77" t="s">
        <v>563</v>
      </c>
      <c r="B503" s="108" t="s">
        <v>197</v>
      </c>
      <c r="C503" s="106">
        <v>4818</v>
      </c>
      <c r="D503" s="106">
        <v>-253</v>
      </c>
      <c r="E503" s="106">
        <v>0</v>
      </c>
      <c r="F503" s="106">
        <v>0</v>
      </c>
      <c r="G503" s="106">
        <v>0</v>
      </c>
      <c r="H503" s="106">
        <v>4565</v>
      </c>
      <c r="I503" s="106">
        <v>-4565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</row>
    <row r="504" spans="1:14" outlineLevel="2" x14ac:dyDescent="0.35">
      <c r="A504" s="77" t="s">
        <v>563</v>
      </c>
      <c r="B504" s="108" t="s">
        <v>196</v>
      </c>
      <c r="C504" s="106">
        <v>63419</v>
      </c>
      <c r="D504" s="106">
        <v>-58</v>
      </c>
      <c r="E504" s="106">
        <v>0</v>
      </c>
      <c r="F504" s="106">
        <v>0</v>
      </c>
      <c r="G504" s="106">
        <v>0</v>
      </c>
      <c r="H504" s="106">
        <v>63361</v>
      </c>
      <c r="I504" s="106">
        <v>-63361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</row>
    <row r="505" spans="1:14" outlineLevel="2" x14ac:dyDescent="0.35">
      <c r="A505" s="77" t="s">
        <v>563</v>
      </c>
      <c r="B505" s="108" t="s">
        <v>195</v>
      </c>
      <c r="C505" s="106">
        <v>12094</v>
      </c>
      <c r="D505" s="106">
        <v>0</v>
      </c>
      <c r="E505" s="106">
        <v>0</v>
      </c>
      <c r="F505" s="106">
        <v>0</v>
      </c>
      <c r="G505" s="106">
        <v>0</v>
      </c>
      <c r="H505" s="106">
        <v>12094</v>
      </c>
      <c r="I505" s="106">
        <v>-12094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</row>
    <row r="506" spans="1:14" outlineLevel="2" x14ac:dyDescent="0.35">
      <c r="A506" s="77" t="s">
        <v>563</v>
      </c>
      <c r="B506" s="108" t="s">
        <v>194</v>
      </c>
      <c r="C506" s="106">
        <v>12819</v>
      </c>
      <c r="D506" s="106">
        <v>0</v>
      </c>
      <c r="E506" s="106">
        <v>0</v>
      </c>
      <c r="F506" s="106">
        <v>0</v>
      </c>
      <c r="G506" s="106">
        <v>0</v>
      </c>
      <c r="H506" s="106">
        <v>12819</v>
      </c>
      <c r="I506" s="106">
        <v>-12819</v>
      </c>
      <c r="J506" s="106">
        <v>0</v>
      </c>
      <c r="K506" s="106">
        <v>0</v>
      </c>
      <c r="L506" s="106">
        <v>0</v>
      </c>
      <c r="M506" s="106">
        <v>0</v>
      </c>
      <c r="N506" s="106">
        <v>0</v>
      </c>
    </row>
    <row r="507" spans="1:14" outlineLevel="2" x14ac:dyDescent="0.35">
      <c r="A507" s="77" t="s">
        <v>563</v>
      </c>
      <c r="B507" s="108" t="s">
        <v>193</v>
      </c>
      <c r="C507" s="106">
        <v>11987</v>
      </c>
      <c r="D507" s="106">
        <v>-67</v>
      </c>
      <c r="E507" s="106">
        <v>0</v>
      </c>
      <c r="F507" s="106">
        <v>0</v>
      </c>
      <c r="G507" s="106">
        <v>0</v>
      </c>
      <c r="H507" s="106">
        <v>11920</v>
      </c>
      <c r="I507" s="106">
        <v>-11920</v>
      </c>
      <c r="J507" s="106">
        <v>0</v>
      </c>
      <c r="K507" s="106">
        <v>0</v>
      </c>
      <c r="L507" s="106">
        <v>0</v>
      </c>
      <c r="M507" s="106">
        <v>0</v>
      </c>
      <c r="N507" s="106">
        <v>0</v>
      </c>
    </row>
    <row r="508" spans="1:14" outlineLevel="2" x14ac:dyDescent="0.35">
      <c r="A508" s="77" t="s">
        <v>563</v>
      </c>
      <c r="B508" s="108" t="s">
        <v>192</v>
      </c>
      <c r="C508" s="106">
        <v>8945</v>
      </c>
      <c r="D508" s="106">
        <v>-53</v>
      </c>
      <c r="E508" s="106">
        <v>0</v>
      </c>
      <c r="F508" s="106">
        <v>0</v>
      </c>
      <c r="G508" s="106">
        <v>0</v>
      </c>
      <c r="H508" s="106">
        <v>8892</v>
      </c>
      <c r="I508" s="106">
        <v>-8892</v>
      </c>
      <c r="J508" s="106">
        <v>0</v>
      </c>
      <c r="K508" s="106">
        <v>0</v>
      </c>
      <c r="L508" s="106">
        <v>0</v>
      </c>
      <c r="M508" s="106">
        <v>0</v>
      </c>
      <c r="N508" s="106">
        <v>0</v>
      </c>
    </row>
    <row r="509" spans="1:14" ht="15.5" customHeight="1" outlineLevel="2" x14ac:dyDescent="0.35">
      <c r="A509" s="77" t="s">
        <v>563</v>
      </c>
      <c r="B509" s="108" t="s">
        <v>191</v>
      </c>
      <c r="C509" s="106">
        <v>3596</v>
      </c>
      <c r="D509" s="106">
        <v>0</v>
      </c>
      <c r="E509" s="106">
        <v>0</v>
      </c>
      <c r="F509" s="106">
        <v>0</v>
      </c>
      <c r="G509" s="106">
        <v>0</v>
      </c>
      <c r="H509" s="106">
        <v>3596</v>
      </c>
      <c r="I509" s="106">
        <v>-3596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</row>
    <row r="510" spans="1:14" ht="16" outlineLevel="1" thickBot="1" x14ac:dyDescent="0.4">
      <c r="A510" s="105" t="s">
        <v>442</v>
      </c>
      <c r="B510" s="79" t="s">
        <v>12</v>
      </c>
      <c r="C510" s="103">
        <f>SUBTOTAL(109,Program206[(C)
Program
Costs])</f>
        <v>125819</v>
      </c>
      <c r="D510" s="103">
        <f>SUBTOTAL(109,Program206[(D)
Prior Period Adjustments])</f>
        <v>-431</v>
      </c>
      <c r="E510" s="103">
        <f>SUBTOTAL(109,Program206[(E)
Current Period Desk 
Reviews])</f>
        <v>0</v>
      </c>
      <c r="F510" s="103">
        <f>SUBTOTAL(109,Program206[(F)
Current Period 
Final 
Audits])</f>
        <v>0</v>
      </c>
      <c r="G510" s="103">
        <f>SUBTOTAL(109,Program206[(G)
Current Period 
Other Adjustments])</f>
        <v>0</v>
      </c>
      <c r="H510" s="103">
        <f>SUBTOTAL(109,Program206[(H)
Net Program Costs
Sum (C through G)])</f>
        <v>125388</v>
      </c>
      <c r="I510" s="103">
        <f>SUBTOTAL(109,Program206[(I)
Payments
 and Offsets])</f>
        <v>-125388</v>
      </c>
      <c r="J510" s="103">
        <f>SUBTOTAL(109,Program206[(J)
Accounts Payable Balance
(H + I)])</f>
        <v>0</v>
      </c>
      <c r="K510" s="103">
        <f>SUBTOTAL(109,Program206[(K)
Established 
Accounts Receivable])</f>
        <v>0</v>
      </c>
      <c r="L510" s="103">
        <f>SUBTOTAL(109,Program206[(L)
Recovered
 Accounts Receivable])</f>
        <v>0</v>
      </c>
      <c r="M510" s="103">
        <f>SUBTOTAL(109,Program206[(M)
Accounts Receivable Balance
(K + L)])</f>
        <v>0</v>
      </c>
      <c r="N510" s="103">
        <f>SUBTOTAL(109,Program206[(N)
Net Balance
(J minus M)])</f>
        <v>0</v>
      </c>
    </row>
    <row r="511" spans="1:14" ht="15.65" customHeight="1" outlineLevel="1" x14ac:dyDescent="0.35">
      <c r="A511" s="116" t="s">
        <v>33</v>
      </c>
      <c r="B511" s="115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</row>
    <row r="512" spans="1:14" ht="78.75" customHeight="1" outlineLevel="1" x14ac:dyDescent="0.35">
      <c r="A512" s="113" t="s">
        <v>185</v>
      </c>
      <c r="B512" s="112" t="s">
        <v>184</v>
      </c>
      <c r="C512" s="111" t="s">
        <v>183</v>
      </c>
      <c r="D512" s="111" t="s">
        <v>182</v>
      </c>
      <c r="E512" s="111" t="s">
        <v>181</v>
      </c>
      <c r="F512" s="111" t="s">
        <v>180</v>
      </c>
      <c r="G512" s="111" t="s">
        <v>179</v>
      </c>
      <c r="H512" s="110" t="s">
        <v>674</v>
      </c>
      <c r="I512" s="110" t="s">
        <v>178</v>
      </c>
      <c r="J512" s="110" t="s">
        <v>177</v>
      </c>
      <c r="K512" s="111" t="s">
        <v>176</v>
      </c>
      <c r="L512" s="110" t="s">
        <v>175</v>
      </c>
      <c r="M512" s="110" t="s">
        <v>174</v>
      </c>
      <c r="N512" s="109" t="s">
        <v>173</v>
      </c>
    </row>
    <row r="513" spans="1:14" outlineLevel="2" x14ac:dyDescent="0.35">
      <c r="A513" s="108" t="s">
        <v>562</v>
      </c>
      <c r="B513" s="108" t="s">
        <v>191</v>
      </c>
      <c r="C513" s="106">
        <v>3109700</v>
      </c>
      <c r="D513" s="106">
        <v>-180294</v>
      </c>
      <c r="E513" s="106">
        <v>0</v>
      </c>
      <c r="F513" s="106">
        <v>0</v>
      </c>
      <c r="G513" s="106">
        <v>0</v>
      </c>
      <c r="H513" s="106">
        <v>2929406</v>
      </c>
      <c r="I513" s="106">
        <v>-2929406</v>
      </c>
      <c r="J513" s="106">
        <v>0</v>
      </c>
      <c r="K513" s="106">
        <v>60858</v>
      </c>
      <c r="L513" s="106">
        <v>-60790</v>
      </c>
      <c r="M513" s="106">
        <v>68</v>
      </c>
      <c r="N513" s="106">
        <v>-68</v>
      </c>
    </row>
    <row r="514" spans="1:14" outlineLevel="2" x14ac:dyDescent="0.35">
      <c r="A514" s="108" t="s">
        <v>562</v>
      </c>
      <c r="B514" s="108" t="s">
        <v>190</v>
      </c>
      <c r="C514" s="106">
        <v>3091365</v>
      </c>
      <c r="D514" s="106">
        <v>-190294</v>
      </c>
      <c r="E514" s="106">
        <v>0</v>
      </c>
      <c r="F514" s="106">
        <v>0</v>
      </c>
      <c r="G514" s="106">
        <v>0</v>
      </c>
      <c r="H514" s="106">
        <v>2901071</v>
      </c>
      <c r="I514" s="106">
        <v>-2901071</v>
      </c>
      <c r="J514" s="106">
        <v>0</v>
      </c>
      <c r="K514" s="106">
        <v>17326</v>
      </c>
      <c r="L514" s="106">
        <v>-17326</v>
      </c>
      <c r="M514" s="106">
        <v>0</v>
      </c>
      <c r="N514" s="106">
        <v>0</v>
      </c>
    </row>
    <row r="515" spans="1:14" outlineLevel="2" x14ac:dyDescent="0.35">
      <c r="A515" s="108" t="s">
        <v>562</v>
      </c>
      <c r="B515" s="108" t="s">
        <v>189</v>
      </c>
      <c r="C515" s="106">
        <v>2552315</v>
      </c>
      <c r="D515" s="106">
        <v>-110446</v>
      </c>
      <c r="E515" s="106">
        <v>0</v>
      </c>
      <c r="F515" s="106">
        <v>0</v>
      </c>
      <c r="G515" s="106">
        <v>0</v>
      </c>
      <c r="H515" s="106">
        <v>2441869</v>
      </c>
      <c r="I515" s="106">
        <v>-2441869</v>
      </c>
      <c r="J515" s="106">
        <v>0</v>
      </c>
      <c r="K515" s="106">
        <v>38914</v>
      </c>
      <c r="L515" s="106">
        <v>-38914</v>
      </c>
      <c r="M515" s="106">
        <v>0</v>
      </c>
      <c r="N515" s="106">
        <v>0</v>
      </c>
    </row>
    <row r="516" spans="1:14" outlineLevel="2" x14ac:dyDescent="0.35">
      <c r="A516" s="108" t="s">
        <v>562</v>
      </c>
      <c r="B516" s="108" t="s">
        <v>188</v>
      </c>
      <c r="C516" s="106">
        <v>1889324</v>
      </c>
      <c r="D516" s="106">
        <v>-35914</v>
      </c>
      <c r="E516" s="106">
        <v>0</v>
      </c>
      <c r="F516" s="106">
        <v>0</v>
      </c>
      <c r="G516" s="106">
        <v>0</v>
      </c>
      <c r="H516" s="106">
        <v>1853410</v>
      </c>
      <c r="I516" s="106">
        <v>-1853410</v>
      </c>
      <c r="J516" s="106">
        <v>0</v>
      </c>
      <c r="K516" s="106">
        <v>654070</v>
      </c>
      <c r="L516" s="106">
        <v>-649037</v>
      </c>
      <c r="M516" s="106">
        <v>5033</v>
      </c>
      <c r="N516" s="106">
        <v>-5033</v>
      </c>
    </row>
    <row r="517" spans="1:14" outlineLevel="2" x14ac:dyDescent="0.35">
      <c r="A517" s="108" t="s">
        <v>562</v>
      </c>
      <c r="B517" s="108" t="s">
        <v>186</v>
      </c>
      <c r="C517" s="106">
        <v>2026223</v>
      </c>
      <c r="D517" s="106">
        <v>-186655</v>
      </c>
      <c r="E517" s="106">
        <v>0</v>
      </c>
      <c r="F517" s="106">
        <v>0</v>
      </c>
      <c r="G517" s="106">
        <v>0</v>
      </c>
      <c r="H517" s="106">
        <v>1839568</v>
      </c>
      <c r="I517" s="106">
        <v>-1839568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</row>
    <row r="518" spans="1:14" outlineLevel="2" x14ac:dyDescent="0.35">
      <c r="A518" s="108" t="s">
        <v>562</v>
      </c>
      <c r="B518" s="108" t="s">
        <v>227</v>
      </c>
      <c r="C518" s="106">
        <v>1670428</v>
      </c>
      <c r="D518" s="106">
        <v>-95556</v>
      </c>
      <c r="E518" s="106">
        <v>0</v>
      </c>
      <c r="F518" s="106">
        <v>0</v>
      </c>
      <c r="G518" s="106">
        <v>0</v>
      </c>
      <c r="H518" s="106">
        <v>1574872</v>
      </c>
      <c r="I518" s="106">
        <v>-1574872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</row>
    <row r="519" spans="1:14" outlineLevel="2" x14ac:dyDescent="0.35">
      <c r="A519" s="108" t="s">
        <v>562</v>
      </c>
      <c r="B519" s="108" t="s">
        <v>226</v>
      </c>
      <c r="C519" s="106">
        <v>1580150</v>
      </c>
      <c r="D519" s="106">
        <v>-96040</v>
      </c>
      <c r="E519" s="106">
        <v>0</v>
      </c>
      <c r="F519" s="106">
        <v>0</v>
      </c>
      <c r="G519" s="106">
        <v>0</v>
      </c>
      <c r="H519" s="106">
        <v>1484110</v>
      </c>
      <c r="I519" s="106">
        <v>-1484110</v>
      </c>
      <c r="J519" s="106">
        <v>0</v>
      </c>
      <c r="K519" s="106">
        <v>0</v>
      </c>
      <c r="L519" s="106">
        <v>0</v>
      </c>
      <c r="M519" s="106">
        <v>0</v>
      </c>
      <c r="N519" s="106">
        <v>0</v>
      </c>
    </row>
    <row r="520" spans="1:14" outlineLevel="2" x14ac:dyDescent="0.35">
      <c r="A520" s="108" t="s">
        <v>562</v>
      </c>
      <c r="B520" s="108" t="s">
        <v>225</v>
      </c>
      <c r="C520" s="106">
        <v>1195782</v>
      </c>
      <c r="D520" s="106">
        <v>-66187</v>
      </c>
      <c r="E520" s="106">
        <v>0</v>
      </c>
      <c r="F520" s="106">
        <v>0</v>
      </c>
      <c r="G520" s="106">
        <v>0</v>
      </c>
      <c r="H520" s="106">
        <v>1129595</v>
      </c>
      <c r="I520" s="106">
        <v>-1129595</v>
      </c>
      <c r="J520" s="106">
        <v>0</v>
      </c>
      <c r="K520" s="106">
        <v>0</v>
      </c>
      <c r="L520" s="106">
        <v>0</v>
      </c>
      <c r="M520" s="106">
        <v>0</v>
      </c>
      <c r="N520" s="106">
        <v>0</v>
      </c>
    </row>
    <row r="521" spans="1:14" outlineLevel="2" x14ac:dyDescent="0.35">
      <c r="A521" s="108" t="s">
        <v>562</v>
      </c>
      <c r="B521" s="108" t="s">
        <v>223</v>
      </c>
      <c r="C521" s="106">
        <v>473296</v>
      </c>
      <c r="D521" s="106">
        <v>-5791</v>
      </c>
      <c r="E521" s="106">
        <v>0</v>
      </c>
      <c r="F521" s="106">
        <v>0</v>
      </c>
      <c r="G521" s="106">
        <v>0</v>
      </c>
      <c r="H521" s="106">
        <v>467505</v>
      </c>
      <c r="I521" s="106">
        <v>-467505</v>
      </c>
      <c r="J521" s="106">
        <v>0</v>
      </c>
      <c r="K521" s="106">
        <v>0</v>
      </c>
      <c r="L521" s="106">
        <v>0</v>
      </c>
      <c r="M521" s="106">
        <v>0</v>
      </c>
      <c r="N521" s="106">
        <v>0</v>
      </c>
    </row>
    <row r="522" spans="1:14" ht="16" outlineLevel="2" thickBot="1" x14ac:dyDescent="0.4">
      <c r="A522" s="105" t="s">
        <v>441</v>
      </c>
      <c r="B522" s="79" t="s">
        <v>12</v>
      </c>
      <c r="C522" s="103">
        <f>SUBTOTAL(109,Program79[(C)
Program
Costs])</f>
        <v>17588583</v>
      </c>
      <c r="D522" s="103">
        <f>SUBTOTAL(109,Program79[(D)
Prior Period Adjustments])</f>
        <v>-967177</v>
      </c>
      <c r="E522" s="103">
        <f>SUBTOTAL(109,Program79[(E)
Current Period Desk 
Reviews])</f>
        <v>0</v>
      </c>
      <c r="F522" s="103">
        <f>SUBTOTAL(109,Program79[(F)
Current Period 
Final 
Audits])</f>
        <v>0</v>
      </c>
      <c r="G522" s="103">
        <f>SUBTOTAL(109,Program79[(G)
Current Period 
Other Adjustments])</f>
        <v>0</v>
      </c>
      <c r="H522" s="103">
        <f>SUBTOTAL(109,Program79[(H)
Net Program Costs
Sum (C through G)])</f>
        <v>16621406</v>
      </c>
      <c r="I522" s="103">
        <f>SUBTOTAL(109,Program79[(I)
Payments
 and Offsets])</f>
        <v>-16621406</v>
      </c>
      <c r="J522" s="103">
        <f>SUBTOTAL(109,Program79[(J)
Accounts Payable Balance
(H + I)])</f>
        <v>0</v>
      </c>
      <c r="K522" s="103">
        <f>SUBTOTAL(109,Program79[(K)
Established 
Accounts Receivable])</f>
        <v>771168</v>
      </c>
      <c r="L522" s="103">
        <f>SUBTOTAL(109,Program79[(L)
Recovered
 Accounts Receivable])</f>
        <v>-766067</v>
      </c>
      <c r="M522" s="103">
        <f>SUBTOTAL(109,Program79[(M)
Accounts Receivable Balance
(K + L)])</f>
        <v>5101</v>
      </c>
      <c r="N522" s="103">
        <f>SUBTOTAL(109,Program79[(N)
Net Balance
(J minus M)])</f>
        <v>-5101</v>
      </c>
    </row>
    <row r="523" spans="1:14" outlineLevel="2" x14ac:dyDescent="0.35">
      <c r="A523" s="116" t="s">
        <v>33</v>
      </c>
      <c r="B523" s="115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</row>
    <row r="524" spans="1:14" ht="77.5" outlineLevel="2" x14ac:dyDescent="0.35">
      <c r="A524" s="113" t="s">
        <v>185</v>
      </c>
      <c r="B524" s="112" t="s">
        <v>184</v>
      </c>
      <c r="C524" s="111" t="s">
        <v>183</v>
      </c>
      <c r="D524" s="111" t="s">
        <v>182</v>
      </c>
      <c r="E524" s="111" t="s">
        <v>181</v>
      </c>
      <c r="F524" s="111" t="s">
        <v>180</v>
      </c>
      <c r="G524" s="111" t="s">
        <v>179</v>
      </c>
      <c r="H524" s="110" t="s">
        <v>674</v>
      </c>
      <c r="I524" s="110" t="s">
        <v>178</v>
      </c>
      <c r="J524" s="110" t="s">
        <v>177</v>
      </c>
      <c r="K524" s="111" t="s">
        <v>176</v>
      </c>
      <c r="L524" s="110" t="s">
        <v>175</v>
      </c>
      <c r="M524" s="110" t="s">
        <v>174</v>
      </c>
      <c r="N524" s="109" t="s">
        <v>173</v>
      </c>
    </row>
    <row r="525" spans="1:14" outlineLevel="2" x14ac:dyDescent="0.35">
      <c r="A525" s="108" t="s">
        <v>561</v>
      </c>
      <c r="B525" s="108" t="s">
        <v>215</v>
      </c>
      <c r="C525" s="106">
        <v>7067</v>
      </c>
      <c r="D525" s="106">
        <v>0</v>
      </c>
      <c r="E525" s="106">
        <v>0</v>
      </c>
      <c r="F525" s="106">
        <v>0</v>
      </c>
      <c r="G525" s="106">
        <v>0</v>
      </c>
      <c r="H525" s="106">
        <v>7067</v>
      </c>
      <c r="I525" s="106">
        <v>0</v>
      </c>
      <c r="J525" s="106">
        <v>7067</v>
      </c>
      <c r="K525" s="106">
        <v>0</v>
      </c>
      <c r="L525" s="106">
        <v>0</v>
      </c>
      <c r="M525" s="106">
        <v>0</v>
      </c>
      <c r="N525" s="106">
        <v>7067</v>
      </c>
    </row>
    <row r="526" spans="1:14" outlineLevel="2" x14ac:dyDescent="0.35">
      <c r="A526" s="108" t="s">
        <v>561</v>
      </c>
      <c r="B526" s="108" t="s">
        <v>214</v>
      </c>
      <c r="C526" s="106">
        <v>17006</v>
      </c>
      <c r="D526" s="106">
        <v>0</v>
      </c>
      <c r="E526" s="106">
        <v>0</v>
      </c>
      <c r="F526" s="106">
        <v>0</v>
      </c>
      <c r="G526" s="106">
        <v>-456</v>
      </c>
      <c r="H526" s="106">
        <v>16550</v>
      </c>
      <c r="I526" s="106">
        <v>-1000</v>
      </c>
      <c r="J526" s="106">
        <v>15550</v>
      </c>
      <c r="K526" s="106">
        <v>0</v>
      </c>
      <c r="L526" s="106">
        <v>0</v>
      </c>
      <c r="M526" s="106">
        <v>0</v>
      </c>
      <c r="N526" s="106">
        <v>15550</v>
      </c>
    </row>
    <row r="527" spans="1:14" outlineLevel="2" x14ac:dyDescent="0.35">
      <c r="A527" s="108" t="s">
        <v>561</v>
      </c>
      <c r="B527" s="108" t="s">
        <v>212</v>
      </c>
      <c r="C527" s="106">
        <v>6762</v>
      </c>
      <c r="D527" s="106">
        <v>-304</v>
      </c>
      <c r="E527" s="106">
        <v>0</v>
      </c>
      <c r="F527" s="106">
        <v>0</v>
      </c>
      <c r="G527" s="106">
        <v>0</v>
      </c>
      <c r="H527" s="106">
        <v>6458</v>
      </c>
      <c r="I527" s="106">
        <v>-1000</v>
      </c>
      <c r="J527" s="106">
        <v>5458</v>
      </c>
      <c r="K527" s="106">
        <v>0</v>
      </c>
      <c r="L527" s="106">
        <v>0</v>
      </c>
      <c r="M527" s="106">
        <v>0</v>
      </c>
      <c r="N527" s="106">
        <v>5458</v>
      </c>
    </row>
    <row r="528" spans="1:14" outlineLevel="2" x14ac:dyDescent="0.35">
      <c r="A528" s="108" t="s">
        <v>561</v>
      </c>
      <c r="B528" s="108" t="s">
        <v>220</v>
      </c>
      <c r="C528" s="106">
        <v>8422</v>
      </c>
      <c r="D528" s="106">
        <v>0</v>
      </c>
      <c r="E528" s="106">
        <v>0</v>
      </c>
      <c r="F528" s="106">
        <v>0</v>
      </c>
      <c r="G528" s="106">
        <v>0</v>
      </c>
      <c r="H528" s="106">
        <v>8422</v>
      </c>
      <c r="I528" s="106">
        <v>-1000</v>
      </c>
      <c r="J528" s="106">
        <v>7422</v>
      </c>
      <c r="K528" s="106">
        <v>0</v>
      </c>
      <c r="L528" s="106">
        <v>0</v>
      </c>
      <c r="M528" s="106">
        <v>0</v>
      </c>
      <c r="N528" s="106">
        <v>7422</v>
      </c>
    </row>
    <row r="529" spans="1:14" outlineLevel="2" x14ac:dyDescent="0.35">
      <c r="A529" s="108" t="s">
        <v>561</v>
      </c>
      <c r="B529" s="108" t="s">
        <v>219</v>
      </c>
      <c r="C529" s="106">
        <v>53366</v>
      </c>
      <c r="D529" s="106">
        <v>0</v>
      </c>
      <c r="E529" s="106">
        <v>0</v>
      </c>
      <c r="F529" s="106">
        <v>0</v>
      </c>
      <c r="G529" s="106">
        <v>0</v>
      </c>
      <c r="H529" s="106">
        <v>53366</v>
      </c>
      <c r="I529" s="106">
        <v>-15888</v>
      </c>
      <c r="J529" s="106">
        <v>37478</v>
      </c>
      <c r="K529" s="106">
        <v>0</v>
      </c>
      <c r="L529" s="106">
        <v>0</v>
      </c>
      <c r="M529" s="106">
        <v>0</v>
      </c>
      <c r="N529" s="106">
        <v>37478</v>
      </c>
    </row>
    <row r="530" spans="1:14" outlineLevel="2" x14ac:dyDescent="0.35">
      <c r="A530" s="108" t="s">
        <v>561</v>
      </c>
      <c r="B530" s="108" t="s">
        <v>218</v>
      </c>
      <c r="C530" s="106">
        <v>24654</v>
      </c>
      <c r="D530" s="106">
        <v>0</v>
      </c>
      <c r="E530" s="106">
        <v>0</v>
      </c>
      <c r="F530" s="106">
        <v>0</v>
      </c>
      <c r="G530" s="106">
        <v>0</v>
      </c>
      <c r="H530" s="106">
        <v>24654</v>
      </c>
      <c r="I530" s="106">
        <v>-6249</v>
      </c>
      <c r="J530" s="106">
        <v>18405</v>
      </c>
      <c r="K530" s="106">
        <v>0</v>
      </c>
      <c r="L530" s="106">
        <v>0</v>
      </c>
      <c r="M530" s="106">
        <v>0</v>
      </c>
      <c r="N530" s="106">
        <v>18405</v>
      </c>
    </row>
    <row r="531" spans="1:14" outlineLevel="2" x14ac:dyDescent="0.35">
      <c r="A531" s="108" t="s">
        <v>561</v>
      </c>
      <c r="B531" s="108" t="s">
        <v>209</v>
      </c>
      <c r="C531" s="106">
        <v>85755</v>
      </c>
      <c r="D531" s="106">
        <v>0</v>
      </c>
      <c r="E531" s="106">
        <v>0</v>
      </c>
      <c r="F531" s="106">
        <v>0</v>
      </c>
      <c r="G531" s="106">
        <v>0</v>
      </c>
      <c r="H531" s="106">
        <v>85755</v>
      </c>
      <c r="I531" s="106">
        <v>-48045</v>
      </c>
      <c r="J531" s="106">
        <v>37710</v>
      </c>
      <c r="K531" s="106">
        <v>0</v>
      </c>
      <c r="L531" s="106">
        <v>0</v>
      </c>
      <c r="M531" s="106">
        <v>0</v>
      </c>
      <c r="N531" s="106">
        <v>37710</v>
      </c>
    </row>
    <row r="532" spans="1:14" outlineLevel="1" x14ac:dyDescent="0.35">
      <c r="A532" s="108" t="s">
        <v>561</v>
      </c>
      <c r="B532" s="108" t="s">
        <v>208</v>
      </c>
      <c r="C532" s="106">
        <v>404158</v>
      </c>
      <c r="D532" s="106">
        <v>-1588</v>
      </c>
      <c r="E532" s="106">
        <v>0</v>
      </c>
      <c r="F532" s="106">
        <v>0</v>
      </c>
      <c r="G532" s="106">
        <v>0</v>
      </c>
      <c r="H532" s="106">
        <v>402570</v>
      </c>
      <c r="I532" s="106">
        <v>-289308</v>
      </c>
      <c r="J532" s="106">
        <v>113262</v>
      </c>
      <c r="K532" s="106">
        <v>0</v>
      </c>
      <c r="L532" s="106">
        <v>0</v>
      </c>
      <c r="M532" s="106">
        <v>0</v>
      </c>
      <c r="N532" s="106">
        <v>113262</v>
      </c>
    </row>
    <row r="533" spans="1:14" ht="15.65" customHeight="1" outlineLevel="1" x14ac:dyDescent="0.35">
      <c r="A533" s="108" t="s">
        <v>561</v>
      </c>
      <c r="B533" s="108" t="s">
        <v>206</v>
      </c>
      <c r="C533" s="106">
        <v>472903</v>
      </c>
      <c r="D533" s="106">
        <v>-229</v>
      </c>
      <c r="E533" s="106">
        <v>0</v>
      </c>
      <c r="F533" s="106">
        <v>0</v>
      </c>
      <c r="G533" s="106">
        <v>0</v>
      </c>
      <c r="H533" s="106">
        <v>472674</v>
      </c>
      <c r="I533" s="106">
        <v>-391438</v>
      </c>
      <c r="J533" s="106">
        <v>81236</v>
      </c>
      <c r="K533" s="106">
        <v>0</v>
      </c>
      <c r="L533" s="106">
        <v>0</v>
      </c>
      <c r="M533" s="106">
        <v>0</v>
      </c>
      <c r="N533" s="106">
        <v>81236</v>
      </c>
    </row>
    <row r="534" spans="1:14" ht="15" customHeight="1" outlineLevel="1" x14ac:dyDescent="0.35">
      <c r="A534" s="108" t="s">
        <v>561</v>
      </c>
      <c r="B534" s="108" t="s">
        <v>205</v>
      </c>
      <c r="C534" s="106">
        <v>447902</v>
      </c>
      <c r="D534" s="106">
        <v>-3604</v>
      </c>
      <c r="E534" s="106">
        <v>0</v>
      </c>
      <c r="F534" s="106">
        <v>0</v>
      </c>
      <c r="G534" s="106">
        <v>0</v>
      </c>
      <c r="H534" s="106">
        <v>444298</v>
      </c>
      <c r="I534" s="106">
        <v>-442546</v>
      </c>
      <c r="J534" s="106">
        <v>1752</v>
      </c>
      <c r="K534" s="106">
        <v>0</v>
      </c>
      <c r="L534" s="106">
        <v>0</v>
      </c>
      <c r="M534" s="106">
        <v>0</v>
      </c>
      <c r="N534" s="106">
        <v>1752</v>
      </c>
    </row>
    <row r="535" spans="1:14" outlineLevel="2" x14ac:dyDescent="0.35">
      <c r="A535" s="108" t="s">
        <v>561</v>
      </c>
      <c r="B535" s="108" t="s">
        <v>204</v>
      </c>
      <c r="C535" s="106">
        <v>697676</v>
      </c>
      <c r="D535" s="106">
        <v>-409</v>
      </c>
      <c r="E535" s="106">
        <v>0</v>
      </c>
      <c r="F535" s="106">
        <v>0</v>
      </c>
      <c r="G535" s="106">
        <v>0</v>
      </c>
      <c r="H535" s="106">
        <v>697267</v>
      </c>
      <c r="I535" s="106">
        <v>-693095</v>
      </c>
      <c r="J535" s="106">
        <v>4172</v>
      </c>
      <c r="K535" s="106">
        <v>825</v>
      </c>
      <c r="L535" s="106">
        <v>-825</v>
      </c>
      <c r="M535" s="106">
        <v>0</v>
      </c>
      <c r="N535" s="106">
        <v>4172</v>
      </c>
    </row>
    <row r="536" spans="1:14" outlineLevel="2" x14ac:dyDescent="0.35">
      <c r="A536" s="108" t="s">
        <v>561</v>
      </c>
      <c r="B536" s="108" t="s">
        <v>203</v>
      </c>
      <c r="C536" s="106">
        <v>872737</v>
      </c>
      <c r="D536" s="106">
        <v>-4692</v>
      </c>
      <c r="E536" s="106">
        <v>0</v>
      </c>
      <c r="F536" s="106">
        <v>0</v>
      </c>
      <c r="G536" s="106">
        <v>0</v>
      </c>
      <c r="H536" s="106">
        <v>868045</v>
      </c>
      <c r="I536" s="106">
        <v>-731745</v>
      </c>
      <c r="J536" s="106">
        <v>136300</v>
      </c>
      <c r="K536" s="106">
        <v>1</v>
      </c>
      <c r="L536" s="106">
        <v>-1</v>
      </c>
      <c r="M536" s="106">
        <v>0</v>
      </c>
      <c r="N536" s="106">
        <v>136300</v>
      </c>
    </row>
    <row r="537" spans="1:14" outlineLevel="2" x14ac:dyDescent="0.35">
      <c r="A537" s="108" t="s">
        <v>561</v>
      </c>
      <c r="B537" s="108" t="s">
        <v>202</v>
      </c>
      <c r="C537" s="106">
        <v>817247</v>
      </c>
      <c r="D537" s="106">
        <v>-3050</v>
      </c>
      <c r="E537" s="106">
        <v>0</v>
      </c>
      <c r="F537" s="106">
        <v>0</v>
      </c>
      <c r="G537" s="106">
        <v>0</v>
      </c>
      <c r="H537" s="106">
        <v>814197</v>
      </c>
      <c r="I537" s="106">
        <v>-747791</v>
      </c>
      <c r="J537" s="106">
        <v>66406</v>
      </c>
      <c r="K537" s="106">
        <v>40116</v>
      </c>
      <c r="L537" s="106">
        <v>-39635</v>
      </c>
      <c r="M537" s="106">
        <v>481</v>
      </c>
      <c r="N537" s="106">
        <v>65925</v>
      </c>
    </row>
    <row r="538" spans="1:14" outlineLevel="2" x14ac:dyDescent="0.35">
      <c r="A538" s="108" t="s">
        <v>561</v>
      </c>
      <c r="B538" s="108" t="s">
        <v>201</v>
      </c>
      <c r="C538" s="106">
        <v>1057713</v>
      </c>
      <c r="D538" s="106">
        <v>-4439</v>
      </c>
      <c r="E538" s="106">
        <v>0</v>
      </c>
      <c r="F538" s="106">
        <v>0</v>
      </c>
      <c r="G538" s="106">
        <v>0</v>
      </c>
      <c r="H538" s="106">
        <v>1053274</v>
      </c>
      <c r="I538" s="106">
        <v>-1028420</v>
      </c>
      <c r="J538" s="106">
        <v>24854</v>
      </c>
      <c r="K538" s="106">
        <v>324987</v>
      </c>
      <c r="L538" s="106">
        <v>-324236</v>
      </c>
      <c r="M538" s="106">
        <v>751</v>
      </c>
      <c r="N538" s="106">
        <v>24103</v>
      </c>
    </row>
    <row r="539" spans="1:14" outlineLevel="2" x14ac:dyDescent="0.35">
      <c r="A539" s="108" t="s">
        <v>561</v>
      </c>
      <c r="B539" s="108" t="s">
        <v>200</v>
      </c>
      <c r="C539" s="106">
        <v>983380</v>
      </c>
      <c r="D539" s="106">
        <v>-9911</v>
      </c>
      <c r="E539" s="106">
        <v>0</v>
      </c>
      <c r="F539" s="106">
        <v>0</v>
      </c>
      <c r="G539" s="106">
        <v>0</v>
      </c>
      <c r="H539" s="106">
        <v>973469</v>
      </c>
      <c r="I539" s="106">
        <v>-973469</v>
      </c>
      <c r="J539" s="106">
        <v>0</v>
      </c>
      <c r="K539" s="106">
        <v>4109</v>
      </c>
      <c r="L539" s="106">
        <v>-2598</v>
      </c>
      <c r="M539" s="106">
        <v>1511</v>
      </c>
      <c r="N539" s="106">
        <v>-1511</v>
      </c>
    </row>
    <row r="540" spans="1:14" outlineLevel="2" x14ac:dyDescent="0.35">
      <c r="A540" s="108" t="s">
        <v>561</v>
      </c>
      <c r="B540" s="108" t="s">
        <v>199</v>
      </c>
      <c r="C540" s="106">
        <v>1089791</v>
      </c>
      <c r="D540" s="106">
        <v>-3898</v>
      </c>
      <c r="E540" s="106">
        <v>0</v>
      </c>
      <c r="F540" s="106">
        <v>0</v>
      </c>
      <c r="G540" s="106">
        <v>0</v>
      </c>
      <c r="H540" s="106">
        <v>1085893</v>
      </c>
      <c r="I540" s="106">
        <v>-1085893</v>
      </c>
      <c r="J540" s="106">
        <v>0</v>
      </c>
      <c r="K540" s="106">
        <v>0</v>
      </c>
      <c r="L540" s="106">
        <v>0</v>
      </c>
      <c r="M540" s="106">
        <v>0</v>
      </c>
      <c r="N540" s="106">
        <v>0</v>
      </c>
    </row>
    <row r="541" spans="1:14" outlineLevel="2" x14ac:dyDescent="0.35">
      <c r="A541" s="108" t="s">
        <v>561</v>
      </c>
      <c r="B541" s="108" t="s">
        <v>198</v>
      </c>
      <c r="C541" s="106">
        <v>3095120</v>
      </c>
      <c r="D541" s="106">
        <v>-69610</v>
      </c>
      <c r="E541" s="106">
        <v>0</v>
      </c>
      <c r="F541" s="106">
        <v>0</v>
      </c>
      <c r="G541" s="106">
        <v>0</v>
      </c>
      <c r="H541" s="106">
        <v>3025510</v>
      </c>
      <c r="I541" s="106">
        <v>-3025510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</row>
    <row r="542" spans="1:14" outlineLevel="2" x14ac:dyDescent="0.35">
      <c r="A542" s="108" t="s">
        <v>561</v>
      </c>
      <c r="B542" s="108" t="s">
        <v>197</v>
      </c>
      <c r="C542" s="106">
        <v>3860721</v>
      </c>
      <c r="D542" s="106">
        <v>-602262</v>
      </c>
      <c r="E542" s="106">
        <v>0</v>
      </c>
      <c r="F542" s="106">
        <v>0</v>
      </c>
      <c r="G542" s="106">
        <v>0</v>
      </c>
      <c r="H542" s="106">
        <v>3258459</v>
      </c>
      <c r="I542" s="106">
        <v>-3258459</v>
      </c>
      <c r="J542" s="106">
        <v>0</v>
      </c>
      <c r="K542" s="106">
        <v>2332978</v>
      </c>
      <c r="L542" s="106">
        <v>-2331773</v>
      </c>
      <c r="M542" s="106">
        <v>1205</v>
      </c>
      <c r="N542" s="106">
        <v>-1205</v>
      </c>
    </row>
    <row r="543" spans="1:14" outlineLevel="2" x14ac:dyDescent="0.35">
      <c r="A543" s="108" t="s">
        <v>561</v>
      </c>
      <c r="B543" s="108" t="s">
        <v>196</v>
      </c>
      <c r="C543" s="106">
        <v>5067655</v>
      </c>
      <c r="D543" s="106">
        <v>-61735</v>
      </c>
      <c r="E543" s="106">
        <v>0</v>
      </c>
      <c r="F543" s="106">
        <v>0</v>
      </c>
      <c r="G543" s="106">
        <v>0</v>
      </c>
      <c r="H543" s="106">
        <v>5005920</v>
      </c>
      <c r="I543" s="106">
        <v>-5005920</v>
      </c>
      <c r="J543" s="106">
        <v>0</v>
      </c>
      <c r="K543" s="106">
        <v>743465</v>
      </c>
      <c r="L543" s="106">
        <v>-741868</v>
      </c>
      <c r="M543" s="106">
        <v>1597</v>
      </c>
      <c r="N543" s="106">
        <v>-1597</v>
      </c>
    </row>
    <row r="544" spans="1:14" outlineLevel="2" x14ac:dyDescent="0.35">
      <c r="A544" s="108" t="s">
        <v>561</v>
      </c>
      <c r="B544" s="108" t="s">
        <v>195</v>
      </c>
      <c r="C544" s="106">
        <v>4978978</v>
      </c>
      <c r="D544" s="106">
        <v>-5684</v>
      </c>
      <c r="E544" s="106">
        <v>0</v>
      </c>
      <c r="F544" s="106">
        <v>0</v>
      </c>
      <c r="G544" s="106">
        <v>0</v>
      </c>
      <c r="H544" s="106">
        <v>4973294</v>
      </c>
      <c r="I544" s="106">
        <v>-4973294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</row>
    <row r="545" spans="1:14" outlineLevel="2" x14ac:dyDescent="0.35">
      <c r="A545" s="108" t="s">
        <v>561</v>
      </c>
      <c r="B545" s="108" t="s">
        <v>194</v>
      </c>
      <c r="C545" s="106">
        <v>5010317</v>
      </c>
      <c r="D545" s="106">
        <v>-10260</v>
      </c>
      <c r="E545" s="106">
        <v>0</v>
      </c>
      <c r="F545" s="106">
        <v>0</v>
      </c>
      <c r="G545" s="106">
        <v>0</v>
      </c>
      <c r="H545" s="106">
        <v>5000057</v>
      </c>
      <c r="I545" s="106">
        <v>-5000057</v>
      </c>
      <c r="J545" s="106">
        <v>0</v>
      </c>
      <c r="K545" s="106">
        <v>0</v>
      </c>
      <c r="L545" s="106">
        <v>0</v>
      </c>
      <c r="M545" s="106">
        <v>0</v>
      </c>
      <c r="N545" s="106">
        <v>0</v>
      </c>
    </row>
    <row r="546" spans="1:14" outlineLevel="2" x14ac:dyDescent="0.35">
      <c r="A546" s="108" t="s">
        <v>561</v>
      </c>
      <c r="B546" s="108" t="s">
        <v>193</v>
      </c>
      <c r="C546" s="106">
        <v>6692244</v>
      </c>
      <c r="D546" s="106">
        <v>-13878</v>
      </c>
      <c r="E546" s="106">
        <v>0</v>
      </c>
      <c r="F546" s="106">
        <v>0</v>
      </c>
      <c r="G546" s="106">
        <v>0</v>
      </c>
      <c r="H546" s="106">
        <v>6678366</v>
      </c>
      <c r="I546" s="106">
        <v>-6678366</v>
      </c>
      <c r="J546" s="106">
        <v>0</v>
      </c>
      <c r="K546" s="106">
        <v>4952</v>
      </c>
      <c r="L546" s="106">
        <v>-4952</v>
      </c>
      <c r="M546" s="106">
        <v>0</v>
      </c>
      <c r="N546" s="106">
        <v>0</v>
      </c>
    </row>
    <row r="547" spans="1:14" ht="16" outlineLevel="1" thickBot="1" x14ac:dyDescent="0.4">
      <c r="A547" s="105" t="s">
        <v>440</v>
      </c>
      <c r="B547" s="79" t="s">
        <v>12</v>
      </c>
      <c r="C547" s="103">
        <f>SUBTOTAL(109,Program183[(C)
Program
Costs])</f>
        <v>35751574</v>
      </c>
      <c r="D547" s="103">
        <f>SUBTOTAL(109,Program183[(D)
Prior Period Adjustments])</f>
        <v>-795553</v>
      </c>
      <c r="E547" s="103">
        <f>SUBTOTAL(109,Program183[(E)
Current Period Desk 
Reviews])</f>
        <v>0</v>
      </c>
      <c r="F547" s="103">
        <f>SUBTOTAL(109,Program183[(F)
Current Period 
Final 
Audits])</f>
        <v>0</v>
      </c>
      <c r="G547" s="103">
        <f>SUBTOTAL(109,Program183[(G)
Current Period 
Other Adjustments])</f>
        <v>-456</v>
      </c>
      <c r="H547" s="103">
        <f>SUBTOTAL(109,Program183[(H)
Net Program Costs
Sum (C through G)])</f>
        <v>34955565</v>
      </c>
      <c r="I547" s="103">
        <f>SUBTOTAL(109,Program183[(I)
Payments
 and Offsets])</f>
        <v>-34398493</v>
      </c>
      <c r="J547" s="103">
        <f>SUBTOTAL(109,Program183[(J)
Accounts Payable Balance
(H + I)])</f>
        <v>557072</v>
      </c>
      <c r="K547" s="103">
        <f>SUBTOTAL(109,Program183[(K)
Established 
Accounts Receivable])</f>
        <v>3451433</v>
      </c>
      <c r="L547" s="103">
        <f>SUBTOTAL(109,Program183[(L)
Recovered
 Accounts Receivable])</f>
        <v>-3445888</v>
      </c>
      <c r="M547" s="103">
        <f>SUBTOTAL(109,Program183[(M)
Accounts Receivable Balance
(K + L)])</f>
        <v>5545</v>
      </c>
      <c r="N547" s="103">
        <f>SUBTOTAL(109,Program183[(N)
Net Balance
(J minus M)])</f>
        <v>551527</v>
      </c>
    </row>
    <row r="548" spans="1:14" ht="15.65" customHeight="1" outlineLevel="1" x14ac:dyDescent="0.35">
      <c r="A548" s="116" t="s">
        <v>33</v>
      </c>
      <c r="B548" s="115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</row>
    <row r="549" spans="1:14" ht="78.75" customHeight="1" outlineLevel="1" x14ac:dyDescent="0.35">
      <c r="A549" s="113" t="s">
        <v>185</v>
      </c>
      <c r="B549" s="112" t="s">
        <v>184</v>
      </c>
      <c r="C549" s="111" t="s">
        <v>183</v>
      </c>
      <c r="D549" s="111" t="s">
        <v>182</v>
      </c>
      <c r="E549" s="111" t="s">
        <v>181</v>
      </c>
      <c r="F549" s="111" t="s">
        <v>180</v>
      </c>
      <c r="G549" s="111" t="s">
        <v>179</v>
      </c>
      <c r="H549" s="110" t="s">
        <v>674</v>
      </c>
      <c r="I549" s="110" t="s">
        <v>178</v>
      </c>
      <c r="J549" s="110" t="s">
        <v>177</v>
      </c>
      <c r="K549" s="111" t="s">
        <v>176</v>
      </c>
      <c r="L549" s="110" t="s">
        <v>175</v>
      </c>
      <c r="M549" s="110" t="s">
        <v>174</v>
      </c>
      <c r="N549" s="109" t="s">
        <v>173</v>
      </c>
    </row>
    <row r="550" spans="1:14" outlineLevel="2" x14ac:dyDescent="0.35">
      <c r="A550" s="108" t="s">
        <v>560</v>
      </c>
      <c r="B550" s="108" t="s">
        <v>215</v>
      </c>
      <c r="C550" s="106">
        <v>2048</v>
      </c>
      <c r="D550" s="106">
        <v>0</v>
      </c>
      <c r="E550" s="106">
        <v>0</v>
      </c>
      <c r="F550" s="106">
        <v>0</v>
      </c>
      <c r="G550" s="106">
        <v>0</v>
      </c>
      <c r="H550" s="106">
        <v>2048</v>
      </c>
      <c r="I550" s="106">
        <v>0</v>
      </c>
      <c r="J550" s="106">
        <v>2048</v>
      </c>
      <c r="K550" s="106">
        <v>0</v>
      </c>
      <c r="L550" s="106">
        <v>0</v>
      </c>
      <c r="M550" s="106">
        <v>0</v>
      </c>
      <c r="N550" s="106">
        <v>2048</v>
      </c>
    </row>
    <row r="551" spans="1:14" outlineLevel="2" x14ac:dyDescent="0.35">
      <c r="A551" s="108" t="s">
        <v>560</v>
      </c>
      <c r="B551" s="108" t="s">
        <v>214</v>
      </c>
      <c r="C551" s="106">
        <v>3144</v>
      </c>
      <c r="D551" s="106">
        <v>0</v>
      </c>
      <c r="E551" s="106">
        <v>0</v>
      </c>
      <c r="F551" s="106">
        <v>0</v>
      </c>
      <c r="G551" s="106">
        <v>0</v>
      </c>
      <c r="H551" s="106">
        <v>3144</v>
      </c>
      <c r="I551" s="106">
        <v>-1000</v>
      </c>
      <c r="J551" s="106">
        <v>2144</v>
      </c>
      <c r="K551" s="106">
        <v>0</v>
      </c>
      <c r="L551" s="106">
        <v>0</v>
      </c>
      <c r="M551" s="106">
        <v>0</v>
      </c>
      <c r="N551" s="106">
        <v>2144</v>
      </c>
    </row>
    <row r="552" spans="1:14" outlineLevel="2" x14ac:dyDescent="0.35">
      <c r="A552" s="108" t="s">
        <v>560</v>
      </c>
      <c r="B552" s="108" t="s">
        <v>212</v>
      </c>
      <c r="C552" s="106">
        <v>3050</v>
      </c>
      <c r="D552" s="106">
        <v>0</v>
      </c>
      <c r="E552" s="106">
        <v>0</v>
      </c>
      <c r="F552" s="106">
        <v>0</v>
      </c>
      <c r="G552" s="106">
        <v>0</v>
      </c>
      <c r="H552" s="106">
        <v>3050</v>
      </c>
      <c r="I552" s="106">
        <v>-1000</v>
      </c>
      <c r="J552" s="106">
        <v>2050</v>
      </c>
      <c r="K552" s="106">
        <v>0</v>
      </c>
      <c r="L552" s="106">
        <v>0</v>
      </c>
      <c r="M552" s="106">
        <v>0</v>
      </c>
      <c r="N552" s="106">
        <v>2050</v>
      </c>
    </row>
    <row r="553" spans="1:14" outlineLevel="2" x14ac:dyDescent="0.35">
      <c r="A553" s="108" t="s">
        <v>560</v>
      </c>
      <c r="B553" s="108" t="s">
        <v>220</v>
      </c>
      <c r="C553" s="106">
        <v>4049</v>
      </c>
      <c r="D553" s="106">
        <v>0</v>
      </c>
      <c r="E553" s="106">
        <v>0</v>
      </c>
      <c r="F553" s="106">
        <v>0</v>
      </c>
      <c r="G553" s="106">
        <v>0</v>
      </c>
      <c r="H553" s="106">
        <v>4049</v>
      </c>
      <c r="I553" s="106">
        <v>-2448</v>
      </c>
      <c r="J553" s="106">
        <v>1601</v>
      </c>
      <c r="K553" s="106">
        <v>0</v>
      </c>
      <c r="L553" s="106">
        <v>0</v>
      </c>
      <c r="M553" s="106">
        <v>0</v>
      </c>
      <c r="N553" s="106">
        <v>1601</v>
      </c>
    </row>
    <row r="554" spans="1:14" outlineLevel="2" x14ac:dyDescent="0.35">
      <c r="A554" s="108" t="s">
        <v>560</v>
      </c>
      <c r="B554" s="108" t="s">
        <v>219</v>
      </c>
      <c r="C554" s="106">
        <v>12287</v>
      </c>
      <c r="D554" s="106">
        <v>0</v>
      </c>
      <c r="E554" s="106">
        <v>0</v>
      </c>
      <c r="F554" s="106">
        <v>0</v>
      </c>
      <c r="G554" s="106">
        <v>0</v>
      </c>
      <c r="H554" s="106">
        <v>12287</v>
      </c>
      <c r="I554" s="106">
        <v>-5287</v>
      </c>
      <c r="J554" s="106">
        <v>7000</v>
      </c>
      <c r="K554" s="106">
        <v>0</v>
      </c>
      <c r="L554" s="106">
        <v>0</v>
      </c>
      <c r="M554" s="106">
        <v>0</v>
      </c>
      <c r="N554" s="106">
        <v>7000</v>
      </c>
    </row>
    <row r="555" spans="1:14" outlineLevel="2" x14ac:dyDescent="0.35">
      <c r="A555" s="108" t="s">
        <v>560</v>
      </c>
      <c r="B555" s="108" t="s">
        <v>218</v>
      </c>
      <c r="C555" s="106">
        <v>33464</v>
      </c>
      <c r="D555" s="106">
        <v>0</v>
      </c>
      <c r="E555" s="106">
        <v>0</v>
      </c>
      <c r="F555" s="106">
        <v>0</v>
      </c>
      <c r="G555" s="106">
        <v>0</v>
      </c>
      <c r="H555" s="106">
        <v>33464</v>
      </c>
      <c r="I555" s="106">
        <v>-8855</v>
      </c>
      <c r="J555" s="106">
        <v>24609</v>
      </c>
      <c r="K555" s="106">
        <v>0</v>
      </c>
      <c r="L555" s="106">
        <v>0</v>
      </c>
      <c r="M555" s="106">
        <v>0</v>
      </c>
      <c r="N555" s="106">
        <v>24609</v>
      </c>
    </row>
    <row r="556" spans="1:14" outlineLevel="2" x14ac:dyDescent="0.35">
      <c r="A556" s="108" t="s">
        <v>560</v>
      </c>
      <c r="B556" s="108" t="s">
        <v>209</v>
      </c>
      <c r="C556" s="106">
        <v>81057</v>
      </c>
      <c r="D556" s="106">
        <v>0</v>
      </c>
      <c r="E556" s="106">
        <v>0</v>
      </c>
      <c r="F556" s="106">
        <v>0</v>
      </c>
      <c r="G556" s="106">
        <v>0</v>
      </c>
      <c r="H556" s="106">
        <v>81057</v>
      </c>
      <c r="I556" s="106">
        <v>-30477</v>
      </c>
      <c r="J556" s="106">
        <v>50580</v>
      </c>
      <c r="K556" s="106">
        <v>0</v>
      </c>
      <c r="L556" s="106">
        <v>0</v>
      </c>
      <c r="M556" s="106">
        <v>0</v>
      </c>
      <c r="N556" s="106">
        <v>50580</v>
      </c>
    </row>
    <row r="557" spans="1:14" outlineLevel="1" x14ac:dyDescent="0.35">
      <c r="A557" s="108" t="s">
        <v>560</v>
      </c>
      <c r="B557" s="108" t="s">
        <v>208</v>
      </c>
      <c r="C557" s="106">
        <v>500240</v>
      </c>
      <c r="D557" s="106">
        <v>-830</v>
      </c>
      <c r="E557" s="106">
        <v>0</v>
      </c>
      <c r="F557" s="106">
        <v>0</v>
      </c>
      <c r="G557" s="106">
        <v>0</v>
      </c>
      <c r="H557" s="106">
        <v>499410</v>
      </c>
      <c r="I557" s="106">
        <v>-262998</v>
      </c>
      <c r="J557" s="106">
        <v>236412</v>
      </c>
      <c r="K557" s="106">
        <v>0</v>
      </c>
      <c r="L557" s="106">
        <v>0</v>
      </c>
      <c r="M557" s="106">
        <v>0</v>
      </c>
      <c r="N557" s="106">
        <v>236412</v>
      </c>
    </row>
    <row r="558" spans="1:14" ht="15.65" customHeight="1" outlineLevel="1" x14ac:dyDescent="0.35">
      <c r="A558" s="108" t="s">
        <v>560</v>
      </c>
      <c r="B558" s="108" t="s">
        <v>206</v>
      </c>
      <c r="C558" s="106">
        <v>440327</v>
      </c>
      <c r="D558" s="106">
        <v>-1684</v>
      </c>
      <c r="E558" s="106">
        <v>0</v>
      </c>
      <c r="F558" s="106">
        <v>0</v>
      </c>
      <c r="G558" s="106">
        <v>0</v>
      </c>
      <c r="H558" s="106">
        <v>438643</v>
      </c>
      <c r="I558" s="106">
        <v>-278771</v>
      </c>
      <c r="J558" s="106">
        <v>159872</v>
      </c>
      <c r="K558" s="106">
        <v>0</v>
      </c>
      <c r="L558" s="106">
        <v>0</v>
      </c>
      <c r="M558" s="106">
        <v>0</v>
      </c>
      <c r="N558" s="106">
        <v>159872</v>
      </c>
    </row>
    <row r="559" spans="1:14" ht="15" customHeight="1" outlineLevel="1" x14ac:dyDescent="0.35">
      <c r="A559" s="108" t="s">
        <v>560</v>
      </c>
      <c r="B559" s="108" t="s">
        <v>205</v>
      </c>
      <c r="C559" s="106">
        <v>389087</v>
      </c>
      <c r="D559" s="106">
        <v>-6922</v>
      </c>
      <c r="E559" s="106">
        <v>0</v>
      </c>
      <c r="F559" s="106">
        <v>0</v>
      </c>
      <c r="G559" s="106">
        <v>0</v>
      </c>
      <c r="H559" s="106">
        <v>382165</v>
      </c>
      <c r="I559" s="106">
        <v>-323806</v>
      </c>
      <c r="J559" s="106">
        <v>58359</v>
      </c>
      <c r="K559" s="106">
        <v>0</v>
      </c>
      <c r="L559" s="106">
        <v>0</v>
      </c>
      <c r="M559" s="106">
        <v>0</v>
      </c>
      <c r="N559" s="106">
        <v>58359</v>
      </c>
    </row>
    <row r="560" spans="1:14" outlineLevel="2" x14ac:dyDescent="0.35">
      <c r="A560" s="108" t="s">
        <v>560</v>
      </c>
      <c r="B560" s="108" t="s">
        <v>204</v>
      </c>
      <c r="C560" s="106">
        <v>369859</v>
      </c>
      <c r="D560" s="106">
        <v>-1207</v>
      </c>
      <c r="E560" s="106">
        <v>0</v>
      </c>
      <c r="F560" s="106">
        <v>0</v>
      </c>
      <c r="G560" s="106">
        <v>0</v>
      </c>
      <c r="H560" s="106">
        <v>368652</v>
      </c>
      <c r="I560" s="106">
        <v>-365323</v>
      </c>
      <c r="J560" s="106">
        <v>3329</v>
      </c>
      <c r="K560" s="106">
        <v>1055</v>
      </c>
      <c r="L560" s="106">
        <v>0</v>
      </c>
      <c r="M560" s="106">
        <v>1055</v>
      </c>
      <c r="N560" s="106">
        <v>2274</v>
      </c>
    </row>
    <row r="561" spans="1:14" outlineLevel="2" x14ac:dyDescent="0.35">
      <c r="A561" s="108" t="s">
        <v>560</v>
      </c>
      <c r="B561" s="108" t="s">
        <v>203</v>
      </c>
      <c r="C561" s="106">
        <v>466050</v>
      </c>
      <c r="D561" s="106">
        <v>-6918</v>
      </c>
      <c r="E561" s="106">
        <v>0</v>
      </c>
      <c r="F561" s="106">
        <v>0</v>
      </c>
      <c r="G561" s="106">
        <v>0</v>
      </c>
      <c r="H561" s="106">
        <v>459132</v>
      </c>
      <c r="I561" s="106">
        <v>-388107</v>
      </c>
      <c r="J561" s="106">
        <v>71025</v>
      </c>
      <c r="K561" s="106">
        <v>0</v>
      </c>
      <c r="L561" s="106">
        <v>0</v>
      </c>
      <c r="M561" s="106">
        <v>0</v>
      </c>
      <c r="N561" s="106">
        <v>71025</v>
      </c>
    </row>
    <row r="562" spans="1:14" outlineLevel="2" x14ac:dyDescent="0.35">
      <c r="A562" s="108" t="s">
        <v>560</v>
      </c>
      <c r="B562" s="108" t="s">
        <v>202</v>
      </c>
      <c r="C562" s="106">
        <v>563734</v>
      </c>
      <c r="D562" s="106">
        <v>-12870</v>
      </c>
      <c r="E562" s="106">
        <v>0</v>
      </c>
      <c r="F562" s="106">
        <v>0</v>
      </c>
      <c r="G562" s="106">
        <v>0</v>
      </c>
      <c r="H562" s="106">
        <v>550864</v>
      </c>
      <c r="I562" s="106">
        <v>-508168</v>
      </c>
      <c r="J562" s="106">
        <v>42696</v>
      </c>
      <c r="K562" s="106">
        <v>6681</v>
      </c>
      <c r="L562" s="106">
        <v>-4892</v>
      </c>
      <c r="M562" s="106">
        <v>1789</v>
      </c>
      <c r="N562" s="106">
        <v>40907</v>
      </c>
    </row>
    <row r="563" spans="1:14" outlineLevel="1" x14ac:dyDescent="0.35">
      <c r="A563" s="108" t="s">
        <v>560</v>
      </c>
      <c r="B563" s="108" t="s">
        <v>201</v>
      </c>
      <c r="C563" s="106">
        <v>360612</v>
      </c>
      <c r="D563" s="106">
        <v>-15528</v>
      </c>
      <c r="E563" s="106">
        <v>0</v>
      </c>
      <c r="F563" s="106">
        <v>0</v>
      </c>
      <c r="G563" s="106">
        <v>0</v>
      </c>
      <c r="H563" s="106">
        <v>345084</v>
      </c>
      <c r="I563" s="106">
        <v>-339843</v>
      </c>
      <c r="J563" s="106">
        <v>5241</v>
      </c>
      <c r="K563" s="106">
        <v>0</v>
      </c>
      <c r="L563" s="106">
        <v>0</v>
      </c>
      <c r="M563" s="106">
        <v>0</v>
      </c>
      <c r="N563" s="106">
        <v>5241</v>
      </c>
    </row>
    <row r="564" spans="1:14" ht="15.65" customHeight="1" outlineLevel="1" x14ac:dyDescent="0.35">
      <c r="A564" s="108" t="s">
        <v>560</v>
      </c>
      <c r="B564" s="108" t="s">
        <v>200</v>
      </c>
      <c r="C564" s="106">
        <v>424532</v>
      </c>
      <c r="D564" s="106">
        <v>-14151</v>
      </c>
      <c r="E564" s="106">
        <v>0</v>
      </c>
      <c r="F564" s="106">
        <v>0</v>
      </c>
      <c r="G564" s="106">
        <v>0</v>
      </c>
      <c r="H564" s="106">
        <v>410381</v>
      </c>
      <c r="I564" s="106">
        <v>-410381</v>
      </c>
      <c r="J564" s="106">
        <v>0</v>
      </c>
      <c r="K564" s="106">
        <v>13269</v>
      </c>
      <c r="L564" s="106">
        <v>0</v>
      </c>
      <c r="M564" s="106">
        <v>13269</v>
      </c>
      <c r="N564" s="106">
        <v>-13269</v>
      </c>
    </row>
    <row r="565" spans="1:14" ht="15" customHeight="1" outlineLevel="1" x14ac:dyDescent="0.35">
      <c r="A565" s="108" t="s">
        <v>560</v>
      </c>
      <c r="B565" s="108" t="s">
        <v>199</v>
      </c>
      <c r="C565" s="106">
        <v>245684</v>
      </c>
      <c r="D565" s="106">
        <v>-417</v>
      </c>
      <c r="E565" s="106">
        <v>0</v>
      </c>
      <c r="F565" s="106">
        <v>0</v>
      </c>
      <c r="G565" s="106">
        <v>0</v>
      </c>
      <c r="H565" s="106">
        <v>245267</v>
      </c>
      <c r="I565" s="106">
        <v>-245267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</row>
    <row r="566" spans="1:14" outlineLevel="2" x14ac:dyDescent="0.35">
      <c r="A566" s="108" t="s">
        <v>560</v>
      </c>
      <c r="B566" s="108" t="s">
        <v>198</v>
      </c>
      <c r="C566" s="106">
        <v>46382</v>
      </c>
      <c r="D566" s="106">
        <v>0</v>
      </c>
      <c r="E566" s="106">
        <v>0</v>
      </c>
      <c r="F566" s="106">
        <v>0</v>
      </c>
      <c r="G566" s="106">
        <v>0</v>
      </c>
      <c r="H566" s="106">
        <v>46382</v>
      </c>
      <c r="I566" s="106">
        <v>-46382</v>
      </c>
      <c r="J566" s="106">
        <v>0</v>
      </c>
      <c r="K566" s="106">
        <v>0</v>
      </c>
      <c r="L566" s="106">
        <v>0</v>
      </c>
      <c r="M566" s="106">
        <v>0</v>
      </c>
      <c r="N566" s="106">
        <v>0</v>
      </c>
    </row>
    <row r="567" spans="1:14" outlineLevel="2" x14ac:dyDescent="0.35">
      <c r="A567" s="108" t="s">
        <v>560</v>
      </c>
      <c r="B567" s="108" t="s">
        <v>197</v>
      </c>
      <c r="C567" s="106">
        <v>44589</v>
      </c>
      <c r="D567" s="106">
        <v>0</v>
      </c>
      <c r="E567" s="106">
        <v>0</v>
      </c>
      <c r="F567" s="106">
        <v>0</v>
      </c>
      <c r="G567" s="106">
        <v>0</v>
      </c>
      <c r="H567" s="106">
        <v>44589</v>
      </c>
      <c r="I567" s="106">
        <v>-44589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</row>
    <row r="568" spans="1:14" outlineLevel="2" x14ac:dyDescent="0.35">
      <c r="A568" s="108" t="s">
        <v>560</v>
      </c>
      <c r="B568" s="108" t="s">
        <v>196</v>
      </c>
      <c r="C568" s="106">
        <v>39338</v>
      </c>
      <c r="D568" s="106">
        <v>0</v>
      </c>
      <c r="E568" s="106">
        <v>0</v>
      </c>
      <c r="F568" s="106">
        <v>0</v>
      </c>
      <c r="G568" s="106">
        <v>0</v>
      </c>
      <c r="H568" s="106">
        <v>39338</v>
      </c>
      <c r="I568" s="106">
        <v>-39338</v>
      </c>
      <c r="J568" s="106">
        <v>0</v>
      </c>
      <c r="K568" s="106">
        <v>0</v>
      </c>
      <c r="L568" s="106">
        <v>0</v>
      </c>
      <c r="M568" s="106">
        <v>0</v>
      </c>
      <c r="N568" s="106">
        <v>0</v>
      </c>
    </row>
    <row r="569" spans="1:14" outlineLevel="2" x14ac:dyDescent="0.35">
      <c r="A569" s="108" t="s">
        <v>560</v>
      </c>
      <c r="B569" s="108" t="s">
        <v>195</v>
      </c>
      <c r="C569" s="106">
        <v>37114</v>
      </c>
      <c r="D569" s="106">
        <v>0</v>
      </c>
      <c r="E569" s="106">
        <v>0</v>
      </c>
      <c r="F569" s="106">
        <v>0</v>
      </c>
      <c r="G569" s="106">
        <v>0</v>
      </c>
      <c r="H569" s="106">
        <v>37114</v>
      </c>
      <c r="I569" s="106">
        <v>-37114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</row>
    <row r="570" spans="1:14" ht="16" outlineLevel="2" thickBot="1" x14ac:dyDescent="0.4">
      <c r="A570" s="105" t="s">
        <v>439</v>
      </c>
      <c r="B570" s="79" t="s">
        <v>12</v>
      </c>
      <c r="C570" s="103">
        <f>SUBTOTAL(109,Program251[(C)
Program
Costs])</f>
        <v>4066647</v>
      </c>
      <c r="D570" s="103">
        <f>SUBTOTAL(109,Program251[(D)
Prior Period Adjustments])</f>
        <v>-60527</v>
      </c>
      <c r="E570" s="103">
        <f>SUBTOTAL(109,Program251[(E)
Current Period Desk 
Reviews])</f>
        <v>0</v>
      </c>
      <c r="F570" s="103">
        <f>SUBTOTAL(109,Program251[(F)
Current Period 
Final 
Audits])</f>
        <v>0</v>
      </c>
      <c r="G570" s="103">
        <f>SUBTOTAL(109,Program251[(G)
Current Period 
Other Adjustments])</f>
        <v>0</v>
      </c>
      <c r="H570" s="103">
        <f>SUBTOTAL(109,Program251[(H)
Net Program Costs
Sum (C through G)])</f>
        <v>4006120</v>
      </c>
      <c r="I570" s="103">
        <f>SUBTOTAL(109,Program251[(I)
Payments
 and Offsets])</f>
        <v>-3339154</v>
      </c>
      <c r="J570" s="103">
        <f>SUBTOTAL(109,Program251[(J)
Accounts Payable Balance
(H + I)])</f>
        <v>666966</v>
      </c>
      <c r="K570" s="103">
        <f>SUBTOTAL(109,Program251[(K)
Established 
Accounts Receivable])</f>
        <v>21005</v>
      </c>
      <c r="L570" s="103">
        <f>SUBTOTAL(109,Program251[(L)
Recovered
 Accounts Receivable])</f>
        <v>-4892</v>
      </c>
      <c r="M570" s="103">
        <f>SUBTOTAL(109,Program251[(M)
Accounts Receivable Balance
(K + L)])</f>
        <v>16113</v>
      </c>
      <c r="N570" s="103">
        <f>SUBTOTAL(109,Program251[(N)
Net Balance
(J minus M)])</f>
        <v>650853</v>
      </c>
    </row>
    <row r="571" spans="1:14" outlineLevel="2" x14ac:dyDescent="0.35">
      <c r="A571" s="116" t="s">
        <v>33</v>
      </c>
      <c r="B571" s="115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</row>
    <row r="572" spans="1:14" ht="77.5" outlineLevel="2" x14ac:dyDescent="0.35">
      <c r="A572" s="113" t="s">
        <v>185</v>
      </c>
      <c r="B572" s="112" t="s">
        <v>184</v>
      </c>
      <c r="C572" s="111" t="s">
        <v>183</v>
      </c>
      <c r="D572" s="111" t="s">
        <v>182</v>
      </c>
      <c r="E572" s="111" t="s">
        <v>181</v>
      </c>
      <c r="F572" s="111" t="s">
        <v>180</v>
      </c>
      <c r="G572" s="111" t="s">
        <v>179</v>
      </c>
      <c r="H572" s="110" t="s">
        <v>674</v>
      </c>
      <c r="I572" s="110" t="s">
        <v>178</v>
      </c>
      <c r="J572" s="110" t="s">
        <v>177</v>
      </c>
      <c r="K572" s="111" t="s">
        <v>176</v>
      </c>
      <c r="L572" s="110" t="s">
        <v>175</v>
      </c>
      <c r="M572" s="110" t="s">
        <v>174</v>
      </c>
      <c r="N572" s="109" t="s">
        <v>173</v>
      </c>
    </row>
    <row r="573" spans="1:14" outlineLevel="2" x14ac:dyDescent="0.35">
      <c r="A573" s="108" t="s">
        <v>559</v>
      </c>
      <c r="B573" s="108" t="s">
        <v>218</v>
      </c>
      <c r="C573" s="106">
        <v>10130</v>
      </c>
      <c r="D573" s="106">
        <v>-124</v>
      </c>
      <c r="E573" s="106">
        <v>0</v>
      </c>
      <c r="F573" s="106">
        <v>0</v>
      </c>
      <c r="G573" s="106">
        <v>0</v>
      </c>
      <c r="H573" s="106">
        <v>10006</v>
      </c>
      <c r="I573" s="106">
        <v>-10006</v>
      </c>
      <c r="J573" s="106">
        <v>0</v>
      </c>
      <c r="K573" s="106">
        <v>0</v>
      </c>
      <c r="L573" s="106">
        <v>0</v>
      </c>
      <c r="M573" s="106">
        <v>0</v>
      </c>
      <c r="N573" s="106">
        <v>0</v>
      </c>
    </row>
    <row r="574" spans="1:14" outlineLevel="2" x14ac:dyDescent="0.35">
      <c r="A574" s="108" t="s">
        <v>559</v>
      </c>
      <c r="B574" s="108" t="s">
        <v>209</v>
      </c>
      <c r="C574" s="106">
        <v>3808</v>
      </c>
      <c r="D574" s="106">
        <v>0</v>
      </c>
      <c r="E574" s="106">
        <v>0</v>
      </c>
      <c r="F574" s="106">
        <v>0</v>
      </c>
      <c r="G574" s="106">
        <v>0</v>
      </c>
      <c r="H574" s="106">
        <v>3808</v>
      </c>
      <c r="I574" s="106">
        <v>-3808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</row>
    <row r="575" spans="1:14" outlineLevel="2" x14ac:dyDescent="0.35">
      <c r="A575" s="108" t="s">
        <v>559</v>
      </c>
      <c r="B575" s="108" t="s">
        <v>208</v>
      </c>
      <c r="C575" s="106">
        <v>32598</v>
      </c>
      <c r="D575" s="106">
        <v>-241</v>
      </c>
      <c r="E575" s="106">
        <v>0</v>
      </c>
      <c r="F575" s="106">
        <v>0</v>
      </c>
      <c r="G575" s="106">
        <v>0</v>
      </c>
      <c r="H575" s="106">
        <v>32357</v>
      </c>
      <c r="I575" s="106">
        <v>-32357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</row>
    <row r="576" spans="1:14" outlineLevel="2" x14ac:dyDescent="0.35">
      <c r="A576" s="108" t="s">
        <v>559</v>
      </c>
      <c r="B576" s="108" t="s">
        <v>206</v>
      </c>
      <c r="C576" s="106">
        <v>51333</v>
      </c>
      <c r="D576" s="106">
        <v>-237</v>
      </c>
      <c r="E576" s="106">
        <v>0</v>
      </c>
      <c r="F576" s="106">
        <v>0</v>
      </c>
      <c r="G576" s="106">
        <v>0</v>
      </c>
      <c r="H576" s="106">
        <v>51096</v>
      </c>
      <c r="I576" s="106">
        <v>-24635</v>
      </c>
      <c r="J576" s="106">
        <v>26461</v>
      </c>
      <c r="K576" s="106">
        <v>0</v>
      </c>
      <c r="L576" s="106">
        <v>0</v>
      </c>
      <c r="M576" s="106">
        <v>0</v>
      </c>
      <c r="N576" s="106">
        <v>26461</v>
      </c>
    </row>
    <row r="577" spans="1:14" outlineLevel="2" x14ac:dyDescent="0.35">
      <c r="A577" s="108" t="s">
        <v>559</v>
      </c>
      <c r="B577" s="108" t="s">
        <v>205</v>
      </c>
      <c r="C577" s="106">
        <v>66084</v>
      </c>
      <c r="D577" s="106">
        <v>-291</v>
      </c>
      <c r="E577" s="106">
        <v>0</v>
      </c>
      <c r="F577" s="106">
        <v>0</v>
      </c>
      <c r="G577" s="106">
        <v>0</v>
      </c>
      <c r="H577" s="106">
        <v>65793</v>
      </c>
      <c r="I577" s="106">
        <v>-47649</v>
      </c>
      <c r="J577" s="106">
        <v>18144</v>
      </c>
      <c r="K577" s="106">
        <v>0</v>
      </c>
      <c r="L577" s="106">
        <v>0</v>
      </c>
      <c r="M577" s="106">
        <v>0</v>
      </c>
      <c r="N577" s="106">
        <v>18144</v>
      </c>
    </row>
    <row r="578" spans="1:14" outlineLevel="2" x14ac:dyDescent="0.35">
      <c r="A578" s="108" t="s">
        <v>559</v>
      </c>
      <c r="B578" s="108" t="s">
        <v>204</v>
      </c>
      <c r="C578" s="106">
        <v>34717</v>
      </c>
      <c r="D578" s="106">
        <v>-337</v>
      </c>
      <c r="E578" s="106">
        <v>0</v>
      </c>
      <c r="F578" s="106">
        <v>0</v>
      </c>
      <c r="G578" s="106">
        <v>0</v>
      </c>
      <c r="H578" s="106">
        <v>34380</v>
      </c>
      <c r="I578" s="106">
        <v>-31472</v>
      </c>
      <c r="J578" s="106">
        <v>2908</v>
      </c>
      <c r="K578" s="106">
        <v>0</v>
      </c>
      <c r="L578" s="106">
        <v>0</v>
      </c>
      <c r="M578" s="106">
        <v>0</v>
      </c>
      <c r="N578" s="106">
        <v>2908</v>
      </c>
    </row>
    <row r="579" spans="1:14" outlineLevel="2" x14ac:dyDescent="0.35">
      <c r="A579" s="108" t="s">
        <v>559</v>
      </c>
      <c r="B579" s="108" t="s">
        <v>203</v>
      </c>
      <c r="C579" s="106">
        <v>46577</v>
      </c>
      <c r="D579" s="106">
        <v>-291</v>
      </c>
      <c r="E579" s="106">
        <v>0</v>
      </c>
      <c r="F579" s="106">
        <v>0</v>
      </c>
      <c r="G579" s="106">
        <v>0</v>
      </c>
      <c r="H579" s="106">
        <v>46286</v>
      </c>
      <c r="I579" s="106">
        <v>-46286</v>
      </c>
      <c r="J579" s="106">
        <v>0</v>
      </c>
      <c r="K579" s="106">
        <v>0</v>
      </c>
      <c r="L579" s="106">
        <v>0</v>
      </c>
      <c r="M579" s="106">
        <v>0</v>
      </c>
      <c r="N579" s="106">
        <v>0</v>
      </c>
    </row>
    <row r="580" spans="1:14" outlineLevel="2" x14ac:dyDescent="0.35">
      <c r="A580" s="108" t="s">
        <v>559</v>
      </c>
      <c r="B580" s="108" t="s">
        <v>202</v>
      </c>
      <c r="C580" s="106">
        <v>31277</v>
      </c>
      <c r="D580" s="106">
        <v>-189</v>
      </c>
      <c r="E580" s="106">
        <v>0</v>
      </c>
      <c r="F580" s="106">
        <v>0</v>
      </c>
      <c r="G580" s="106">
        <v>0</v>
      </c>
      <c r="H580" s="106">
        <v>31088</v>
      </c>
      <c r="I580" s="106">
        <v>-31088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</row>
    <row r="581" spans="1:14" outlineLevel="2" x14ac:dyDescent="0.35">
      <c r="A581" s="108" t="s">
        <v>559</v>
      </c>
      <c r="B581" s="108" t="s">
        <v>201</v>
      </c>
      <c r="C581" s="106">
        <v>40677</v>
      </c>
      <c r="D581" s="106">
        <v>0</v>
      </c>
      <c r="E581" s="106">
        <v>0</v>
      </c>
      <c r="F581" s="106">
        <v>0</v>
      </c>
      <c r="G581" s="106">
        <v>0</v>
      </c>
      <c r="H581" s="106">
        <v>40677</v>
      </c>
      <c r="I581" s="106">
        <v>-40677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</row>
    <row r="582" spans="1:14" outlineLevel="2" x14ac:dyDescent="0.35">
      <c r="A582" s="108" t="s">
        <v>559</v>
      </c>
      <c r="B582" s="108" t="s">
        <v>200</v>
      </c>
      <c r="C582" s="106">
        <v>23209</v>
      </c>
      <c r="D582" s="106">
        <v>0</v>
      </c>
      <c r="E582" s="106">
        <v>0</v>
      </c>
      <c r="F582" s="106">
        <v>0</v>
      </c>
      <c r="G582" s="106">
        <v>0</v>
      </c>
      <c r="H582" s="106">
        <v>23209</v>
      </c>
      <c r="I582" s="106">
        <v>-23209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</row>
    <row r="583" spans="1:14" outlineLevel="1" x14ac:dyDescent="0.35">
      <c r="A583" s="108" t="s">
        <v>559</v>
      </c>
      <c r="B583" s="108" t="s">
        <v>199</v>
      </c>
      <c r="C583" s="106">
        <v>36273</v>
      </c>
      <c r="D583" s="106">
        <v>0</v>
      </c>
      <c r="E583" s="106">
        <v>0</v>
      </c>
      <c r="F583" s="106">
        <v>0</v>
      </c>
      <c r="G583" s="106">
        <v>0</v>
      </c>
      <c r="H583" s="106">
        <v>36273</v>
      </c>
      <c r="I583" s="106">
        <v>-36273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</row>
    <row r="584" spans="1:14" ht="15.65" customHeight="1" outlineLevel="1" x14ac:dyDescent="0.35">
      <c r="A584" s="108" t="s">
        <v>559</v>
      </c>
      <c r="B584" s="108" t="s">
        <v>198</v>
      </c>
      <c r="C584" s="106">
        <v>19497</v>
      </c>
      <c r="D584" s="106">
        <v>0</v>
      </c>
      <c r="E584" s="106">
        <v>0</v>
      </c>
      <c r="F584" s="106">
        <v>0</v>
      </c>
      <c r="G584" s="106">
        <v>0</v>
      </c>
      <c r="H584" s="106">
        <v>19497</v>
      </c>
      <c r="I584" s="106">
        <v>-19497</v>
      </c>
      <c r="J584" s="106">
        <v>0</v>
      </c>
      <c r="K584" s="106">
        <v>0</v>
      </c>
      <c r="L584" s="106">
        <v>0</v>
      </c>
      <c r="M584" s="106">
        <v>0</v>
      </c>
      <c r="N584" s="106">
        <v>0</v>
      </c>
    </row>
    <row r="585" spans="1:14" ht="15" customHeight="1" outlineLevel="1" x14ac:dyDescent="0.35">
      <c r="A585" s="108" t="s">
        <v>559</v>
      </c>
      <c r="B585" s="108" t="s">
        <v>197</v>
      </c>
      <c r="C585" s="106">
        <v>18499</v>
      </c>
      <c r="D585" s="106">
        <v>0</v>
      </c>
      <c r="E585" s="106">
        <v>0</v>
      </c>
      <c r="F585" s="106">
        <v>0</v>
      </c>
      <c r="G585" s="106">
        <v>0</v>
      </c>
      <c r="H585" s="106">
        <v>18499</v>
      </c>
      <c r="I585" s="106">
        <v>-18499</v>
      </c>
      <c r="J585" s="106">
        <v>0</v>
      </c>
      <c r="K585" s="106">
        <v>0</v>
      </c>
      <c r="L585" s="106">
        <v>0</v>
      </c>
      <c r="M585" s="106">
        <v>0</v>
      </c>
      <c r="N585" s="106">
        <v>0</v>
      </c>
    </row>
    <row r="586" spans="1:14" ht="16" outlineLevel="2" thickBot="1" x14ac:dyDescent="0.4">
      <c r="A586" s="105" t="s">
        <v>438</v>
      </c>
      <c r="B586" s="79" t="s">
        <v>12</v>
      </c>
      <c r="C586" s="103">
        <f>SUBTOTAL(109,Program333[(C)
Program
Costs])</f>
        <v>414679</v>
      </c>
      <c r="D586" s="103">
        <f>SUBTOTAL(109,Program333[(D)
Prior Period Adjustments])</f>
        <v>-1710</v>
      </c>
      <c r="E586" s="103">
        <f>SUBTOTAL(109,Program333[(E)
Current Period Desk 
Reviews])</f>
        <v>0</v>
      </c>
      <c r="F586" s="103">
        <f>SUBTOTAL(109,Program333[(F)
Current Period 
Final 
Audits])</f>
        <v>0</v>
      </c>
      <c r="G586" s="103">
        <f>SUBTOTAL(109,Program333[(G)
Current Period 
Other Adjustments])</f>
        <v>0</v>
      </c>
      <c r="H586" s="103">
        <f>SUBTOTAL(109,Program333[(H)
Net Program Costs
Sum (C through G)])</f>
        <v>412969</v>
      </c>
      <c r="I586" s="103">
        <f>SUBTOTAL(109,Program333[(I)
Payments
 and Offsets])</f>
        <v>-365456</v>
      </c>
      <c r="J586" s="103">
        <f>SUBTOTAL(109,Program333[(J)
Accounts Payable Balance
(H + I)])</f>
        <v>47513</v>
      </c>
      <c r="K586" s="103">
        <f>SUBTOTAL(109,Program333[(K)
Established 
Accounts Receivable])</f>
        <v>0</v>
      </c>
      <c r="L586" s="103">
        <f>SUBTOTAL(109,Program333[(L)
Recovered
 Accounts Receivable])</f>
        <v>0</v>
      </c>
      <c r="M586" s="103">
        <f>SUBTOTAL(109,Program333[(M)
Accounts Receivable Balance
(K + L)])</f>
        <v>0</v>
      </c>
      <c r="N586" s="103">
        <f>SUBTOTAL(109,Program333[(N)
Net Balance
(J minus M)])</f>
        <v>47513</v>
      </c>
    </row>
    <row r="587" spans="1:14" outlineLevel="2" x14ac:dyDescent="0.35">
      <c r="A587" s="116" t="s">
        <v>33</v>
      </c>
      <c r="B587" s="115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</row>
    <row r="588" spans="1:14" ht="77.5" outlineLevel="2" x14ac:dyDescent="0.35">
      <c r="A588" s="113" t="s">
        <v>185</v>
      </c>
      <c r="B588" s="112" t="s">
        <v>184</v>
      </c>
      <c r="C588" s="111" t="s">
        <v>183</v>
      </c>
      <c r="D588" s="111" t="s">
        <v>182</v>
      </c>
      <c r="E588" s="111" t="s">
        <v>181</v>
      </c>
      <c r="F588" s="111" t="s">
        <v>180</v>
      </c>
      <c r="G588" s="111" t="s">
        <v>179</v>
      </c>
      <c r="H588" s="110" t="s">
        <v>674</v>
      </c>
      <c r="I588" s="110" t="s">
        <v>178</v>
      </c>
      <c r="J588" s="110" t="s">
        <v>177</v>
      </c>
      <c r="K588" s="111" t="s">
        <v>176</v>
      </c>
      <c r="L588" s="110" t="s">
        <v>175</v>
      </c>
      <c r="M588" s="110" t="s">
        <v>174</v>
      </c>
      <c r="N588" s="109" t="s">
        <v>173</v>
      </c>
    </row>
    <row r="589" spans="1:14" ht="15.5" customHeight="1" outlineLevel="2" x14ac:dyDescent="0.35">
      <c r="A589" s="77" t="s">
        <v>558</v>
      </c>
      <c r="B589" s="108" t="s">
        <v>208</v>
      </c>
      <c r="C589" s="106">
        <v>12801</v>
      </c>
      <c r="D589" s="106">
        <v>0</v>
      </c>
      <c r="E589" s="106">
        <v>0</v>
      </c>
      <c r="F589" s="106">
        <v>0</v>
      </c>
      <c r="G589" s="106">
        <v>0</v>
      </c>
      <c r="H589" s="106">
        <v>12801</v>
      </c>
      <c r="I589" s="106">
        <v>-12801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</row>
    <row r="590" spans="1:14" ht="15.5" customHeight="1" outlineLevel="2" x14ac:dyDescent="0.35">
      <c r="A590" s="77" t="s">
        <v>558</v>
      </c>
      <c r="B590" s="108" t="s">
        <v>206</v>
      </c>
      <c r="C590" s="106">
        <v>7611</v>
      </c>
      <c r="D590" s="106">
        <v>0</v>
      </c>
      <c r="E590" s="106">
        <v>0</v>
      </c>
      <c r="F590" s="106">
        <v>0</v>
      </c>
      <c r="G590" s="106">
        <v>0</v>
      </c>
      <c r="H590" s="106">
        <v>7611</v>
      </c>
      <c r="I590" s="106">
        <v>-7611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</row>
    <row r="591" spans="1:14" ht="15.5" customHeight="1" outlineLevel="2" x14ac:dyDescent="0.35">
      <c r="A591" s="77" t="s">
        <v>558</v>
      </c>
      <c r="B591" s="108" t="s">
        <v>205</v>
      </c>
      <c r="C591" s="106">
        <v>1032</v>
      </c>
      <c r="D591" s="106">
        <v>0</v>
      </c>
      <c r="E591" s="106">
        <v>0</v>
      </c>
      <c r="F591" s="106">
        <v>0</v>
      </c>
      <c r="G591" s="106">
        <v>0</v>
      </c>
      <c r="H591" s="106">
        <v>1032</v>
      </c>
      <c r="I591" s="106">
        <v>-1032</v>
      </c>
      <c r="J591" s="106">
        <v>0</v>
      </c>
      <c r="K591" s="106">
        <v>0</v>
      </c>
      <c r="L591" s="106">
        <v>0</v>
      </c>
      <c r="M591" s="106">
        <v>0</v>
      </c>
      <c r="N591" s="106">
        <v>0</v>
      </c>
    </row>
    <row r="592" spans="1:14" ht="15.5" customHeight="1" outlineLevel="2" x14ac:dyDescent="0.35">
      <c r="A592" s="77" t="s">
        <v>558</v>
      </c>
      <c r="B592" s="108" t="s">
        <v>204</v>
      </c>
      <c r="C592" s="106">
        <v>2996</v>
      </c>
      <c r="D592" s="106">
        <v>0</v>
      </c>
      <c r="E592" s="106">
        <v>0</v>
      </c>
      <c r="F592" s="106">
        <v>0</v>
      </c>
      <c r="G592" s="106">
        <v>0</v>
      </c>
      <c r="H592" s="106">
        <v>2996</v>
      </c>
      <c r="I592" s="106">
        <v>-2996</v>
      </c>
      <c r="J592" s="106">
        <v>0</v>
      </c>
      <c r="K592" s="106">
        <v>0</v>
      </c>
      <c r="L592" s="106">
        <v>0</v>
      </c>
      <c r="M592" s="106">
        <v>0</v>
      </c>
      <c r="N592" s="106">
        <v>0</v>
      </c>
    </row>
    <row r="593" spans="1:14" ht="15.5" customHeight="1" outlineLevel="2" x14ac:dyDescent="0.35">
      <c r="A593" s="77" t="s">
        <v>558</v>
      </c>
      <c r="B593" s="108" t="s">
        <v>202</v>
      </c>
      <c r="C593" s="106">
        <v>2919</v>
      </c>
      <c r="D593" s="106">
        <v>0</v>
      </c>
      <c r="E593" s="106">
        <v>0</v>
      </c>
      <c r="F593" s="106">
        <v>0</v>
      </c>
      <c r="G593" s="106">
        <v>0</v>
      </c>
      <c r="H593" s="106">
        <v>2919</v>
      </c>
      <c r="I593" s="106">
        <v>-2919</v>
      </c>
      <c r="J593" s="106">
        <v>0</v>
      </c>
      <c r="K593" s="106">
        <v>1262</v>
      </c>
      <c r="L593" s="106">
        <v>0</v>
      </c>
      <c r="M593" s="106">
        <v>1262</v>
      </c>
      <c r="N593" s="106">
        <v>-1262</v>
      </c>
    </row>
    <row r="594" spans="1:14" ht="15.5" customHeight="1" outlineLevel="2" x14ac:dyDescent="0.35">
      <c r="A594" s="77" t="s">
        <v>558</v>
      </c>
      <c r="B594" s="108" t="s">
        <v>201</v>
      </c>
      <c r="C594" s="106">
        <v>9089</v>
      </c>
      <c r="D594" s="106">
        <v>0</v>
      </c>
      <c r="E594" s="106">
        <v>0</v>
      </c>
      <c r="F594" s="106">
        <v>0</v>
      </c>
      <c r="G594" s="106">
        <v>0</v>
      </c>
      <c r="H594" s="106">
        <v>9089</v>
      </c>
      <c r="I594" s="106">
        <v>-9089</v>
      </c>
      <c r="J594" s="106">
        <v>0</v>
      </c>
      <c r="K594" s="106">
        <v>0</v>
      </c>
      <c r="L594" s="106">
        <v>0</v>
      </c>
      <c r="M594" s="106">
        <v>0</v>
      </c>
      <c r="N594" s="106">
        <v>0</v>
      </c>
    </row>
    <row r="595" spans="1:14" ht="15.5" customHeight="1" outlineLevel="2" x14ac:dyDescent="0.35">
      <c r="A595" s="77" t="s">
        <v>558</v>
      </c>
      <c r="B595" s="108" t="s">
        <v>200</v>
      </c>
      <c r="C595" s="106">
        <v>11762</v>
      </c>
      <c r="D595" s="106">
        <v>-1000</v>
      </c>
      <c r="E595" s="106">
        <v>0</v>
      </c>
      <c r="F595" s="106">
        <v>0</v>
      </c>
      <c r="G595" s="106">
        <v>0</v>
      </c>
      <c r="H595" s="106">
        <v>10762</v>
      </c>
      <c r="I595" s="106">
        <v>-10762</v>
      </c>
      <c r="J595" s="106">
        <v>0</v>
      </c>
      <c r="K595" s="106">
        <v>0</v>
      </c>
      <c r="L595" s="106">
        <v>0</v>
      </c>
      <c r="M595" s="106">
        <v>0</v>
      </c>
      <c r="N595" s="106">
        <v>0</v>
      </c>
    </row>
    <row r="596" spans="1:14" ht="16" outlineLevel="2" thickBot="1" x14ac:dyDescent="0.4">
      <c r="A596" s="105" t="s">
        <v>437</v>
      </c>
      <c r="B596" s="79" t="s">
        <v>12</v>
      </c>
      <c r="C596" s="103">
        <f>SUBTOTAL(109,Program253[(C)
Program
Costs])</f>
        <v>48210</v>
      </c>
      <c r="D596" s="103">
        <f>SUBTOTAL(109,Program253[(D)
Prior Period Adjustments])</f>
        <v>-1000</v>
      </c>
      <c r="E596" s="103">
        <f>SUBTOTAL(109,Program253[(E)
Current Period Desk 
Reviews])</f>
        <v>0</v>
      </c>
      <c r="F596" s="103">
        <f>SUBTOTAL(109,Program253[(F)
Current Period 
Final 
Audits])</f>
        <v>0</v>
      </c>
      <c r="G596" s="103">
        <f>SUBTOTAL(109,Program253[(G)
Current Period 
Other Adjustments])</f>
        <v>0</v>
      </c>
      <c r="H596" s="103">
        <f>SUBTOTAL(109,Program253[(H)
Net Program Costs
Sum (C through G)])</f>
        <v>47210</v>
      </c>
      <c r="I596" s="103">
        <f>SUBTOTAL(109,Program253[(I)
Payments
 and Offsets])</f>
        <v>-47210</v>
      </c>
      <c r="J596" s="103">
        <f>SUBTOTAL(109,Program253[(J)
Accounts Payable Balance
(H + I)])</f>
        <v>0</v>
      </c>
      <c r="K596" s="103">
        <f>SUBTOTAL(109,Program253[(K)
Established 
Accounts Receivable])</f>
        <v>1262</v>
      </c>
      <c r="L596" s="103">
        <f>SUBTOTAL(109,Program253[(L)
Recovered
 Accounts Receivable])</f>
        <v>0</v>
      </c>
      <c r="M596" s="103">
        <f>SUBTOTAL(109,Program253[(M)
Accounts Receivable Balance
(K + L)])</f>
        <v>1262</v>
      </c>
      <c r="N596" s="103">
        <f>SUBTOTAL(109,Program253[(N)
Net Balance
(J minus M)])</f>
        <v>-1262</v>
      </c>
    </row>
    <row r="597" spans="1:14" outlineLevel="1" x14ac:dyDescent="0.35">
      <c r="A597" s="116" t="s">
        <v>33</v>
      </c>
      <c r="B597" s="115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</row>
    <row r="598" spans="1:14" ht="78.75" customHeight="1" outlineLevel="1" x14ac:dyDescent="0.35">
      <c r="A598" s="113" t="s">
        <v>185</v>
      </c>
      <c r="B598" s="112" t="s">
        <v>184</v>
      </c>
      <c r="C598" s="111" t="s">
        <v>183</v>
      </c>
      <c r="D598" s="111" t="s">
        <v>182</v>
      </c>
      <c r="E598" s="111" t="s">
        <v>181</v>
      </c>
      <c r="F598" s="111" t="s">
        <v>180</v>
      </c>
      <c r="G598" s="111" t="s">
        <v>179</v>
      </c>
      <c r="H598" s="110" t="s">
        <v>674</v>
      </c>
      <c r="I598" s="110" t="s">
        <v>178</v>
      </c>
      <c r="J598" s="110" t="s">
        <v>177</v>
      </c>
      <c r="K598" s="111" t="s">
        <v>176</v>
      </c>
      <c r="L598" s="110" t="s">
        <v>175</v>
      </c>
      <c r="M598" s="110" t="s">
        <v>174</v>
      </c>
      <c r="N598" s="109" t="s">
        <v>173</v>
      </c>
    </row>
    <row r="599" spans="1:14" ht="45" customHeight="1" outlineLevel="1" x14ac:dyDescent="0.35">
      <c r="A599" s="77" t="s">
        <v>557</v>
      </c>
      <c r="B599" s="108" t="s">
        <v>201</v>
      </c>
      <c r="C599" s="106">
        <v>8422738</v>
      </c>
      <c r="D599" s="106">
        <v>-8422738</v>
      </c>
      <c r="E599" s="106">
        <v>0</v>
      </c>
      <c r="F599" s="106">
        <v>0</v>
      </c>
      <c r="G599" s="106">
        <v>0</v>
      </c>
      <c r="H599" s="106">
        <v>0</v>
      </c>
      <c r="I599" s="106">
        <v>0</v>
      </c>
      <c r="J599" s="106">
        <v>0</v>
      </c>
      <c r="K599" s="106">
        <v>0</v>
      </c>
      <c r="L599" s="106">
        <v>0</v>
      </c>
      <c r="M599" s="106">
        <v>0</v>
      </c>
      <c r="N599" s="106">
        <v>0</v>
      </c>
    </row>
    <row r="600" spans="1:14" ht="46.5" outlineLevel="2" x14ac:dyDescent="0.35">
      <c r="A600" s="77" t="s">
        <v>557</v>
      </c>
      <c r="B600" s="108" t="s">
        <v>200</v>
      </c>
      <c r="C600" s="106">
        <v>7774803</v>
      </c>
      <c r="D600" s="106">
        <v>-73557</v>
      </c>
      <c r="E600" s="106">
        <v>0</v>
      </c>
      <c r="F600" s="106">
        <v>0</v>
      </c>
      <c r="G600" s="106">
        <v>0</v>
      </c>
      <c r="H600" s="106">
        <v>7701246</v>
      </c>
      <c r="I600" s="106">
        <v>-7701246</v>
      </c>
      <c r="J600" s="106">
        <v>0</v>
      </c>
      <c r="K600" s="106">
        <v>2282478</v>
      </c>
      <c r="L600" s="106">
        <v>-2230738</v>
      </c>
      <c r="M600" s="106">
        <v>51740</v>
      </c>
      <c r="N600" s="106">
        <v>-51740</v>
      </c>
    </row>
    <row r="601" spans="1:14" ht="46.5" outlineLevel="2" x14ac:dyDescent="0.35">
      <c r="A601" s="77" t="s">
        <v>557</v>
      </c>
      <c r="B601" s="108" t="s">
        <v>199</v>
      </c>
      <c r="C601" s="106">
        <v>14754320</v>
      </c>
      <c r="D601" s="106">
        <v>-19137</v>
      </c>
      <c r="E601" s="106">
        <v>0</v>
      </c>
      <c r="F601" s="106">
        <v>0</v>
      </c>
      <c r="G601" s="106">
        <v>0</v>
      </c>
      <c r="H601" s="106">
        <v>14735183</v>
      </c>
      <c r="I601" s="106">
        <v>-14735183</v>
      </c>
      <c r="J601" s="106">
        <v>0</v>
      </c>
      <c r="K601" s="106">
        <v>133</v>
      </c>
      <c r="L601" s="106">
        <v>-133</v>
      </c>
      <c r="M601" s="106">
        <v>0</v>
      </c>
      <c r="N601" s="106">
        <v>0</v>
      </c>
    </row>
    <row r="602" spans="1:14" ht="16" outlineLevel="2" thickBot="1" x14ac:dyDescent="0.4">
      <c r="A602" s="105" t="s">
        <v>436</v>
      </c>
      <c r="B602" s="79" t="s">
        <v>12</v>
      </c>
      <c r="C602" s="103">
        <f>SUBTOTAL(109,Program225[(C)
Program
Costs])</f>
        <v>30951861</v>
      </c>
      <c r="D602" s="103">
        <f>SUBTOTAL(109,Program225[(D)
Prior Period Adjustments])</f>
        <v>-8515432</v>
      </c>
      <c r="E602" s="103">
        <f>SUBTOTAL(109,Program225[(E)
Current Period Desk 
Reviews])</f>
        <v>0</v>
      </c>
      <c r="F602" s="103">
        <f>SUBTOTAL(109,Program225[(F)
Current Period 
Final 
Audits])</f>
        <v>0</v>
      </c>
      <c r="G602" s="103">
        <f>SUBTOTAL(109,Program225[(G)
Current Period 
Other Adjustments])</f>
        <v>0</v>
      </c>
      <c r="H602" s="103">
        <f>SUBTOTAL(109,Program225[(H)
Net Program Costs
Sum (C through G)])</f>
        <v>22436429</v>
      </c>
      <c r="I602" s="103">
        <f>SUBTOTAL(109,Program225[(I)
Payments
 and Offsets])</f>
        <v>-22436429</v>
      </c>
      <c r="J602" s="103">
        <f>SUBTOTAL(109,Program225[(J)
Accounts Payable Balance
(H + I)])</f>
        <v>0</v>
      </c>
      <c r="K602" s="103">
        <f>SUBTOTAL(109,Program225[(K)
Established 
Accounts Receivable])</f>
        <v>2282611</v>
      </c>
      <c r="L602" s="103">
        <f>SUBTOTAL(109,Program225[(L)
Recovered
 Accounts Receivable])</f>
        <v>-2230871</v>
      </c>
      <c r="M602" s="103">
        <f>SUBTOTAL(109,Program225[(M)
Accounts Receivable Balance
(K + L)])</f>
        <v>51740</v>
      </c>
      <c r="N602" s="103">
        <f>SUBTOTAL(109,Program225[(N)
Net Balance
(J minus M)])</f>
        <v>-51740</v>
      </c>
    </row>
    <row r="603" spans="1:14" outlineLevel="2" x14ac:dyDescent="0.35">
      <c r="A603" s="116" t="s">
        <v>33</v>
      </c>
      <c r="B603" s="115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</row>
    <row r="604" spans="1:14" ht="77.5" outlineLevel="2" x14ac:dyDescent="0.35">
      <c r="A604" s="113" t="s">
        <v>185</v>
      </c>
      <c r="B604" s="112" t="s">
        <v>184</v>
      </c>
      <c r="C604" s="111" t="s">
        <v>183</v>
      </c>
      <c r="D604" s="111" t="s">
        <v>182</v>
      </c>
      <c r="E604" s="111" t="s">
        <v>181</v>
      </c>
      <c r="F604" s="111" t="s">
        <v>180</v>
      </c>
      <c r="G604" s="111" t="s">
        <v>179</v>
      </c>
      <c r="H604" s="110" t="s">
        <v>674</v>
      </c>
      <c r="I604" s="110" t="s">
        <v>178</v>
      </c>
      <c r="J604" s="110" t="s">
        <v>177</v>
      </c>
      <c r="K604" s="111" t="s">
        <v>176</v>
      </c>
      <c r="L604" s="110" t="s">
        <v>175</v>
      </c>
      <c r="M604" s="110" t="s">
        <v>174</v>
      </c>
      <c r="N604" s="109" t="s">
        <v>173</v>
      </c>
    </row>
    <row r="605" spans="1:14" ht="31" outlineLevel="2" x14ac:dyDescent="0.35">
      <c r="A605" s="77" t="s">
        <v>556</v>
      </c>
      <c r="B605" s="108" t="s">
        <v>198</v>
      </c>
      <c r="C605" s="106">
        <v>13403441</v>
      </c>
      <c r="D605" s="106">
        <v>-1595937</v>
      </c>
      <c r="E605" s="106">
        <v>0</v>
      </c>
      <c r="F605" s="106">
        <v>0</v>
      </c>
      <c r="G605" s="106">
        <v>0</v>
      </c>
      <c r="H605" s="106">
        <v>11807504</v>
      </c>
      <c r="I605" s="106">
        <v>-11807504</v>
      </c>
      <c r="J605" s="106">
        <v>0</v>
      </c>
      <c r="K605" s="106">
        <v>497738</v>
      </c>
      <c r="L605" s="106">
        <v>-497738</v>
      </c>
      <c r="M605" s="106">
        <v>0</v>
      </c>
      <c r="N605" s="106">
        <v>0</v>
      </c>
    </row>
    <row r="606" spans="1:14" ht="31" outlineLevel="2" x14ac:dyDescent="0.35">
      <c r="A606" s="77" t="s">
        <v>556</v>
      </c>
      <c r="B606" s="108" t="s">
        <v>197</v>
      </c>
      <c r="C606" s="106">
        <v>18075553</v>
      </c>
      <c r="D606" s="106">
        <v>-2195966</v>
      </c>
      <c r="E606" s="106">
        <v>0</v>
      </c>
      <c r="F606" s="106">
        <v>0</v>
      </c>
      <c r="G606" s="106">
        <v>0</v>
      </c>
      <c r="H606" s="106">
        <v>15879587</v>
      </c>
      <c r="I606" s="106">
        <v>-15879587</v>
      </c>
      <c r="J606" s="106">
        <v>0</v>
      </c>
      <c r="K606" s="106">
        <v>4530020</v>
      </c>
      <c r="L606" s="106">
        <v>-4529310</v>
      </c>
      <c r="M606" s="106">
        <v>710</v>
      </c>
      <c r="N606" s="106">
        <v>-710</v>
      </c>
    </row>
    <row r="607" spans="1:14" ht="31" outlineLevel="2" x14ac:dyDescent="0.35">
      <c r="A607" s="77" t="s">
        <v>556</v>
      </c>
      <c r="B607" s="108" t="s">
        <v>196</v>
      </c>
      <c r="C607" s="106">
        <v>20367495</v>
      </c>
      <c r="D607" s="106">
        <v>-856224</v>
      </c>
      <c r="E607" s="106">
        <v>0</v>
      </c>
      <c r="F607" s="106">
        <v>0</v>
      </c>
      <c r="G607" s="106">
        <v>0</v>
      </c>
      <c r="H607" s="106">
        <v>19511271</v>
      </c>
      <c r="I607" s="106">
        <v>-19511271</v>
      </c>
      <c r="J607" s="106">
        <v>0</v>
      </c>
      <c r="K607" s="106">
        <v>2603760</v>
      </c>
      <c r="L607" s="106">
        <v>-2603760</v>
      </c>
      <c r="M607" s="106">
        <v>0</v>
      </c>
      <c r="N607" s="106">
        <v>0</v>
      </c>
    </row>
    <row r="608" spans="1:14" ht="31" outlineLevel="2" x14ac:dyDescent="0.35">
      <c r="A608" s="77" t="s">
        <v>556</v>
      </c>
      <c r="B608" s="108" t="s">
        <v>195</v>
      </c>
      <c r="C608" s="106">
        <v>20415100</v>
      </c>
      <c r="D608" s="106">
        <v>9126268</v>
      </c>
      <c r="E608" s="106">
        <v>0</v>
      </c>
      <c r="F608" s="106">
        <v>0</v>
      </c>
      <c r="G608" s="106">
        <v>0</v>
      </c>
      <c r="H608" s="106">
        <v>29541368</v>
      </c>
      <c r="I608" s="106">
        <v>-29541368</v>
      </c>
      <c r="J608" s="106">
        <v>0</v>
      </c>
      <c r="K608" s="106">
        <v>626433</v>
      </c>
      <c r="L608" s="106">
        <v>-626433</v>
      </c>
      <c r="M608" s="106">
        <v>0</v>
      </c>
      <c r="N608" s="106">
        <v>0</v>
      </c>
    </row>
    <row r="609" spans="1:14" ht="31" outlineLevel="2" x14ac:dyDescent="0.35">
      <c r="A609" s="77" t="s">
        <v>556</v>
      </c>
      <c r="B609" s="108" t="s">
        <v>194</v>
      </c>
      <c r="C609" s="106">
        <v>24546693</v>
      </c>
      <c r="D609" s="106">
        <v>-35140</v>
      </c>
      <c r="E609" s="106">
        <v>0</v>
      </c>
      <c r="F609" s="106">
        <v>0</v>
      </c>
      <c r="G609" s="106">
        <v>0</v>
      </c>
      <c r="H609" s="106">
        <v>24511553</v>
      </c>
      <c r="I609" s="106">
        <v>-24511553</v>
      </c>
      <c r="J609" s="106">
        <v>0</v>
      </c>
      <c r="K609" s="106">
        <v>1691747</v>
      </c>
      <c r="L609" s="106">
        <v>-1691747</v>
      </c>
      <c r="M609" s="106">
        <v>0</v>
      </c>
      <c r="N609" s="106">
        <v>0</v>
      </c>
    </row>
    <row r="610" spans="1:14" ht="31" outlineLevel="2" x14ac:dyDescent="0.35">
      <c r="A610" s="77" t="s">
        <v>556</v>
      </c>
      <c r="B610" s="108" t="s">
        <v>193</v>
      </c>
      <c r="C610" s="106">
        <v>21488585</v>
      </c>
      <c r="D610" s="106">
        <v>-449872</v>
      </c>
      <c r="E610" s="106">
        <v>0</v>
      </c>
      <c r="F610" s="106">
        <v>0</v>
      </c>
      <c r="G610" s="106">
        <v>0</v>
      </c>
      <c r="H610" s="106">
        <v>21038713</v>
      </c>
      <c r="I610" s="106">
        <v>-21038713</v>
      </c>
      <c r="J610" s="106">
        <v>0</v>
      </c>
      <c r="K610" s="106">
        <v>1479796</v>
      </c>
      <c r="L610" s="106">
        <v>-1479331</v>
      </c>
      <c r="M610" s="106">
        <v>465</v>
      </c>
      <c r="N610" s="106">
        <v>-465</v>
      </c>
    </row>
    <row r="611" spans="1:14" ht="31" outlineLevel="2" x14ac:dyDescent="0.35">
      <c r="A611" s="77" t="s">
        <v>556</v>
      </c>
      <c r="B611" s="108" t="s">
        <v>192</v>
      </c>
      <c r="C611" s="106">
        <v>11687102</v>
      </c>
      <c r="D611" s="106">
        <v>-2363238</v>
      </c>
      <c r="E611" s="106">
        <v>0</v>
      </c>
      <c r="F611" s="106">
        <v>0</v>
      </c>
      <c r="G611" s="106">
        <v>0</v>
      </c>
      <c r="H611" s="106">
        <v>9323864</v>
      </c>
      <c r="I611" s="106">
        <v>-9323864</v>
      </c>
      <c r="J611" s="106">
        <v>0</v>
      </c>
      <c r="K611" s="106">
        <v>465947</v>
      </c>
      <c r="L611" s="106">
        <v>-465947</v>
      </c>
      <c r="M611" s="106">
        <v>0</v>
      </c>
      <c r="N611" s="106">
        <v>0</v>
      </c>
    </row>
    <row r="612" spans="1:14" ht="31" outlineLevel="2" x14ac:dyDescent="0.35">
      <c r="A612" s="77" t="s">
        <v>556</v>
      </c>
      <c r="B612" s="108" t="s">
        <v>191</v>
      </c>
      <c r="C612" s="106">
        <v>8217294</v>
      </c>
      <c r="D612" s="106">
        <v>-863083</v>
      </c>
      <c r="E612" s="106">
        <v>0</v>
      </c>
      <c r="F612" s="106">
        <v>0</v>
      </c>
      <c r="G612" s="106">
        <v>0</v>
      </c>
      <c r="H612" s="106">
        <v>7354211</v>
      </c>
      <c r="I612" s="106">
        <v>-7354211</v>
      </c>
      <c r="J612" s="106">
        <v>0</v>
      </c>
      <c r="K612" s="106">
        <v>62469</v>
      </c>
      <c r="L612" s="106">
        <v>-62179</v>
      </c>
      <c r="M612" s="106">
        <v>290</v>
      </c>
      <c r="N612" s="106">
        <v>-290</v>
      </c>
    </row>
    <row r="613" spans="1:14" ht="31" outlineLevel="2" x14ac:dyDescent="0.35">
      <c r="A613" s="77" t="s">
        <v>556</v>
      </c>
      <c r="B613" s="108" t="s">
        <v>190</v>
      </c>
      <c r="C613" s="106">
        <v>7314274</v>
      </c>
      <c r="D613" s="106">
        <v>-1557201</v>
      </c>
      <c r="E613" s="106">
        <v>0</v>
      </c>
      <c r="F613" s="106">
        <v>0</v>
      </c>
      <c r="G613" s="106">
        <v>0</v>
      </c>
      <c r="H613" s="106">
        <v>5757073</v>
      </c>
      <c r="I613" s="106">
        <v>-5757073</v>
      </c>
      <c r="J613" s="106">
        <v>0</v>
      </c>
      <c r="K613" s="106">
        <v>107414</v>
      </c>
      <c r="L613" s="106">
        <v>-107414</v>
      </c>
      <c r="M613" s="106">
        <v>0</v>
      </c>
      <c r="N613" s="106">
        <v>0</v>
      </c>
    </row>
    <row r="614" spans="1:14" ht="31" outlineLevel="2" x14ac:dyDescent="0.35">
      <c r="A614" s="77" t="s">
        <v>556</v>
      </c>
      <c r="B614" s="108" t="s">
        <v>189</v>
      </c>
      <c r="C614" s="106">
        <v>7279625</v>
      </c>
      <c r="D614" s="106">
        <v>-2644314</v>
      </c>
      <c r="E614" s="106">
        <v>0</v>
      </c>
      <c r="F614" s="106">
        <v>0</v>
      </c>
      <c r="G614" s="106">
        <v>0</v>
      </c>
      <c r="H614" s="106">
        <v>4635311</v>
      </c>
      <c r="I614" s="106">
        <v>-4635311</v>
      </c>
      <c r="J614" s="106">
        <v>0</v>
      </c>
      <c r="K614" s="106">
        <v>72608</v>
      </c>
      <c r="L614" s="106">
        <v>-72608</v>
      </c>
      <c r="M614" s="106">
        <v>0</v>
      </c>
      <c r="N614" s="106">
        <v>0</v>
      </c>
    </row>
    <row r="615" spans="1:14" ht="31" outlineLevel="2" x14ac:dyDescent="0.35">
      <c r="A615" s="77" t="s">
        <v>556</v>
      </c>
      <c r="B615" s="108" t="s">
        <v>188</v>
      </c>
      <c r="C615" s="106">
        <v>6264497</v>
      </c>
      <c r="D615" s="106">
        <v>-2902402</v>
      </c>
      <c r="E615" s="106">
        <v>0</v>
      </c>
      <c r="F615" s="106">
        <v>0</v>
      </c>
      <c r="G615" s="106">
        <v>0</v>
      </c>
      <c r="H615" s="106">
        <v>3362095</v>
      </c>
      <c r="I615" s="106">
        <v>-3362095</v>
      </c>
      <c r="J615" s="106">
        <v>0</v>
      </c>
      <c r="K615" s="106">
        <v>331602</v>
      </c>
      <c r="L615" s="106">
        <v>-331602</v>
      </c>
      <c r="M615" s="106">
        <v>0</v>
      </c>
      <c r="N615" s="106">
        <v>0</v>
      </c>
    </row>
    <row r="616" spans="1:14" ht="31" outlineLevel="2" x14ac:dyDescent="0.35">
      <c r="A616" s="77" t="s">
        <v>556</v>
      </c>
      <c r="B616" s="108" t="s">
        <v>186</v>
      </c>
      <c r="C616" s="106">
        <v>4761520</v>
      </c>
      <c r="D616" s="106">
        <v>-1924036</v>
      </c>
      <c r="E616" s="106">
        <v>0</v>
      </c>
      <c r="F616" s="106">
        <v>0</v>
      </c>
      <c r="G616" s="106">
        <v>0</v>
      </c>
      <c r="H616" s="106">
        <v>2837484</v>
      </c>
      <c r="I616" s="106">
        <v>-2837484</v>
      </c>
      <c r="J616" s="106">
        <v>0</v>
      </c>
      <c r="K616" s="106">
        <v>227495</v>
      </c>
      <c r="L616" s="106">
        <v>-227495</v>
      </c>
      <c r="M616" s="106">
        <v>0</v>
      </c>
      <c r="N616" s="106">
        <v>0</v>
      </c>
    </row>
    <row r="617" spans="1:14" ht="31" outlineLevel="2" x14ac:dyDescent="0.35">
      <c r="A617" s="77" t="s">
        <v>556</v>
      </c>
      <c r="B617" s="108" t="s">
        <v>227</v>
      </c>
      <c r="C617" s="106">
        <v>4672565</v>
      </c>
      <c r="D617" s="106">
        <v>-2252149</v>
      </c>
      <c r="E617" s="106">
        <v>0</v>
      </c>
      <c r="F617" s="106">
        <v>0</v>
      </c>
      <c r="G617" s="106">
        <v>0</v>
      </c>
      <c r="H617" s="106">
        <v>2420416</v>
      </c>
      <c r="I617" s="106">
        <v>-2420416</v>
      </c>
      <c r="J617" s="106">
        <v>0</v>
      </c>
      <c r="K617" s="106">
        <v>322412</v>
      </c>
      <c r="L617" s="106">
        <v>-322412</v>
      </c>
      <c r="M617" s="106">
        <v>0</v>
      </c>
      <c r="N617" s="106">
        <v>0</v>
      </c>
    </row>
    <row r="618" spans="1:14" ht="31" outlineLevel="2" x14ac:dyDescent="0.35">
      <c r="A618" s="77" t="s">
        <v>556</v>
      </c>
      <c r="B618" s="108" t="s">
        <v>226</v>
      </c>
      <c r="C618" s="106">
        <v>4860501</v>
      </c>
      <c r="D618" s="106">
        <v>-2555685</v>
      </c>
      <c r="E618" s="106">
        <v>0</v>
      </c>
      <c r="F618" s="106">
        <v>0</v>
      </c>
      <c r="G618" s="106">
        <v>0</v>
      </c>
      <c r="H618" s="106">
        <v>2304816</v>
      </c>
      <c r="I618" s="106">
        <v>-2304816</v>
      </c>
      <c r="J618" s="106">
        <v>0</v>
      </c>
      <c r="K618" s="106">
        <v>427212</v>
      </c>
      <c r="L618" s="106">
        <v>-427212</v>
      </c>
      <c r="M618" s="106">
        <v>0</v>
      </c>
      <c r="N618" s="106">
        <v>0</v>
      </c>
    </row>
    <row r="619" spans="1:14" ht="31" outlineLevel="2" x14ac:dyDescent="0.35">
      <c r="A619" s="77" t="s">
        <v>556</v>
      </c>
      <c r="B619" s="108" t="s">
        <v>225</v>
      </c>
      <c r="C619" s="106">
        <v>3366507</v>
      </c>
      <c r="D619" s="106">
        <v>-1528475</v>
      </c>
      <c r="E619" s="106">
        <v>0</v>
      </c>
      <c r="F619" s="106">
        <v>0</v>
      </c>
      <c r="G619" s="106">
        <v>0</v>
      </c>
      <c r="H619" s="106">
        <v>1838032</v>
      </c>
      <c r="I619" s="106">
        <v>-1838032</v>
      </c>
      <c r="J619" s="106">
        <v>0</v>
      </c>
      <c r="K619" s="106">
        <v>201719</v>
      </c>
      <c r="L619" s="106">
        <v>-201719</v>
      </c>
      <c r="M619" s="106">
        <v>0</v>
      </c>
      <c r="N619" s="106">
        <v>0</v>
      </c>
    </row>
    <row r="620" spans="1:14" ht="31" outlineLevel="2" x14ac:dyDescent="0.35">
      <c r="A620" s="77" t="s">
        <v>556</v>
      </c>
      <c r="B620" s="108" t="s">
        <v>223</v>
      </c>
      <c r="C620" s="106">
        <v>2745563</v>
      </c>
      <c r="D620" s="106">
        <v>-1119375</v>
      </c>
      <c r="E620" s="106">
        <v>0</v>
      </c>
      <c r="F620" s="106">
        <v>0</v>
      </c>
      <c r="G620" s="106">
        <v>0</v>
      </c>
      <c r="H620" s="106">
        <v>1626188</v>
      </c>
      <c r="I620" s="106">
        <v>-1626188</v>
      </c>
      <c r="J620" s="106">
        <v>0</v>
      </c>
      <c r="K620" s="106">
        <v>107339</v>
      </c>
      <c r="L620" s="106">
        <v>-107339</v>
      </c>
      <c r="M620" s="106">
        <v>0</v>
      </c>
      <c r="N620" s="106">
        <v>0</v>
      </c>
    </row>
    <row r="621" spans="1:14" ht="31" outlineLevel="2" x14ac:dyDescent="0.35">
      <c r="A621" s="77" t="s">
        <v>556</v>
      </c>
      <c r="B621" s="108" t="s">
        <v>257</v>
      </c>
      <c r="C621" s="106">
        <v>3461299</v>
      </c>
      <c r="D621" s="106">
        <v>-2061769</v>
      </c>
      <c r="E621" s="106">
        <v>0</v>
      </c>
      <c r="F621" s="106">
        <v>0</v>
      </c>
      <c r="G621" s="106">
        <v>0</v>
      </c>
      <c r="H621" s="106">
        <v>1399530</v>
      </c>
      <c r="I621" s="106">
        <v>-1399530</v>
      </c>
      <c r="J621" s="106">
        <v>0</v>
      </c>
      <c r="K621" s="106">
        <v>509192</v>
      </c>
      <c r="L621" s="106">
        <v>-509192</v>
      </c>
      <c r="M621" s="106">
        <v>0</v>
      </c>
      <c r="N621" s="106">
        <v>0</v>
      </c>
    </row>
    <row r="622" spans="1:14" ht="31" outlineLevel="2" x14ac:dyDescent="0.35">
      <c r="A622" s="77" t="s">
        <v>556</v>
      </c>
      <c r="B622" s="108" t="s">
        <v>255</v>
      </c>
      <c r="C622" s="106">
        <v>2250826</v>
      </c>
      <c r="D622" s="106">
        <v>-1192183</v>
      </c>
      <c r="E622" s="106">
        <v>0</v>
      </c>
      <c r="F622" s="106">
        <v>0</v>
      </c>
      <c r="G622" s="106">
        <v>0</v>
      </c>
      <c r="H622" s="106">
        <v>1058643</v>
      </c>
      <c r="I622" s="106">
        <v>-1058643</v>
      </c>
      <c r="J622" s="106">
        <v>0</v>
      </c>
      <c r="K622" s="106">
        <v>270587</v>
      </c>
      <c r="L622" s="106">
        <v>-270587</v>
      </c>
      <c r="M622" s="106">
        <v>0</v>
      </c>
      <c r="N622" s="106">
        <v>0</v>
      </c>
    </row>
    <row r="623" spans="1:14" ht="15.65" customHeight="1" outlineLevel="1" thickBot="1" x14ac:dyDescent="0.4">
      <c r="A623" s="105" t="s">
        <v>435</v>
      </c>
      <c r="B623" s="79" t="s">
        <v>12</v>
      </c>
      <c r="C623" s="103">
        <f>SUBTOTAL(109,Program75[(C)
Program
Costs])</f>
        <v>185178440</v>
      </c>
      <c r="D623" s="103">
        <f>SUBTOTAL(109,Program75[(D)
Prior Period Adjustments])</f>
        <v>-18970781</v>
      </c>
      <c r="E623" s="103">
        <f>SUBTOTAL(109,Program75[(E)
Current Period Desk 
Reviews])</f>
        <v>0</v>
      </c>
      <c r="F623" s="103">
        <f>SUBTOTAL(109,Program75[(F)
Current Period 
Final 
Audits])</f>
        <v>0</v>
      </c>
      <c r="G623" s="103">
        <f>SUBTOTAL(109,Program75[(G)
Current Period 
Other Adjustments])</f>
        <v>0</v>
      </c>
      <c r="H623" s="103">
        <f>SUBTOTAL(109,Program75[(H)
Net Program Costs
Sum (C through G)])</f>
        <v>166207659</v>
      </c>
      <c r="I623" s="103">
        <f>SUBTOTAL(109,Program75[(I)
Payments
 and Offsets])</f>
        <v>-166207659</v>
      </c>
      <c r="J623" s="103">
        <f>SUBTOTAL(109,Program75[(J)
Accounts Payable Balance
(H + I)])</f>
        <v>0</v>
      </c>
      <c r="K623" s="103">
        <f>SUBTOTAL(109,Program75[(K)
Established 
Accounts Receivable])</f>
        <v>14535490</v>
      </c>
      <c r="L623" s="103">
        <f>SUBTOTAL(109,Program75[(L)
Recovered
 Accounts Receivable])</f>
        <v>-14534025</v>
      </c>
      <c r="M623" s="103">
        <f>SUBTOTAL(109,Program75[(M)
Accounts Receivable Balance
(K + L)])</f>
        <v>1465</v>
      </c>
      <c r="N623" s="103">
        <f>SUBTOTAL(109,Program75[(N)
Net Balance
(J minus M)])</f>
        <v>-1465</v>
      </c>
    </row>
    <row r="624" spans="1:14" ht="15" customHeight="1" outlineLevel="1" x14ac:dyDescent="0.35">
      <c r="A624" s="116" t="s">
        <v>33</v>
      </c>
      <c r="B624" s="115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</row>
    <row r="625" spans="1:14" ht="77.5" outlineLevel="2" x14ac:dyDescent="0.35">
      <c r="A625" s="113" t="s">
        <v>185</v>
      </c>
      <c r="B625" s="112" t="s">
        <v>184</v>
      </c>
      <c r="C625" s="111" t="s">
        <v>183</v>
      </c>
      <c r="D625" s="111" t="s">
        <v>182</v>
      </c>
      <c r="E625" s="111" t="s">
        <v>181</v>
      </c>
      <c r="F625" s="111" t="s">
        <v>180</v>
      </c>
      <c r="G625" s="111" t="s">
        <v>179</v>
      </c>
      <c r="H625" s="110" t="s">
        <v>674</v>
      </c>
      <c r="I625" s="110" t="s">
        <v>178</v>
      </c>
      <c r="J625" s="110" t="s">
        <v>177</v>
      </c>
      <c r="K625" s="111" t="s">
        <v>176</v>
      </c>
      <c r="L625" s="110" t="s">
        <v>175</v>
      </c>
      <c r="M625" s="110" t="s">
        <v>174</v>
      </c>
      <c r="N625" s="109" t="s">
        <v>173</v>
      </c>
    </row>
    <row r="626" spans="1:14" outlineLevel="2" x14ac:dyDescent="0.35">
      <c r="A626" s="108" t="s">
        <v>555</v>
      </c>
      <c r="B626" s="108" t="s">
        <v>202</v>
      </c>
      <c r="C626" s="106">
        <v>1194</v>
      </c>
      <c r="D626" s="106">
        <v>-996</v>
      </c>
      <c r="E626" s="106">
        <v>0</v>
      </c>
      <c r="F626" s="106">
        <v>0</v>
      </c>
      <c r="G626" s="106">
        <v>0</v>
      </c>
      <c r="H626" s="106">
        <v>198</v>
      </c>
      <c r="I626" s="106">
        <v>-198</v>
      </c>
      <c r="J626" s="106">
        <v>0</v>
      </c>
      <c r="K626" s="106">
        <v>0</v>
      </c>
      <c r="L626" s="106">
        <v>0</v>
      </c>
      <c r="M626" s="106">
        <v>0</v>
      </c>
      <c r="N626" s="106">
        <v>0</v>
      </c>
    </row>
    <row r="627" spans="1:14" outlineLevel="2" x14ac:dyDescent="0.35">
      <c r="A627" s="108" t="s">
        <v>555</v>
      </c>
      <c r="B627" s="108" t="s">
        <v>201</v>
      </c>
      <c r="C627" s="106">
        <v>6707</v>
      </c>
      <c r="D627" s="106">
        <v>0</v>
      </c>
      <c r="E627" s="106">
        <v>0</v>
      </c>
      <c r="F627" s="106">
        <v>0</v>
      </c>
      <c r="G627" s="106">
        <v>0</v>
      </c>
      <c r="H627" s="106">
        <v>6707</v>
      </c>
      <c r="I627" s="106">
        <v>-6707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</row>
    <row r="628" spans="1:14" outlineLevel="2" x14ac:dyDescent="0.35">
      <c r="A628" s="108" t="s">
        <v>555</v>
      </c>
      <c r="B628" s="108" t="s">
        <v>200</v>
      </c>
      <c r="C628" s="106">
        <v>124723</v>
      </c>
      <c r="D628" s="106">
        <v>-1073</v>
      </c>
      <c r="E628" s="106">
        <v>0</v>
      </c>
      <c r="F628" s="106">
        <v>0</v>
      </c>
      <c r="G628" s="106">
        <v>0</v>
      </c>
      <c r="H628" s="106">
        <v>123650</v>
      </c>
      <c r="I628" s="106">
        <v>-123650</v>
      </c>
      <c r="J628" s="106">
        <v>0</v>
      </c>
      <c r="K628" s="106">
        <v>0</v>
      </c>
      <c r="L628" s="106">
        <v>0</v>
      </c>
      <c r="M628" s="106">
        <v>0</v>
      </c>
      <c r="N628" s="106">
        <v>0</v>
      </c>
    </row>
    <row r="629" spans="1:14" outlineLevel="2" x14ac:dyDescent="0.35">
      <c r="A629" s="108" t="s">
        <v>555</v>
      </c>
      <c r="B629" s="108" t="s">
        <v>199</v>
      </c>
      <c r="C629" s="106">
        <v>126321</v>
      </c>
      <c r="D629" s="106">
        <v>-574</v>
      </c>
      <c r="E629" s="106">
        <v>0</v>
      </c>
      <c r="F629" s="106">
        <v>0</v>
      </c>
      <c r="G629" s="106">
        <v>0</v>
      </c>
      <c r="H629" s="106">
        <v>125747</v>
      </c>
      <c r="I629" s="106">
        <v>-125747</v>
      </c>
      <c r="J629" s="106">
        <v>0</v>
      </c>
      <c r="K629" s="106">
        <v>0</v>
      </c>
      <c r="L629" s="106">
        <v>0</v>
      </c>
      <c r="M629" s="106">
        <v>0</v>
      </c>
      <c r="N629" s="106">
        <v>0</v>
      </c>
    </row>
    <row r="630" spans="1:14" outlineLevel="2" x14ac:dyDescent="0.35">
      <c r="A630" s="108" t="s">
        <v>555</v>
      </c>
      <c r="B630" s="108" t="s">
        <v>198</v>
      </c>
      <c r="C630" s="106">
        <v>157301</v>
      </c>
      <c r="D630" s="106">
        <v>-655</v>
      </c>
      <c r="E630" s="106">
        <v>0</v>
      </c>
      <c r="F630" s="106">
        <v>0</v>
      </c>
      <c r="G630" s="106">
        <v>0</v>
      </c>
      <c r="H630" s="106">
        <v>156646</v>
      </c>
      <c r="I630" s="106">
        <v>-156646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</row>
    <row r="631" spans="1:14" outlineLevel="1" x14ac:dyDescent="0.35">
      <c r="A631" s="108" t="s">
        <v>555</v>
      </c>
      <c r="B631" s="108" t="s">
        <v>197</v>
      </c>
      <c r="C631" s="106">
        <v>386894</v>
      </c>
      <c r="D631" s="106">
        <v>-5765</v>
      </c>
      <c r="E631" s="106">
        <v>0</v>
      </c>
      <c r="F631" s="106">
        <v>0</v>
      </c>
      <c r="G631" s="106">
        <v>0</v>
      </c>
      <c r="H631" s="106">
        <v>381129</v>
      </c>
      <c r="I631" s="106">
        <v>-381129</v>
      </c>
      <c r="J631" s="106">
        <v>0</v>
      </c>
      <c r="K631" s="106">
        <v>0</v>
      </c>
      <c r="L631" s="106">
        <v>0</v>
      </c>
      <c r="M631" s="106">
        <v>0</v>
      </c>
      <c r="N631" s="106">
        <v>0</v>
      </c>
    </row>
    <row r="632" spans="1:14" ht="15.65" customHeight="1" outlineLevel="1" x14ac:dyDescent="0.35">
      <c r="A632" s="108" t="s">
        <v>555</v>
      </c>
      <c r="B632" s="108" t="s">
        <v>196</v>
      </c>
      <c r="C632" s="106">
        <v>397347</v>
      </c>
      <c r="D632" s="106">
        <v>-2908</v>
      </c>
      <c r="E632" s="106">
        <v>0</v>
      </c>
      <c r="F632" s="106">
        <v>0</v>
      </c>
      <c r="G632" s="106">
        <v>0</v>
      </c>
      <c r="H632" s="106">
        <v>394439</v>
      </c>
      <c r="I632" s="106">
        <v>-394439</v>
      </c>
      <c r="J632" s="106">
        <v>0</v>
      </c>
      <c r="K632" s="106">
        <v>0</v>
      </c>
      <c r="L632" s="106">
        <v>0</v>
      </c>
      <c r="M632" s="106">
        <v>0</v>
      </c>
      <c r="N632" s="106">
        <v>0</v>
      </c>
    </row>
    <row r="633" spans="1:14" ht="15" customHeight="1" outlineLevel="1" x14ac:dyDescent="0.35">
      <c r="A633" s="108" t="s">
        <v>555</v>
      </c>
      <c r="B633" s="108" t="s">
        <v>195</v>
      </c>
      <c r="C633" s="106">
        <v>271697</v>
      </c>
      <c r="D633" s="106">
        <v>-1139</v>
      </c>
      <c r="E633" s="106">
        <v>0</v>
      </c>
      <c r="F633" s="106">
        <v>0</v>
      </c>
      <c r="G633" s="106">
        <v>0</v>
      </c>
      <c r="H633" s="106">
        <v>270558</v>
      </c>
      <c r="I633" s="106">
        <v>-270558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</row>
    <row r="634" spans="1:14" outlineLevel="2" x14ac:dyDescent="0.35">
      <c r="A634" s="108" t="s">
        <v>555</v>
      </c>
      <c r="B634" s="108" t="s">
        <v>194</v>
      </c>
      <c r="C634" s="106">
        <v>257652</v>
      </c>
      <c r="D634" s="106">
        <v>-1268</v>
      </c>
      <c r="E634" s="106">
        <v>0</v>
      </c>
      <c r="F634" s="106">
        <v>0</v>
      </c>
      <c r="G634" s="106">
        <v>0</v>
      </c>
      <c r="H634" s="106">
        <v>256384</v>
      </c>
      <c r="I634" s="106">
        <v>-256384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</row>
    <row r="635" spans="1:14" outlineLevel="2" x14ac:dyDescent="0.35">
      <c r="A635" s="108" t="s">
        <v>555</v>
      </c>
      <c r="B635" s="108" t="s">
        <v>193</v>
      </c>
      <c r="C635" s="106">
        <v>264630</v>
      </c>
      <c r="D635" s="106">
        <v>-1780</v>
      </c>
      <c r="E635" s="106">
        <v>0</v>
      </c>
      <c r="F635" s="106">
        <v>0</v>
      </c>
      <c r="G635" s="106">
        <v>0</v>
      </c>
      <c r="H635" s="106">
        <v>262850</v>
      </c>
      <c r="I635" s="106">
        <v>-262850</v>
      </c>
      <c r="J635" s="106">
        <v>0</v>
      </c>
      <c r="K635" s="106">
        <v>0</v>
      </c>
      <c r="L635" s="106">
        <v>0</v>
      </c>
      <c r="M635" s="106">
        <v>0</v>
      </c>
      <c r="N635" s="106">
        <v>0</v>
      </c>
    </row>
    <row r="636" spans="1:14" outlineLevel="2" x14ac:dyDescent="0.35">
      <c r="A636" s="108" t="s">
        <v>555</v>
      </c>
      <c r="B636" s="108" t="s">
        <v>192</v>
      </c>
      <c r="C636" s="106">
        <v>182616</v>
      </c>
      <c r="D636" s="106">
        <v>-1047</v>
      </c>
      <c r="E636" s="106">
        <v>0</v>
      </c>
      <c r="F636" s="106">
        <v>0</v>
      </c>
      <c r="G636" s="106">
        <v>0</v>
      </c>
      <c r="H636" s="106">
        <v>181569</v>
      </c>
      <c r="I636" s="106">
        <v>-181569</v>
      </c>
      <c r="J636" s="106">
        <v>0</v>
      </c>
      <c r="K636" s="106">
        <v>0</v>
      </c>
      <c r="L636" s="106">
        <v>0</v>
      </c>
      <c r="M636" s="106">
        <v>0</v>
      </c>
      <c r="N636" s="106">
        <v>0</v>
      </c>
    </row>
    <row r="637" spans="1:14" outlineLevel="2" x14ac:dyDescent="0.35">
      <c r="A637" s="108" t="s">
        <v>555</v>
      </c>
      <c r="B637" s="108" t="s">
        <v>191</v>
      </c>
      <c r="C637" s="106">
        <v>149554</v>
      </c>
      <c r="D637" s="106">
        <v>-2056</v>
      </c>
      <c r="E637" s="106">
        <v>0</v>
      </c>
      <c r="F637" s="106">
        <v>0</v>
      </c>
      <c r="G637" s="106">
        <v>0</v>
      </c>
      <c r="H637" s="106">
        <v>147498</v>
      </c>
      <c r="I637" s="106">
        <v>-147498</v>
      </c>
      <c r="J637" s="106">
        <v>0</v>
      </c>
      <c r="K637" s="106">
        <v>0</v>
      </c>
      <c r="L637" s="106">
        <v>0</v>
      </c>
      <c r="M637" s="106">
        <v>0</v>
      </c>
      <c r="N637" s="106">
        <v>0</v>
      </c>
    </row>
    <row r="638" spans="1:14" outlineLevel="2" x14ac:dyDescent="0.35">
      <c r="A638" s="108" t="s">
        <v>555</v>
      </c>
      <c r="B638" s="108" t="s">
        <v>190</v>
      </c>
      <c r="C638" s="106">
        <v>41318</v>
      </c>
      <c r="D638" s="106">
        <v>-1666</v>
      </c>
      <c r="E638" s="106">
        <v>0</v>
      </c>
      <c r="F638" s="106">
        <v>0</v>
      </c>
      <c r="G638" s="106">
        <v>0</v>
      </c>
      <c r="H638" s="106">
        <v>39652</v>
      </c>
      <c r="I638" s="106">
        <v>-39652</v>
      </c>
      <c r="J638" s="106">
        <v>0</v>
      </c>
      <c r="K638" s="106">
        <v>0</v>
      </c>
      <c r="L638" s="106">
        <v>0</v>
      </c>
      <c r="M638" s="106">
        <v>0</v>
      </c>
      <c r="N638" s="106">
        <v>0</v>
      </c>
    </row>
    <row r="639" spans="1:14" ht="16" outlineLevel="2" thickBot="1" x14ac:dyDescent="0.4">
      <c r="A639" s="105" t="s">
        <v>434</v>
      </c>
      <c r="B639" s="79" t="s">
        <v>12</v>
      </c>
      <c r="C639" s="103">
        <f>SUBTOTAL(109,Program210[(C)
Program
Costs])</f>
        <v>2367954</v>
      </c>
      <c r="D639" s="103">
        <f>SUBTOTAL(109,Program210[(D)
Prior Period Adjustments])</f>
        <v>-20927</v>
      </c>
      <c r="E639" s="103">
        <f>SUBTOTAL(109,Program210[(E)
Current Period Desk 
Reviews])</f>
        <v>0</v>
      </c>
      <c r="F639" s="103">
        <f>SUBTOTAL(109,Program210[(F)
Current Period 
Final 
Audits])</f>
        <v>0</v>
      </c>
      <c r="G639" s="103">
        <f>SUBTOTAL(109,Program210[(G)
Current Period 
Other Adjustments])</f>
        <v>0</v>
      </c>
      <c r="H639" s="103">
        <f>SUBTOTAL(109,Program210[(H)
Net Program Costs
Sum (C through G)])</f>
        <v>2347027</v>
      </c>
      <c r="I639" s="103">
        <f>SUBTOTAL(109,Program210[(I)
Payments
 and Offsets])</f>
        <v>-2347027</v>
      </c>
      <c r="J639" s="103">
        <f>SUBTOTAL(109,Program210[(J)
Accounts Payable Balance
(H + I)])</f>
        <v>0</v>
      </c>
      <c r="K639" s="103">
        <f>SUBTOTAL(109,Program210[(K)
Established 
Accounts Receivable])</f>
        <v>0</v>
      </c>
      <c r="L639" s="103">
        <f>SUBTOTAL(109,Program210[(L)
Recovered
 Accounts Receivable])</f>
        <v>0</v>
      </c>
      <c r="M639" s="103">
        <f>SUBTOTAL(109,Program210[(M)
Accounts Receivable Balance
(K + L)])</f>
        <v>0</v>
      </c>
      <c r="N639" s="103">
        <f>SUBTOTAL(109,Program210[(N)
Net Balance
(J minus M)])</f>
        <v>0</v>
      </c>
    </row>
    <row r="640" spans="1:14" outlineLevel="2" x14ac:dyDescent="0.35">
      <c r="A640" s="116" t="s">
        <v>33</v>
      </c>
      <c r="B640" s="115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</row>
    <row r="641" spans="1:14" ht="77.5" outlineLevel="2" x14ac:dyDescent="0.35">
      <c r="A641" s="113" t="s">
        <v>185</v>
      </c>
      <c r="B641" s="112" t="s">
        <v>184</v>
      </c>
      <c r="C641" s="111" t="s">
        <v>183</v>
      </c>
      <c r="D641" s="111" t="s">
        <v>182</v>
      </c>
      <c r="E641" s="111" t="s">
        <v>181</v>
      </c>
      <c r="F641" s="111" t="s">
        <v>180</v>
      </c>
      <c r="G641" s="111" t="s">
        <v>179</v>
      </c>
      <c r="H641" s="110" t="s">
        <v>674</v>
      </c>
      <c r="I641" s="110" t="s">
        <v>178</v>
      </c>
      <c r="J641" s="110" t="s">
        <v>177</v>
      </c>
      <c r="K641" s="111" t="s">
        <v>176</v>
      </c>
      <c r="L641" s="110" t="s">
        <v>175</v>
      </c>
      <c r="M641" s="110" t="s">
        <v>174</v>
      </c>
      <c r="N641" s="109" t="s">
        <v>173</v>
      </c>
    </row>
    <row r="642" spans="1:14" ht="31" outlineLevel="2" x14ac:dyDescent="0.35">
      <c r="A642" s="77" t="s">
        <v>554</v>
      </c>
      <c r="B642" s="108" t="s">
        <v>219</v>
      </c>
      <c r="C642" s="106">
        <v>12586</v>
      </c>
      <c r="D642" s="106">
        <v>-10213</v>
      </c>
      <c r="E642" s="106">
        <v>0</v>
      </c>
      <c r="F642" s="106">
        <v>0</v>
      </c>
      <c r="G642" s="106">
        <v>0</v>
      </c>
      <c r="H642" s="106">
        <v>2373</v>
      </c>
      <c r="I642" s="106">
        <v>-1321</v>
      </c>
      <c r="J642" s="106">
        <v>1052</v>
      </c>
      <c r="K642" s="106">
        <v>0</v>
      </c>
      <c r="L642" s="106">
        <v>0</v>
      </c>
      <c r="M642" s="106">
        <v>0</v>
      </c>
      <c r="N642" s="106">
        <v>1052</v>
      </c>
    </row>
    <row r="643" spans="1:14" ht="31" outlineLevel="2" x14ac:dyDescent="0.35">
      <c r="A643" s="77" t="s">
        <v>554</v>
      </c>
      <c r="B643" s="108" t="s">
        <v>218</v>
      </c>
      <c r="C643" s="106">
        <v>12726</v>
      </c>
      <c r="D643" s="106">
        <v>-10353</v>
      </c>
      <c r="E643" s="106">
        <v>0</v>
      </c>
      <c r="F643" s="106">
        <v>0</v>
      </c>
      <c r="G643" s="106">
        <v>0</v>
      </c>
      <c r="H643" s="106">
        <v>2373</v>
      </c>
      <c r="I643" s="106">
        <v>-1275</v>
      </c>
      <c r="J643" s="106">
        <v>1098</v>
      </c>
      <c r="K643" s="106">
        <v>0</v>
      </c>
      <c r="L643" s="106">
        <v>0</v>
      </c>
      <c r="M643" s="106">
        <v>0</v>
      </c>
      <c r="N643" s="106">
        <v>1098</v>
      </c>
    </row>
    <row r="644" spans="1:14" ht="31" outlineLevel="2" x14ac:dyDescent="0.35">
      <c r="A644" s="77" t="s">
        <v>554</v>
      </c>
      <c r="B644" s="108" t="s">
        <v>209</v>
      </c>
      <c r="C644" s="106">
        <v>13254</v>
      </c>
      <c r="D644" s="106">
        <v>-10748</v>
      </c>
      <c r="E644" s="106">
        <v>0</v>
      </c>
      <c r="F644" s="106">
        <v>0</v>
      </c>
      <c r="G644" s="106">
        <v>0</v>
      </c>
      <c r="H644" s="106">
        <v>2506</v>
      </c>
      <c r="I644" s="106">
        <v>-2074</v>
      </c>
      <c r="J644" s="106">
        <v>432</v>
      </c>
      <c r="K644" s="106">
        <v>0</v>
      </c>
      <c r="L644" s="106">
        <v>0</v>
      </c>
      <c r="M644" s="106">
        <v>0</v>
      </c>
      <c r="N644" s="106">
        <v>432</v>
      </c>
    </row>
    <row r="645" spans="1:14" ht="31" outlineLevel="2" x14ac:dyDescent="0.35">
      <c r="A645" s="77" t="s">
        <v>554</v>
      </c>
      <c r="B645" s="108" t="s">
        <v>208</v>
      </c>
      <c r="C645" s="106">
        <v>14112</v>
      </c>
      <c r="D645" s="106">
        <v>303</v>
      </c>
      <c r="E645" s="106">
        <v>0</v>
      </c>
      <c r="F645" s="106">
        <v>0</v>
      </c>
      <c r="G645" s="106">
        <v>0</v>
      </c>
      <c r="H645" s="106">
        <v>14415</v>
      </c>
      <c r="I645" s="106">
        <v>-12228</v>
      </c>
      <c r="J645" s="106">
        <v>2187</v>
      </c>
      <c r="K645" s="106">
        <v>0</v>
      </c>
      <c r="L645" s="106">
        <v>0</v>
      </c>
      <c r="M645" s="106">
        <v>0</v>
      </c>
      <c r="N645" s="106">
        <v>2187</v>
      </c>
    </row>
    <row r="646" spans="1:14" ht="31" outlineLevel="2" x14ac:dyDescent="0.35">
      <c r="A646" s="77" t="s">
        <v>554</v>
      </c>
      <c r="B646" s="108" t="s">
        <v>206</v>
      </c>
      <c r="C646" s="106">
        <v>15135</v>
      </c>
      <c r="D646" s="106">
        <v>0</v>
      </c>
      <c r="E646" s="106">
        <v>0</v>
      </c>
      <c r="F646" s="106">
        <v>0</v>
      </c>
      <c r="G646" s="106">
        <v>0</v>
      </c>
      <c r="H646" s="106">
        <v>15135</v>
      </c>
      <c r="I646" s="106">
        <v>-10746</v>
      </c>
      <c r="J646" s="106">
        <v>4389</v>
      </c>
      <c r="K646" s="106">
        <v>0</v>
      </c>
      <c r="L646" s="106">
        <v>0</v>
      </c>
      <c r="M646" s="106">
        <v>0</v>
      </c>
      <c r="N646" s="106">
        <v>4389</v>
      </c>
    </row>
    <row r="647" spans="1:14" ht="31" outlineLevel="2" x14ac:dyDescent="0.35">
      <c r="A647" s="77" t="s">
        <v>554</v>
      </c>
      <c r="B647" s="108" t="s">
        <v>205</v>
      </c>
      <c r="C647" s="106">
        <v>12612</v>
      </c>
      <c r="D647" s="106">
        <v>142</v>
      </c>
      <c r="E647" s="106">
        <v>0</v>
      </c>
      <c r="F647" s="106">
        <v>0</v>
      </c>
      <c r="G647" s="106">
        <v>0</v>
      </c>
      <c r="H647" s="106">
        <v>12754</v>
      </c>
      <c r="I647" s="106">
        <v>-10819</v>
      </c>
      <c r="J647" s="106">
        <v>1935</v>
      </c>
      <c r="K647" s="106">
        <v>0</v>
      </c>
      <c r="L647" s="106">
        <v>0</v>
      </c>
      <c r="M647" s="106">
        <v>0</v>
      </c>
      <c r="N647" s="106">
        <v>1935</v>
      </c>
    </row>
    <row r="648" spans="1:14" ht="31" outlineLevel="2" x14ac:dyDescent="0.35">
      <c r="A648" s="77" t="s">
        <v>554</v>
      </c>
      <c r="B648" s="108" t="s">
        <v>204</v>
      </c>
      <c r="C648" s="106">
        <v>13712</v>
      </c>
      <c r="D648" s="106">
        <v>217</v>
      </c>
      <c r="E648" s="106">
        <v>0</v>
      </c>
      <c r="F648" s="106">
        <v>0</v>
      </c>
      <c r="G648" s="106">
        <v>0</v>
      </c>
      <c r="H648" s="106">
        <v>13929</v>
      </c>
      <c r="I648" s="106">
        <v>-10640</v>
      </c>
      <c r="J648" s="106">
        <v>3289</v>
      </c>
      <c r="K648" s="106">
        <v>0</v>
      </c>
      <c r="L648" s="106">
        <v>0</v>
      </c>
      <c r="M648" s="106">
        <v>0</v>
      </c>
      <c r="N648" s="106">
        <v>3289</v>
      </c>
    </row>
    <row r="649" spans="1:14" ht="31" outlineLevel="2" x14ac:dyDescent="0.35">
      <c r="A649" s="77" t="s">
        <v>554</v>
      </c>
      <c r="B649" s="108" t="s">
        <v>203</v>
      </c>
      <c r="C649" s="106">
        <v>12923</v>
      </c>
      <c r="D649" s="106">
        <v>131</v>
      </c>
      <c r="E649" s="106">
        <v>0</v>
      </c>
      <c r="F649" s="106">
        <v>0</v>
      </c>
      <c r="G649" s="106">
        <v>0</v>
      </c>
      <c r="H649" s="106">
        <v>13054</v>
      </c>
      <c r="I649" s="106">
        <v>-11243</v>
      </c>
      <c r="J649" s="106">
        <v>1811</v>
      </c>
      <c r="K649" s="106">
        <v>0</v>
      </c>
      <c r="L649" s="106">
        <v>0</v>
      </c>
      <c r="M649" s="106">
        <v>0</v>
      </c>
      <c r="N649" s="106">
        <v>1811</v>
      </c>
    </row>
    <row r="650" spans="1:14" ht="31" outlineLevel="2" x14ac:dyDescent="0.35">
      <c r="A650" s="77" t="s">
        <v>554</v>
      </c>
      <c r="B650" s="108" t="s">
        <v>202</v>
      </c>
      <c r="C650" s="106">
        <v>13936</v>
      </c>
      <c r="D650" s="106">
        <v>143</v>
      </c>
      <c r="E650" s="106">
        <v>0</v>
      </c>
      <c r="F650" s="106">
        <v>0</v>
      </c>
      <c r="G650" s="106">
        <v>0</v>
      </c>
      <c r="H650" s="106">
        <v>14079</v>
      </c>
      <c r="I650" s="106">
        <v>-12534</v>
      </c>
      <c r="J650" s="106">
        <v>1545</v>
      </c>
      <c r="K650" s="106">
        <v>0</v>
      </c>
      <c r="L650" s="106">
        <v>0</v>
      </c>
      <c r="M650" s="106">
        <v>0</v>
      </c>
      <c r="N650" s="106">
        <v>1545</v>
      </c>
    </row>
    <row r="651" spans="1:14" ht="31" outlineLevel="2" x14ac:dyDescent="0.35">
      <c r="A651" s="77" t="s">
        <v>554</v>
      </c>
      <c r="B651" s="108" t="s">
        <v>201</v>
      </c>
      <c r="C651" s="106">
        <v>11101</v>
      </c>
      <c r="D651" s="106">
        <v>81</v>
      </c>
      <c r="E651" s="106">
        <v>0</v>
      </c>
      <c r="F651" s="106">
        <v>0</v>
      </c>
      <c r="G651" s="106">
        <v>0</v>
      </c>
      <c r="H651" s="106">
        <v>11182</v>
      </c>
      <c r="I651" s="106">
        <v>-10546</v>
      </c>
      <c r="J651" s="106">
        <v>636</v>
      </c>
      <c r="K651" s="106">
        <v>0</v>
      </c>
      <c r="L651" s="106">
        <v>0</v>
      </c>
      <c r="M651" s="106">
        <v>0</v>
      </c>
      <c r="N651" s="106">
        <v>636</v>
      </c>
    </row>
    <row r="652" spans="1:14" ht="31" outlineLevel="2" x14ac:dyDescent="0.35">
      <c r="A652" s="77" t="s">
        <v>554</v>
      </c>
      <c r="B652" s="108" t="s">
        <v>200</v>
      </c>
      <c r="C652" s="106">
        <v>11600</v>
      </c>
      <c r="D652" s="106">
        <v>-40</v>
      </c>
      <c r="E652" s="106">
        <v>0</v>
      </c>
      <c r="F652" s="106">
        <v>0</v>
      </c>
      <c r="G652" s="106">
        <v>0</v>
      </c>
      <c r="H652" s="106">
        <v>11560</v>
      </c>
      <c r="I652" s="106">
        <v>-11560</v>
      </c>
      <c r="J652" s="106">
        <v>0</v>
      </c>
      <c r="K652" s="106">
        <v>0</v>
      </c>
      <c r="L652" s="106">
        <v>0</v>
      </c>
      <c r="M652" s="106">
        <v>0</v>
      </c>
      <c r="N652" s="106">
        <v>0</v>
      </c>
    </row>
    <row r="653" spans="1:14" ht="31" outlineLevel="2" x14ac:dyDescent="0.35">
      <c r="A653" s="77" t="s">
        <v>554</v>
      </c>
      <c r="B653" s="108" t="s">
        <v>199</v>
      </c>
      <c r="C653" s="106">
        <v>11303</v>
      </c>
      <c r="D653" s="106">
        <v>-11303</v>
      </c>
      <c r="E653" s="106">
        <v>0</v>
      </c>
      <c r="F653" s="106">
        <v>0</v>
      </c>
      <c r="G653" s="106">
        <v>0</v>
      </c>
      <c r="H653" s="106">
        <v>0</v>
      </c>
      <c r="I653" s="106">
        <v>0</v>
      </c>
      <c r="J653" s="106">
        <v>0</v>
      </c>
      <c r="K653" s="106">
        <v>0</v>
      </c>
      <c r="L653" s="106">
        <v>0</v>
      </c>
      <c r="M653" s="106">
        <v>0</v>
      </c>
      <c r="N653" s="106">
        <v>0</v>
      </c>
    </row>
    <row r="654" spans="1:14" ht="31" outlineLevel="2" x14ac:dyDescent="0.35">
      <c r="A654" s="77" t="s">
        <v>554</v>
      </c>
      <c r="B654" s="108" t="s">
        <v>198</v>
      </c>
      <c r="C654" s="106">
        <v>22400</v>
      </c>
      <c r="D654" s="106">
        <v>-1156</v>
      </c>
      <c r="E654" s="106">
        <v>0</v>
      </c>
      <c r="F654" s="106">
        <v>0</v>
      </c>
      <c r="G654" s="106">
        <v>0</v>
      </c>
      <c r="H654" s="106">
        <v>21244</v>
      </c>
      <c r="I654" s="106">
        <v>-21244</v>
      </c>
      <c r="J654" s="106">
        <v>0</v>
      </c>
      <c r="K654" s="106">
        <v>983</v>
      </c>
      <c r="L654" s="106">
        <v>-983</v>
      </c>
      <c r="M654" s="106">
        <v>0</v>
      </c>
      <c r="N654" s="106">
        <v>0</v>
      </c>
    </row>
    <row r="655" spans="1:14" ht="31" outlineLevel="2" x14ac:dyDescent="0.35">
      <c r="A655" s="77" t="s">
        <v>554</v>
      </c>
      <c r="B655" s="108" t="s">
        <v>197</v>
      </c>
      <c r="C655" s="106">
        <v>15474</v>
      </c>
      <c r="D655" s="106">
        <v>-2224</v>
      </c>
      <c r="E655" s="106">
        <v>0</v>
      </c>
      <c r="F655" s="106">
        <v>0</v>
      </c>
      <c r="G655" s="106">
        <v>0</v>
      </c>
      <c r="H655" s="106">
        <v>13250</v>
      </c>
      <c r="I655" s="106">
        <v>-13250</v>
      </c>
      <c r="J655" s="106">
        <v>0</v>
      </c>
      <c r="K655" s="106">
        <v>3278</v>
      </c>
      <c r="L655" s="106">
        <v>-3278</v>
      </c>
      <c r="M655" s="106">
        <v>0</v>
      </c>
      <c r="N655" s="106">
        <v>0</v>
      </c>
    </row>
    <row r="656" spans="1:14" ht="31" outlineLevel="2" x14ac:dyDescent="0.35">
      <c r="A656" s="77" t="s">
        <v>554</v>
      </c>
      <c r="B656" s="108" t="s">
        <v>196</v>
      </c>
      <c r="C656" s="106">
        <v>17603</v>
      </c>
      <c r="D656" s="106">
        <v>74</v>
      </c>
      <c r="E656" s="106">
        <v>0</v>
      </c>
      <c r="F656" s="106">
        <v>0</v>
      </c>
      <c r="G656" s="106">
        <v>0</v>
      </c>
      <c r="H656" s="106">
        <v>17677</v>
      </c>
      <c r="I656" s="106">
        <v>-17677</v>
      </c>
      <c r="J656" s="106">
        <v>0</v>
      </c>
      <c r="K656" s="106">
        <v>0</v>
      </c>
      <c r="L656" s="106">
        <v>0</v>
      </c>
      <c r="M656" s="106">
        <v>0</v>
      </c>
      <c r="N656" s="106">
        <v>0</v>
      </c>
    </row>
    <row r="657" spans="1:14" ht="31" outlineLevel="2" x14ac:dyDescent="0.35">
      <c r="A657" s="77" t="s">
        <v>554</v>
      </c>
      <c r="B657" s="108" t="s">
        <v>195</v>
      </c>
      <c r="C657" s="106">
        <v>14835</v>
      </c>
      <c r="D657" s="106">
        <v>-1781</v>
      </c>
      <c r="E657" s="106">
        <v>0</v>
      </c>
      <c r="F657" s="106">
        <v>0</v>
      </c>
      <c r="G657" s="106">
        <v>0</v>
      </c>
      <c r="H657" s="106">
        <v>13054</v>
      </c>
      <c r="I657" s="106">
        <v>-13054</v>
      </c>
      <c r="J657" s="106">
        <v>0</v>
      </c>
      <c r="K657" s="106">
        <v>41823</v>
      </c>
      <c r="L657" s="106">
        <v>-41823</v>
      </c>
      <c r="M657" s="106">
        <v>0</v>
      </c>
      <c r="N657" s="106">
        <v>0</v>
      </c>
    </row>
    <row r="658" spans="1:14" ht="31" outlineLevel="1" x14ac:dyDescent="0.35">
      <c r="A658" s="77" t="s">
        <v>554</v>
      </c>
      <c r="B658" s="108" t="s">
        <v>194</v>
      </c>
      <c r="C658" s="106">
        <v>22468</v>
      </c>
      <c r="D658" s="106">
        <v>-16</v>
      </c>
      <c r="E658" s="106">
        <v>0</v>
      </c>
      <c r="F658" s="106">
        <v>0</v>
      </c>
      <c r="G658" s="106">
        <v>0</v>
      </c>
      <c r="H658" s="106">
        <v>22452</v>
      </c>
      <c r="I658" s="106">
        <v>-22452</v>
      </c>
      <c r="J658" s="106">
        <v>0</v>
      </c>
      <c r="K658" s="106">
        <v>4217</v>
      </c>
      <c r="L658" s="106">
        <v>-4217</v>
      </c>
      <c r="M658" s="106">
        <v>0</v>
      </c>
      <c r="N658" s="106">
        <v>0</v>
      </c>
    </row>
    <row r="659" spans="1:14" ht="30" customHeight="1" outlineLevel="1" x14ac:dyDescent="0.35">
      <c r="A659" s="77" t="s">
        <v>554</v>
      </c>
      <c r="B659" s="108" t="s">
        <v>193</v>
      </c>
      <c r="C659" s="106">
        <v>22742</v>
      </c>
      <c r="D659" s="106">
        <v>-4457</v>
      </c>
      <c r="E659" s="106">
        <v>0</v>
      </c>
      <c r="F659" s="106">
        <v>0</v>
      </c>
      <c r="G659" s="106">
        <v>0</v>
      </c>
      <c r="H659" s="106">
        <v>18285</v>
      </c>
      <c r="I659" s="106">
        <v>-18285</v>
      </c>
      <c r="J659" s="106">
        <v>0</v>
      </c>
      <c r="K659" s="106">
        <v>9740</v>
      </c>
      <c r="L659" s="106">
        <v>-9740</v>
      </c>
      <c r="M659" s="106">
        <v>0</v>
      </c>
      <c r="N659" s="106">
        <v>0</v>
      </c>
    </row>
    <row r="660" spans="1:14" ht="30" customHeight="1" outlineLevel="1" x14ac:dyDescent="0.35">
      <c r="A660" s="77" t="s">
        <v>554</v>
      </c>
      <c r="B660" s="108" t="s">
        <v>192</v>
      </c>
      <c r="C660" s="106">
        <v>19800</v>
      </c>
      <c r="D660" s="106">
        <v>0</v>
      </c>
      <c r="E660" s="106">
        <v>0</v>
      </c>
      <c r="F660" s="106">
        <v>0</v>
      </c>
      <c r="G660" s="106">
        <v>0</v>
      </c>
      <c r="H660" s="106">
        <v>19800</v>
      </c>
      <c r="I660" s="106">
        <v>-19800</v>
      </c>
      <c r="J660" s="106">
        <v>0</v>
      </c>
      <c r="K660" s="106">
        <v>2880</v>
      </c>
      <c r="L660" s="106">
        <v>-2880</v>
      </c>
      <c r="M660" s="106">
        <v>0</v>
      </c>
      <c r="N660" s="106">
        <v>0</v>
      </c>
    </row>
    <row r="661" spans="1:14" ht="31" outlineLevel="2" x14ac:dyDescent="0.35">
      <c r="A661" s="77" t="s">
        <v>554</v>
      </c>
      <c r="B661" s="108" t="s">
        <v>191</v>
      </c>
      <c r="C661" s="106">
        <v>16183</v>
      </c>
      <c r="D661" s="106">
        <v>-310</v>
      </c>
      <c r="E661" s="106">
        <v>0</v>
      </c>
      <c r="F661" s="106">
        <v>0</v>
      </c>
      <c r="G661" s="106">
        <v>0</v>
      </c>
      <c r="H661" s="106">
        <v>15873</v>
      </c>
      <c r="I661" s="106">
        <v>-15873</v>
      </c>
      <c r="J661" s="106">
        <v>0</v>
      </c>
      <c r="K661" s="106">
        <v>2434</v>
      </c>
      <c r="L661" s="106">
        <v>-2434</v>
      </c>
      <c r="M661" s="106">
        <v>0</v>
      </c>
      <c r="N661" s="106">
        <v>0</v>
      </c>
    </row>
    <row r="662" spans="1:14" ht="31" outlineLevel="2" x14ac:dyDescent="0.35">
      <c r="A662" s="77" t="s">
        <v>554</v>
      </c>
      <c r="B662" s="108" t="s">
        <v>190</v>
      </c>
      <c r="C662" s="106">
        <v>22716</v>
      </c>
      <c r="D662" s="106">
        <v>-429</v>
      </c>
      <c r="E662" s="106">
        <v>0</v>
      </c>
      <c r="F662" s="106">
        <v>0</v>
      </c>
      <c r="G662" s="106">
        <v>0</v>
      </c>
      <c r="H662" s="106">
        <v>22287</v>
      </c>
      <c r="I662" s="106">
        <v>-22287</v>
      </c>
      <c r="J662" s="106">
        <v>0</v>
      </c>
      <c r="K662" s="106">
        <v>0</v>
      </c>
      <c r="L662" s="106">
        <v>0</v>
      </c>
      <c r="M662" s="106">
        <v>0</v>
      </c>
      <c r="N662" s="106">
        <v>0</v>
      </c>
    </row>
    <row r="663" spans="1:14" ht="31" outlineLevel="2" x14ac:dyDescent="0.35">
      <c r="A663" s="77" t="s">
        <v>554</v>
      </c>
      <c r="B663" s="108" t="s">
        <v>189</v>
      </c>
      <c r="C663" s="106">
        <v>38641</v>
      </c>
      <c r="D663" s="106">
        <v>-12483</v>
      </c>
      <c r="E663" s="106">
        <v>0</v>
      </c>
      <c r="F663" s="106">
        <v>0</v>
      </c>
      <c r="G663" s="106">
        <v>0</v>
      </c>
      <c r="H663" s="106">
        <v>26158</v>
      </c>
      <c r="I663" s="106">
        <v>-26158</v>
      </c>
      <c r="J663" s="106">
        <v>0</v>
      </c>
      <c r="K663" s="106">
        <v>4273</v>
      </c>
      <c r="L663" s="106">
        <v>-4273</v>
      </c>
      <c r="M663" s="106">
        <v>0</v>
      </c>
      <c r="N663" s="106">
        <v>0</v>
      </c>
    </row>
    <row r="664" spans="1:14" ht="31" outlineLevel="2" x14ac:dyDescent="0.35">
      <c r="A664" s="77" t="s">
        <v>554</v>
      </c>
      <c r="B664" s="108" t="s">
        <v>188</v>
      </c>
      <c r="C664" s="106">
        <v>21680</v>
      </c>
      <c r="D664" s="106">
        <v>-14309</v>
      </c>
      <c r="E664" s="106">
        <v>0</v>
      </c>
      <c r="F664" s="106">
        <v>0</v>
      </c>
      <c r="G664" s="106">
        <v>0</v>
      </c>
      <c r="H664" s="106">
        <v>7371</v>
      </c>
      <c r="I664" s="106">
        <v>-7371</v>
      </c>
      <c r="J664" s="106">
        <v>0</v>
      </c>
      <c r="K664" s="106">
        <v>1286</v>
      </c>
      <c r="L664" s="106">
        <v>-1286</v>
      </c>
      <c r="M664" s="106">
        <v>0</v>
      </c>
      <c r="N664" s="106">
        <v>0</v>
      </c>
    </row>
    <row r="665" spans="1:14" ht="31" outlineLevel="2" x14ac:dyDescent="0.35">
      <c r="A665" s="77" t="s">
        <v>554</v>
      </c>
      <c r="B665" s="108" t="s">
        <v>186</v>
      </c>
      <c r="C665" s="106">
        <v>14178</v>
      </c>
      <c r="D665" s="106">
        <v>-10971</v>
      </c>
      <c r="E665" s="106">
        <v>0</v>
      </c>
      <c r="F665" s="106">
        <v>0</v>
      </c>
      <c r="G665" s="106">
        <v>0</v>
      </c>
      <c r="H665" s="106">
        <v>3207</v>
      </c>
      <c r="I665" s="106">
        <v>-3207</v>
      </c>
      <c r="J665" s="106">
        <v>0</v>
      </c>
      <c r="K665" s="106">
        <v>421</v>
      </c>
      <c r="L665" s="106">
        <v>-421</v>
      </c>
      <c r="M665" s="106">
        <v>0</v>
      </c>
      <c r="N665" s="106">
        <v>0</v>
      </c>
    </row>
    <row r="666" spans="1:14" ht="16" outlineLevel="2" thickBot="1" x14ac:dyDescent="0.4">
      <c r="A666" s="105" t="s">
        <v>433</v>
      </c>
      <c r="B666" s="79" t="s">
        <v>12</v>
      </c>
      <c r="C666" s="103">
        <f>SUBTOTAL(109,Program91[(C)
Program
Costs])</f>
        <v>403720</v>
      </c>
      <c r="D666" s="103">
        <f>SUBTOTAL(109,Program91[(D)
Prior Period Adjustments])</f>
        <v>-89702</v>
      </c>
      <c r="E666" s="103">
        <f>SUBTOTAL(109,Program91[(E)
Current Period Desk 
Reviews])</f>
        <v>0</v>
      </c>
      <c r="F666" s="103">
        <f>SUBTOTAL(109,Program91[(F)
Current Period 
Final 
Audits])</f>
        <v>0</v>
      </c>
      <c r="G666" s="103">
        <f>SUBTOTAL(109,Program91[(G)
Current Period 
Other Adjustments])</f>
        <v>0</v>
      </c>
      <c r="H666" s="103">
        <f>SUBTOTAL(109,Program91[(H)
Net Program Costs
Sum (C through G)])</f>
        <v>314018</v>
      </c>
      <c r="I666" s="103">
        <f>SUBTOTAL(109,Program91[(I)
Payments
 and Offsets])</f>
        <v>-295644</v>
      </c>
      <c r="J666" s="103">
        <f>SUBTOTAL(109,Program91[(J)
Accounts Payable Balance
(H + I)])</f>
        <v>18374</v>
      </c>
      <c r="K666" s="103">
        <f>SUBTOTAL(109,Program91[(K)
Established 
Accounts Receivable])</f>
        <v>71335</v>
      </c>
      <c r="L666" s="103">
        <f>SUBTOTAL(109,Program91[(L)
Recovered
 Accounts Receivable])</f>
        <v>-71335</v>
      </c>
      <c r="M666" s="103">
        <f>SUBTOTAL(109,Program91[(M)
Accounts Receivable Balance
(K + L)])</f>
        <v>0</v>
      </c>
      <c r="N666" s="103">
        <f>SUBTOTAL(109,Program91[(N)
Net Balance
(J minus M)])</f>
        <v>18374</v>
      </c>
    </row>
    <row r="667" spans="1:14" outlineLevel="2" x14ac:dyDescent="0.35">
      <c r="A667" s="116" t="s">
        <v>33</v>
      </c>
      <c r="B667" s="115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</row>
    <row r="668" spans="1:14" ht="77.5" outlineLevel="2" x14ac:dyDescent="0.35">
      <c r="A668" s="113" t="s">
        <v>185</v>
      </c>
      <c r="B668" s="112" t="s">
        <v>184</v>
      </c>
      <c r="C668" s="111" t="s">
        <v>183</v>
      </c>
      <c r="D668" s="111" t="s">
        <v>182</v>
      </c>
      <c r="E668" s="111" t="s">
        <v>181</v>
      </c>
      <c r="F668" s="111" t="s">
        <v>180</v>
      </c>
      <c r="G668" s="111" t="s">
        <v>179</v>
      </c>
      <c r="H668" s="110" t="s">
        <v>674</v>
      </c>
      <c r="I668" s="110" t="s">
        <v>178</v>
      </c>
      <c r="J668" s="110" t="s">
        <v>177</v>
      </c>
      <c r="K668" s="111" t="s">
        <v>176</v>
      </c>
      <c r="L668" s="110" t="s">
        <v>175</v>
      </c>
      <c r="M668" s="110" t="s">
        <v>174</v>
      </c>
      <c r="N668" s="109" t="s">
        <v>173</v>
      </c>
    </row>
    <row r="669" spans="1:14" outlineLevel="1" x14ac:dyDescent="0.35">
      <c r="A669" s="108" t="s">
        <v>553</v>
      </c>
      <c r="B669" s="108" t="s">
        <v>191</v>
      </c>
      <c r="C669" s="106">
        <v>1040757</v>
      </c>
      <c r="D669" s="106">
        <v>-272020</v>
      </c>
      <c r="E669" s="106">
        <v>0</v>
      </c>
      <c r="F669" s="106">
        <v>0</v>
      </c>
      <c r="G669" s="106">
        <v>0</v>
      </c>
      <c r="H669" s="106">
        <v>768737</v>
      </c>
      <c r="I669" s="106">
        <v>-768737</v>
      </c>
      <c r="J669" s="106">
        <v>0</v>
      </c>
      <c r="K669" s="106">
        <v>64501</v>
      </c>
      <c r="L669" s="106">
        <v>-64501</v>
      </c>
      <c r="M669" s="106">
        <v>0</v>
      </c>
      <c r="N669" s="106">
        <v>0</v>
      </c>
    </row>
    <row r="670" spans="1:14" ht="15.65" customHeight="1" outlineLevel="1" x14ac:dyDescent="0.35">
      <c r="A670" s="108" t="s">
        <v>553</v>
      </c>
      <c r="B670" s="108" t="s">
        <v>190</v>
      </c>
      <c r="C670" s="106">
        <v>1822063</v>
      </c>
      <c r="D670" s="106">
        <v>-13607</v>
      </c>
      <c r="E670" s="106">
        <v>0</v>
      </c>
      <c r="F670" s="106">
        <v>0</v>
      </c>
      <c r="G670" s="106">
        <v>0</v>
      </c>
      <c r="H670" s="106">
        <v>1808456</v>
      </c>
      <c r="I670" s="106">
        <v>-1808456</v>
      </c>
      <c r="J670" s="106">
        <v>0</v>
      </c>
      <c r="K670" s="106">
        <v>45383</v>
      </c>
      <c r="L670" s="106">
        <v>-45383</v>
      </c>
      <c r="M670" s="106">
        <v>0</v>
      </c>
      <c r="N670" s="106">
        <v>0</v>
      </c>
    </row>
    <row r="671" spans="1:14" ht="15" customHeight="1" outlineLevel="1" x14ac:dyDescent="0.35">
      <c r="A671" s="108" t="s">
        <v>553</v>
      </c>
      <c r="B671" s="108" t="s">
        <v>189</v>
      </c>
      <c r="C671" s="106">
        <v>1839184</v>
      </c>
      <c r="D671" s="106">
        <v>-11738</v>
      </c>
      <c r="E671" s="106">
        <v>0</v>
      </c>
      <c r="F671" s="106">
        <v>0</v>
      </c>
      <c r="G671" s="106">
        <v>0</v>
      </c>
      <c r="H671" s="106">
        <v>1827446</v>
      </c>
      <c r="I671" s="106">
        <v>-1827446</v>
      </c>
      <c r="J671" s="106">
        <v>0</v>
      </c>
      <c r="K671" s="106">
        <v>28587</v>
      </c>
      <c r="L671" s="106">
        <v>-28587</v>
      </c>
      <c r="M671" s="106">
        <v>0</v>
      </c>
      <c r="N671" s="106">
        <v>0</v>
      </c>
    </row>
    <row r="672" spans="1:14" outlineLevel="2" x14ac:dyDescent="0.35">
      <c r="A672" s="108" t="s">
        <v>553</v>
      </c>
      <c r="B672" s="108" t="s">
        <v>188</v>
      </c>
      <c r="C672" s="106">
        <v>1233802</v>
      </c>
      <c r="D672" s="106">
        <v>-51331</v>
      </c>
      <c r="E672" s="106">
        <v>0</v>
      </c>
      <c r="F672" s="106">
        <v>0</v>
      </c>
      <c r="G672" s="106">
        <v>0</v>
      </c>
      <c r="H672" s="106">
        <v>1182471</v>
      </c>
      <c r="I672" s="106">
        <v>-1182471</v>
      </c>
      <c r="J672" s="106">
        <v>0</v>
      </c>
      <c r="K672" s="106">
        <v>122116</v>
      </c>
      <c r="L672" s="106">
        <v>-122116</v>
      </c>
      <c r="M672" s="106">
        <v>0</v>
      </c>
      <c r="N672" s="106">
        <v>0</v>
      </c>
    </row>
    <row r="673" spans="1:14" outlineLevel="1" x14ac:dyDescent="0.35">
      <c r="A673" s="108" t="s">
        <v>553</v>
      </c>
      <c r="B673" s="108" t="s">
        <v>186</v>
      </c>
      <c r="C673" s="106">
        <v>892324</v>
      </c>
      <c r="D673" s="106">
        <v>-100907</v>
      </c>
      <c r="E673" s="106">
        <v>0</v>
      </c>
      <c r="F673" s="106">
        <v>0</v>
      </c>
      <c r="G673" s="106">
        <v>0</v>
      </c>
      <c r="H673" s="106">
        <v>791417</v>
      </c>
      <c r="I673" s="106">
        <v>-791417</v>
      </c>
      <c r="J673" s="106">
        <v>0</v>
      </c>
      <c r="K673" s="106">
        <v>28177</v>
      </c>
      <c r="L673" s="106">
        <v>-28177</v>
      </c>
      <c r="M673" s="106">
        <v>0</v>
      </c>
      <c r="N673" s="106">
        <v>0</v>
      </c>
    </row>
    <row r="674" spans="1:14" ht="15.65" customHeight="1" outlineLevel="1" x14ac:dyDescent="0.35">
      <c r="A674" s="108" t="s">
        <v>553</v>
      </c>
      <c r="B674" s="108" t="s">
        <v>227</v>
      </c>
      <c r="C674" s="106">
        <v>110868</v>
      </c>
      <c r="D674" s="106">
        <v>0</v>
      </c>
      <c r="E674" s="106">
        <v>0</v>
      </c>
      <c r="F674" s="106">
        <v>0</v>
      </c>
      <c r="G674" s="106">
        <v>0</v>
      </c>
      <c r="H674" s="106">
        <v>110868</v>
      </c>
      <c r="I674" s="106">
        <v>-110868</v>
      </c>
      <c r="J674" s="106">
        <v>0</v>
      </c>
      <c r="K674" s="106">
        <v>41075</v>
      </c>
      <c r="L674" s="106">
        <v>-41075</v>
      </c>
      <c r="M674" s="106">
        <v>0</v>
      </c>
      <c r="N674" s="106">
        <v>0</v>
      </c>
    </row>
    <row r="675" spans="1:14" ht="16" outlineLevel="2" thickBot="1" x14ac:dyDescent="0.4">
      <c r="A675" s="105" t="s">
        <v>432</v>
      </c>
      <c r="B675" s="79" t="s">
        <v>12</v>
      </c>
      <c r="C675" s="103">
        <f>SUBTOTAL(109,Program19[(C)
Program
Costs])</f>
        <v>6938998</v>
      </c>
      <c r="D675" s="103">
        <f>SUBTOTAL(109,Program19[(D)
Prior Period Adjustments])</f>
        <v>-449603</v>
      </c>
      <c r="E675" s="103">
        <f>SUBTOTAL(109,Program19[(E)
Current Period Desk 
Reviews])</f>
        <v>0</v>
      </c>
      <c r="F675" s="103">
        <f>SUBTOTAL(109,Program19[(F)
Current Period 
Final 
Audits])</f>
        <v>0</v>
      </c>
      <c r="G675" s="103">
        <f>SUBTOTAL(109,Program19[(G)
Current Period 
Other Adjustments])</f>
        <v>0</v>
      </c>
      <c r="H675" s="103">
        <f>SUBTOTAL(109,Program19[(H)
Net Program Costs
Sum (C through G)])</f>
        <v>6489395</v>
      </c>
      <c r="I675" s="103">
        <f>SUBTOTAL(109,Program19[(I)
Payments
 and Offsets])</f>
        <v>-6489395</v>
      </c>
      <c r="J675" s="103">
        <f>SUBTOTAL(109,Program19[(J)
Accounts Payable Balance
(H + I)])</f>
        <v>0</v>
      </c>
      <c r="K675" s="103">
        <f>SUBTOTAL(109,Program19[(K)
Established 
Accounts Receivable])</f>
        <v>329839</v>
      </c>
      <c r="L675" s="103">
        <f>SUBTOTAL(109,Program19[(L)
Recovered
 Accounts Receivable])</f>
        <v>-329839</v>
      </c>
      <c r="M675" s="103">
        <f>SUBTOTAL(109,Program19[(M)
Accounts Receivable Balance
(K + L)])</f>
        <v>0</v>
      </c>
      <c r="N675" s="103">
        <f>SUBTOTAL(109,Program19[(N)
Net Balance
(J minus M)])</f>
        <v>0</v>
      </c>
    </row>
    <row r="676" spans="1:14" outlineLevel="2" x14ac:dyDescent="0.35">
      <c r="A676" s="116" t="s">
        <v>33</v>
      </c>
      <c r="B676" s="115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</row>
    <row r="677" spans="1:14" ht="77.5" outlineLevel="2" x14ac:dyDescent="0.35">
      <c r="A677" s="113" t="s">
        <v>185</v>
      </c>
      <c r="B677" s="112" t="s">
        <v>184</v>
      </c>
      <c r="C677" s="111" t="s">
        <v>183</v>
      </c>
      <c r="D677" s="111" t="s">
        <v>182</v>
      </c>
      <c r="E677" s="111" t="s">
        <v>181</v>
      </c>
      <c r="F677" s="111" t="s">
        <v>180</v>
      </c>
      <c r="G677" s="111" t="s">
        <v>179</v>
      </c>
      <c r="H677" s="110" t="s">
        <v>674</v>
      </c>
      <c r="I677" s="110" t="s">
        <v>178</v>
      </c>
      <c r="J677" s="110" t="s">
        <v>177</v>
      </c>
      <c r="K677" s="111" t="s">
        <v>176</v>
      </c>
      <c r="L677" s="110" t="s">
        <v>175</v>
      </c>
      <c r="M677" s="110" t="s">
        <v>174</v>
      </c>
      <c r="N677" s="109" t="s">
        <v>173</v>
      </c>
    </row>
    <row r="678" spans="1:14" outlineLevel="2" x14ac:dyDescent="0.35">
      <c r="A678" s="108" t="s">
        <v>552</v>
      </c>
      <c r="B678" s="108" t="s">
        <v>215</v>
      </c>
      <c r="C678" s="106">
        <v>5791</v>
      </c>
      <c r="D678" s="106">
        <v>0</v>
      </c>
      <c r="E678" s="106">
        <v>0</v>
      </c>
      <c r="F678" s="106">
        <v>0</v>
      </c>
      <c r="G678" s="106">
        <v>0</v>
      </c>
      <c r="H678" s="106">
        <v>5791</v>
      </c>
      <c r="I678" s="106">
        <v>0</v>
      </c>
      <c r="J678" s="106">
        <v>5791</v>
      </c>
      <c r="K678" s="106">
        <v>0</v>
      </c>
      <c r="L678" s="106">
        <v>0</v>
      </c>
      <c r="M678" s="106">
        <v>0</v>
      </c>
      <c r="N678" s="106">
        <v>5791</v>
      </c>
    </row>
    <row r="679" spans="1:14" outlineLevel="2" x14ac:dyDescent="0.35">
      <c r="A679" s="108" t="s">
        <v>552</v>
      </c>
      <c r="B679" s="108" t="s">
        <v>214</v>
      </c>
      <c r="C679" s="106">
        <v>13420</v>
      </c>
      <c r="D679" s="106">
        <v>0</v>
      </c>
      <c r="E679" s="106">
        <v>0</v>
      </c>
      <c r="F679" s="106">
        <v>0</v>
      </c>
      <c r="G679" s="106">
        <v>0</v>
      </c>
      <c r="H679" s="106">
        <v>13420</v>
      </c>
      <c r="I679" s="106">
        <v>-1000</v>
      </c>
      <c r="J679" s="106">
        <v>12420</v>
      </c>
      <c r="K679" s="106">
        <v>0</v>
      </c>
      <c r="L679" s="106">
        <v>0</v>
      </c>
      <c r="M679" s="106">
        <v>0</v>
      </c>
      <c r="N679" s="106">
        <v>12420</v>
      </c>
    </row>
    <row r="680" spans="1:14" outlineLevel="2" x14ac:dyDescent="0.35">
      <c r="A680" s="108" t="s">
        <v>552</v>
      </c>
      <c r="B680" s="108" t="s">
        <v>212</v>
      </c>
      <c r="C680" s="106">
        <v>15289</v>
      </c>
      <c r="D680" s="106">
        <v>0</v>
      </c>
      <c r="E680" s="106">
        <v>0</v>
      </c>
      <c r="F680" s="106">
        <v>0</v>
      </c>
      <c r="G680" s="106">
        <v>0</v>
      </c>
      <c r="H680" s="106">
        <v>15289</v>
      </c>
      <c r="I680" s="106">
        <v>-1000</v>
      </c>
      <c r="J680" s="106">
        <v>14289</v>
      </c>
      <c r="K680" s="106">
        <v>0</v>
      </c>
      <c r="L680" s="106">
        <v>0</v>
      </c>
      <c r="M680" s="106">
        <v>0</v>
      </c>
      <c r="N680" s="106">
        <v>14289</v>
      </c>
    </row>
    <row r="681" spans="1:14" outlineLevel="2" x14ac:dyDescent="0.35">
      <c r="A681" s="108" t="s">
        <v>552</v>
      </c>
      <c r="B681" s="108" t="s">
        <v>220</v>
      </c>
      <c r="C681" s="106">
        <v>13092</v>
      </c>
      <c r="D681" s="106">
        <v>0</v>
      </c>
      <c r="E681" s="106">
        <v>0</v>
      </c>
      <c r="F681" s="106">
        <v>0</v>
      </c>
      <c r="G681" s="106">
        <v>0</v>
      </c>
      <c r="H681" s="106">
        <v>13092</v>
      </c>
      <c r="I681" s="106">
        <v>-1000</v>
      </c>
      <c r="J681" s="106">
        <v>12092</v>
      </c>
      <c r="K681" s="106">
        <v>0</v>
      </c>
      <c r="L681" s="106">
        <v>0</v>
      </c>
      <c r="M681" s="106">
        <v>0</v>
      </c>
      <c r="N681" s="106">
        <v>12092</v>
      </c>
    </row>
    <row r="682" spans="1:14" outlineLevel="2" x14ac:dyDescent="0.35">
      <c r="A682" s="108" t="s">
        <v>552</v>
      </c>
      <c r="B682" s="108" t="s">
        <v>219</v>
      </c>
      <c r="C682" s="106">
        <v>30144</v>
      </c>
      <c r="D682" s="106">
        <v>0</v>
      </c>
      <c r="E682" s="106">
        <v>0</v>
      </c>
      <c r="F682" s="106">
        <v>0</v>
      </c>
      <c r="G682" s="106">
        <v>0</v>
      </c>
      <c r="H682" s="106">
        <v>30144</v>
      </c>
      <c r="I682" s="106">
        <v>-9017</v>
      </c>
      <c r="J682" s="106">
        <v>21127</v>
      </c>
      <c r="K682" s="106">
        <v>0</v>
      </c>
      <c r="L682" s="106">
        <v>0</v>
      </c>
      <c r="M682" s="106">
        <v>0</v>
      </c>
      <c r="N682" s="106">
        <v>21127</v>
      </c>
    </row>
    <row r="683" spans="1:14" outlineLevel="2" x14ac:dyDescent="0.35">
      <c r="A683" s="108" t="s">
        <v>552</v>
      </c>
      <c r="B683" s="108" t="s">
        <v>218</v>
      </c>
      <c r="C683" s="106">
        <v>39182</v>
      </c>
      <c r="D683" s="106">
        <v>-529</v>
      </c>
      <c r="E683" s="106">
        <v>0</v>
      </c>
      <c r="F683" s="106">
        <v>0</v>
      </c>
      <c r="G683" s="106">
        <v>0</v>
      </c>
      <c r="H683" s="106">
        <v>38653</v>
      </c>
      <c r="I683" s="106">
        <v>-12345</v>
      </c>
      <c r="J683" s="106">
        <v>26308</v>
      </c>
      <c r="K683" s="106">
        <v>0</v>
      </c>
      <c r="L683" s="106">
        <v>0</v>
      </c>
      <c r="M683" s="106">
        <v>0</v>
      </c>
      <c r="N683" s="106">
        <v>26308</v>
      </c>
    </row>
    <row r="684" spans="1:14" outlineLevel="2" x14ac:dyDescent="0.35">
      <c r="A684" s="108" t="s">
        <v>552</v>
      </c>
      <c r="B684" s="108" t="s">
        <v>209</v>
      </c>
      <c r="C684" s="106">
        <v>81021</v>
      </c>
      <c r="D684" s="106">
        <v>0</v>
      </c>
      <c r="E684" s="106">
        <v>0</v>
      </c>
      <c r="F684" s="106">
        <v>0</v>
      </c>
      <c r="G684" s="106">
        <v>0</v>
      </c>
      <c r="H684" s="106">
        <v>81021</v>
      </c>
      <c r="I684" s="106">
        <v>-44621</v>
      </c>
      <c r="J684" s="106">
        <v>36400</v>
      </c>
      <c r="K684" s="106">
        <v>0</v>
      </c>
      <c r="L684" s="106">
        <v>0</v>
      </c>
      <c r="M684" s="106">
        <v>0</v>
      </c>
      <c r="N684" s="106">
        <v>36400</v>
      </c>
    </row>
    <row r="685" spans="1:14" outlineLevel="2" x14ac:dyDescent="0.35">
      <c r="A685" s="108" t="s">
        <v>552</v>
      </c>
      <c r="B685" s="108" t="s">
        <v>208</v>
      </c>
      <c r="C685" s="106">
        <v>254581</v>
      </c>
      <c r="D685" s="106">
        <v>-1202</v>
      </c>
      <c r="E685" s="106">
        <v>0</v>
      </c>
      <c r="F685" s="106">
        <v>0</v>
      </c>
      <c r="G685" s="106">
        <v>0</v>
      </c>
      <c r="H685" s="106">
        <v>253379</v>
      </c>
      <c r="I685" s="106">
        <v>-167612</v>
      </c>
      <c r="J685" s="106">
        <v>85767</v>
      </c>
      <c r="K685" s="106">
        <v>0</v>
      </c>
      <c r="L685" s="106">
        <v>0</v>
      </c>
      <c r="M685" s="106">
        <v>0</v>
      </c>
      <c r="N685" s="106">
        <v>85767</v>
      </c>
    </row>
    <row r="686" spans="1:14" outlineLevel="2" x14ac:dyDescent="0.35">
      <c r="A686" s="108" t="s">
        <v>552</v>
      </c>
      <c r="B686" s="108" t="s">
        <v>206</v>
      </c>
      <c r="C686" s="106">
        <v>282550</v>
      </c>
      <c r="D686" s="106">
        <v>-896</v>
      </c>
      <c r="E686" s="106">
        <v>0</v>
      </c>
      <c r="F686" s="106">
        <v>0</v>
      </c>
      <c r="G686" s="106">
        <v>0</v>
      </c>
      <c r="H686" s="106">
        <v>281654</v>
      </c>
      <c r="I686" s="106">
        <v>-169043</v>
      </c>
      <c r="J686" s="106">
        <v>112611</v>
      </c>
      <c r="K686" s="106">
        <v>0</v>
      </c>
      <c r="L686" s="106">
        <v>0</v>
      </c>
      <c r="M686" s="106">
        <v>0</v>
      </c>
      <c r="N686" s="106">
        <v>112611</v>
      </c>
    </row>
    <row r="687" spans="1:14" outlineLevel="2" x14ac:dyDescent="0.35">
      <c r="A687" s="108" t="s">
        <v>552</v>
      </c>
      <c r="B687" s="108" t="s">
        <v>205</v>
      </c>
      <c r="C687" s="106">
        <v>345358</v>
      </c>
      <c r="D687" s="106">
        <v>-33088</v>
      </c>
      <c r="E687" s="106">
        <v>0</v>
      </c>
      <c r="F687" s="106">
        <v>0</v>
      </c>
      <c r="G687" s="106">
        <v>0</v>
      </c>
      <c r="H687" s="106">
        <v>312270</v>
      </c>
      <c r="I687" s="106">
        <v>-312270</v>
      </c>
      <c r="J687" s="106">
        <v>0</v>
      </c>
      <c r="K687" s="106">
        <v>0</v>
      </c>
      <c r="L687" s="106">
        <v>0</v>
      </c>
      <c r="M687" s="106">
        <v>0</v>
      </c>
      <c r="N687" s="106">
        <v>0</v>
      </c>
    </row>
    <row r="688" spans="1:14" outlineLevel="2" x14ac:dyDescent="0.35">
      <c r="A688" s="108" t="s">
        <v>552</v>
      </c>
      <c r="B688" s="108" t="s">
        <v>204</v>
      </c>
      <c r="C688" s="106">
        <v>445403</v>
      </c>
      <c r="D688" s="106">
        <v>-4099</v>
      </c>
      <c r="E688" s="106">
        <v>0</v>
      </c>
      <c r="F688" s="106">
        <v>0</v>
      </c>
      <c r="G688" s="106">
        <v>0</v>
      </c>
      <c r="H688" s="106">
        <v>441304</v>
      </c>
      <c r="I688" s="106">
        <v>-432014</v>
      </c>
      <c r="J688" s="106">
        <v>9290</v>
      </c>
      <c r="K688" s="106">
        <v>2175</v>
      </c>
      <c r="L688" s="106">
        <v>0</v>
      </c>
      <c r="M688" s="106">
        <v>2175</v>
      </c>
      <c r="N688" s="106">
        <v>7115</v>
      </c>
    </row>
    <row r="689" spans="1:14" outlineLevel="2" x14ac:dyDescent="0.35">
      <c r="A689" s="108" t="s">
        <v>552</v>
      </c>
      <c r="B689" s="108" t="s">
        <v>203</v>
      </c>
      <c r="C689" s="106">
        <v>435848</v>
      </c>
      <c r="D689" s="106">
        <v>-20359</v>
      </c>
      <c r="E689" s="106">
        <v>0</v>
      </c>
      <c r="F689" s="106">
        <v>0</v>
      </c>
      <c r="G689" s="106">
        <v>0</v>
      </c>
      <c r="H689" s="106">
        <v>415489</v>
      </c>
      <c r="I689" s="106">
        <v>-357800</v>
      </c>
      <c r="J689" s="106">
        <v>57689</v>
      </c>
      <c r="K689" s="106">
        <v>0</v>
      </c>
      <c r="L689" s="106">
        <v>0</v>
      </c>
      <c r="M689" s="106">
        <v>0</v>
      </c>
      <c r="N689" s="106">
        <v>57689</v>
      </c>
    </row>
    <row r="690" spans="1:14" outlineLevel="1" x14ac:dyDescent="0.35">
      <c r="A690" s="108" t="s">
        <v>552</v>
      </c>
      <c r="B690" s="108" t="s">
        <v>202</v>
      </c>
      <c r="C690" s="106">
        <v>417707</v>
      </c>
      <c r="D690" s="106">
        <v>-31007</v>
      </c>
      <c r="E690" s="106">
        <v>0</v>
      </c>
      <c r="F690" s="106">
        <v>0</v>
      </c>
      <c r="G690" s="106">
        <v>0</v>
      </c>
      <c r="H690" s="106">
        <v>386700</v>
      </c>
      <c r="I690" s="106">
        <v>-337072</v>
      </c>
      <c r="J690" s="106">
        <v>49628</v>
      </c>
      <c r="K690" s="106">
        <v>16641</v>
      </c>
      <c r="L690" s="106">
        <v>-15516</v>
      </c>
      <c r="M690" s="106">
        <v>1125</v>
      </c>
      <c r="N690" s="106">
        <v>48503</v>
      </c>
    </row>
    <row r="691" spans="1:14" ht="15.65" customHeight="1" outlineLevel="1" x14ac:dyDescent="0.35">
      <c r="A691" s="108" t="s">
        <v>552</v>
      </c>
      <c r="B691" s="108" t="s">
        <v>201</v>
      </c>
      <c r="C691" s="106">
        <v>357959</v>
      </c>
      <c r="D691" s="106">
        <v>-12022</v>
      </c>
      <c r="E691" s="106">
        <v>0</v>
      </c>
      <c r="F691" s="106">
        <v>0</v>
      </c>
      <c r="G691" s="106">
        <v>0</v>
      </c>
      <c r="H691" s="106">
        <v>345937</v>
      </c>
      <c r="I691" s="106">
        <v>-317957</v>
      </c>
      <c r="J691" s="106">
        <v>27980</v>
      </c>
      <c r="K691" s="106">
        <v>0</v>
      </c>
      <c r="L691" s="106">
        <v>0</v>
      </c>
      <c r="M691" s="106">
        <v>0</v>
      </c>
      <c r="N691" s="106">
        <v>27980</v>
      </c>
    </row>
    <row r="692" spans="1:14" ht="15" customHeight="1" outlineLevel="1" x14ac:dyDescent="0.35">
      <c r="A692" s="108" t="s">
        <v>552</v>
      </c>
      <c r="B692" s="108" t="s">
        <v>200</v>
      </c>
      <c r="C692" s="106">
        <v>340837</v>
      </c>
      <c r="D692" s="106">
        <v>-14021</v>
      </c>
      <c r="E692" s="106">
        <v>0</v>
      </c>
      <c r="F692" s="106">
        <v>0</v>
      </c>
      <c r="G692" s="106">
        <v>0</v>
      </c>
      <c r="H692" s="106">
        <v>326816</v>
      </c>
      <c r="I692" s="106">
        <v>-326816</v>
      </c>
      <c r="J692" s="106">
        <v>0</v>
      </c>
      <c r="K692" s="106">
        <v>28443</v>
      </c>
      <c r="L692" s="106">
        <v>-16875</v>
      </c>
      <c r="M692" s="106">
        <v>11568</v>
      </c>
      <c r="N692" s="106">
        <v>-11568</v>
      </c>
    </row>
    <row r="693" spans="1:14" outlineLevel="2" x14ac:dyDescent="0.35">
      <c r="A693" s="108" t="s">
        <v>552</v>
      </c>
      <c r="B693" s="108" t="s">
        <v>199</v>
      </c>
      <c r="C693" s="106">
        <v>436772</v>
      </c>
      <c r="D693" s="106">
        <v>-3807</v>
      </c>
      <c r="E693" s="106">
        <v>0</v>
      </c>
      <c r="F693" s="106">
        <v>0</v>
      </c>
      <c r="G693" s="106">
        <v>0</v>
      </c>
      <c r="H693" s="106">
        <v>432965</v>
      </c>
      <c r="I693" s="106">
        <v>-432965</v>
      </c>
      <c r="J693" s="106">
        <v>0</v>
      </c>
      <c r="K693" s="106">
        <v>0</v>
      </c>
      <c r="L693" s="106">
        <v>0</v>
      </c>
      <c r="M693" s="106">
        <v>0</v>
      </c>
      <c r="N693" s="106">
        <v>0</v>
      </c>
    </row>
    <row r="694" spans="1:14" outlineLevel="2" x14ac:dyDescent="0.35">
      <c r="A694" s="108" t="s">
        <v>552</v>
      </c>
      <c r="B694" s="108" t="s">
        <v>198</v>
      </c>
      <c r="C694" s="106">
        <v>729367</v>
      </c>
      <c r="D694" s="106">
        <v>-1951</v>
      </c>
      <c r="E694" s="106">
        <v>0</v>
      </c>
      <c r="F694" s="106">
        <v>0</v>
      </c>
      <c r="G694" s="106">
        <v>0</v>
      </c>
      <c r="H694" s="106">
        <v>727416</v>
      </c>
      <c r="I694" s="106">
        <v>-727416</v>
      </c>
      <c r="J694" s="106">
        <v>0</v>
      </c>
      <c r="K694" s="106">
        <v>0</v>
      </c>
      <c r="L694" s="106">
        <v>0</v>
      </c>
      <c r="M694" s="106">
        <v>0</v>
      </c>
      <c r="N694" s="106">
        <v>0</v>
      </c>
    </row>
    <row r="695" spans="1:14" outlineLevel="2" x14ac:dyDescent="0.35">
      <c r="A695" s="108" t="s">
        <v>552</v>
      </c>
      <c r="B695" s="108" t="s">
        <v>197</v>
      </c>
      <c r="C695" s="106">
        <v>794734</v>
      </c>
      <c r="D695" s="106">
        <v>-29841</v>
      </c>
      <c r="E695" s="106">
        <v>0</v>
      </c>
      <c r="F695" s="106">
        <v>0</v>
      </c>
      <c r="G695" s="106">
        <v>0</v>
      </c>
      <c r="H695" s="106">
        <v>764893</v>
      </c>
      <c r="I695" s="106">
        <v>-764893</v>
      </c>
      <c r="J695" s="106">
        <v>0</v>
      </c>
      <c r="K695" s="106">
        <v>0</v>
      </c>
      <c r="L695" s="106">
        <v>0</v>
      </c>
      <c r="M695" s="106">
        <v>0</v>
      </c>
      <c r="N695" s="106">
        <v>0</v>
      </c>
    </row>
    <row r="696" spans="1:14" outlineLevel="2" x14ac:dyDescent="0.35">
      <c r="A696" s="108" t="s">
        <v>552</v>
      </c>
      <c r="B696" s="108" t="s">
        <v>196</v>
      </c>
      <c r="C696" s="106">
        <v>980841</v>
      </c>
      <c r="D696" s="106">
        <v>-3930</v>
      </c>
      <c r="E696" s="106">
        <v>0</v>
      </c>
      <c r="F696" s="106">
        <v>0</v>
      </c>
      <c r="G696" s="106">
        <v>0</v>
      </c>
      <c r="H696" s="106">
        <v>976911</v>
      </c>
      <c r="I696" s="106">
        <v>-976911</v>
      </c>
      <c r="J696" s="106">
        <v>0</v>
      </c>
      <c r="K696" s="106">
        <v>0</v>
      </c>
      <c r="L696" s="106">
        <v>0</v>
      </c>
      <c r="M696" s="106">
        <v>0</v>
      </c>
      <c r="N696" s="106">
        <v>0</v>
      </c>
    </row>
    <row r="697" spans="1:14" outlineLevel="2" x14ac:dyDescent="0.35">
      <c r="A697" s="108" t="s">
        <v>552</v>
      </c>
      <c r="B697" s="108" t="s">
        <v>195</v>
      </c>
      <c r="C697" s="106">
        <v>931514</v>
      </c>
      <c r="D697" s="106">
        <v>-3184</v>
      </c>
      <c r="E697" s="106">
        <v>0</v>
      </c>
      <c r="F697" s="106">
        <v>0</v>
      </c>
      <c r="G697" s="106">
        <v>0</v>
      </c>
      <c r="H697" s="106">
        <v>928330</v>
      </c>
      <c r="I697" s="106">
        <v>-928330</v>
      </c>
      <c r="J697" s="106">
        <v>0</v>
      </c>
      <c r="K697" s="106">
        <v>0</v>
      </c>
      <c r="L697" s="106">
        <v>0</v>
      </c>
      <c r="M697" s="106">
        <v>0</v>
      </c>
      <c r="N697" s="106">
        <v>0</v>
      </c>
    </row>
    <row r="698" spans="1:14" outlineLevel="2" x14ac:dyDescent="0.35">
      <c r="A698" s="108" t="s">
        <v>552</v>
      </c>
      <c r="B698" s="108" t="s">
        <v>194</v>
      </c>
      <c r="C698" s="106">
        <v>956429</v>
      </c>
      <c r="D698" s="106">
        <v>-3120</v>
      </c>
      <c r="E698" s="106">
        <v>0</v>
      </c>
      <c r="F698" s="106">
        <v>0</v>
      </c>
      <c r="G698" s="106">
        <v>0</v>
      </c>
      <c r="H698" s="106">
        <v>953309</v>
      </c>
      <c r="I698" s="106">
        <v>-953309</v>
      </c>
      <c r="J698" s="106">
        <v>0</v>
      </c>
      <c r="K698" s="106">
        <v>0</v>
      </c>
      <c r="L698" s="106">
        <v>0</v>
      </c>
      <c r="M698" s="106">
        <v>0</v>
      </c>
      <c r="N698" s="106">
        <v>0</v>
      </c>
    </row>
    <row r="699" spans="1:14" outlineLevel="2" x14ac:dyDescent="0.35">
      <c r="A699" s="108" t="s">
        <v>552</v>
      </c>
      <c r="B699" s="108" t="s">
        <v>193</v>
      </c>
      <c r="C699" s="106">
        <v>1077160</v>
      </c>
      <c r="D699" s="106">
        <v>-3122</v>
      </c>
      <c r="E699" s="106">
        <v>0</v>
      </c>
      <c r="F699" s="106">
        <v>0</v>
      </c>
      <c r="G699" s="106">
        <v>0</v>
      </c>
      <c r="H699" s="106">
        <v>1074038</v>
      </c>
      <c r="I699" s="106">
        <v>-1074038</v>
      </c>
      <c r="J699" s="106">
        <v>0</v>
      </c>
      <c r="K699" s="106">
        <v>0</v>
      </c>
      <c r="L699" s="106">
        <v>0</v>
      </c>
      <c r="M699" s="106">
        <v>0</v>
      </c>
      <c r="N699" s="106">
        <v>0</v>
      </c>
    </row>
    <row r="700" spans="1:14" outlineLevel="2" x14ac:dyDescent="0.35">
      <c r="A700" s="108" t="s">
        <v>552</v>
      </c>
      <c r="B700" s="108" t="s">
        <v>192</v>
      </c>
      <c r="C700" s="106">
        <v>1075866</v>
      </c>
      <c r="D700" s="106">
        <v>-2697</v>
      </c>
      <c r="E700" s="106">
        <v>0</v>
      </c>
      <c r="F700" s="106">
        <v>0</v>
      </c>
      <c r="G700" s="106">
        <v>0</v>
      </c>
      <c r="H700" s="106">
        <v>1073169</v>
      </c>
      <c r="I700" s="106">
        <v>-1073169</v>
      </c>
      <c r="J700" s="106">
        <v>0</v>
      </c>
      <c r="K700" s="106">
        <v>0</v>
      </c>
      <c r="L700" s="106">
        <v>0</v>
      </c>
      <c r="M700" s="106">
        <v>0</v>
      </c>
      <c r="N700" s="106">
        <v>0</v>
      </c>
    </row>
    <row r="701" spans="1:14" outlineLevel="2" x14ac:dyDescent="0.35">
      <c r="A701" s="108" t="s">
        <v>552</v>
      </c>
      <c r="B701" s="108" t="s">
        <v>191</v>
      </c>
      <c r="C701" s="106">
        <v>770072</v>
      </c>
      <c r="D701" s="106">
        <v>-1194</v>
      </c>
      <c r="E701" s="106">
        <v>0</v>
      </c>
      <c r="F701" s="106">
        <v>0</v>
      </c>
      <c r="G701" s="106">
        <v>0</v>
      </c>
      <c r="H701" s="106">
        <v>768878</v>
      </c>
      <c r="I701" s="106">
        <v>-768878</v>
      </c>
      <c r="J701" s="106">
        <v>0</v>
      </c>
      <c r="K701" s="106">
        <v>0</v>
      </c>
      <c r="L701" s="106">
        <v>0</v>
      </c>
      <c r="M701" s="106">
        <v>0</v>
      </c>
      <c r="N701" s="106">
        <v>0</v>
      </c>
    </row>
    <row r="702" spans="1:14" outlineLevel="2" x14ac:dyDescent="0.35">
      <c r="A702" s="108" t="s">
        <v>552</v>
      </c>
      <c r="B702" s="108" t="s">
        <v>190</v>
      </c>
      <c r="C702" s="106">
        <v>705298</v>
      </c>
      <c r="D702" s="106">
        <v>-1528</v>
      </c>
      <c r="E702" s="106">
        <v>0</v>
      </c>
      <c r="F702" s="106">
        <v>0</v>
      </c>
      <c r="G702" s="106">
        <v>0</v>
      </c>
      <c r="H702" s="106">
        <v>703770</v>
      </c>
      <c r="I702" s="106">
        <v>-703770</v>
      </c>
      <c r="J702" s="106">
        <v>0</v>
      </c>
      <c r="K702" s="106">
        <v>0</v>
      </c>
      <c r="L702" s="106">
        <v>0</v>
      </c>
      <c r="M702" s="106">
        <v>0</v>
      </c>
      <c r="N702" s="106">
        <v>0</v>
      </c>
    </row>
    <row r="703" spans="1:14" ht="16" outlineLevel="2" thickBot="1" x14ac:dyDescent="0.4">
      <c r="A703" s="105" t="s">
        <v>431</v>
      </c>
      <c r="B703" s="79" t="s">
        <v>12</v>
      </c>
      <c r="C703" s="103">
        <f>SUBTOTAL(109,Program192[(C)
Program
Costs])</f>
        <v>11536235</v>
      </c>
      <c r="D703" s="103">
        <f>SUBTOTAL(109,Program192[(D)
Prior Period Adjustments])</f>
        <v>-171597</v>
      </c>
      <c r="E703" s="103">
        <f>SUBTOTAL(109,Program192[(E)
Current Period Desk 
Reviews])</f>
        <v>0</v>
      </c>
      <c r="F703" s="103">
        <f>SUBTOTAL(109,Program192[(F)
Current Period 
Final 
Audits])</f>
        <v>0</v>
      </c>
      <c r="G703" s="103">
        <f>SUBTOTAL(109,Program192[(G)
Current Period 
Other Adjustments])</f>
        <v>0</v>
      </c>
      <c r="H703" s="103">
        <f>SUBTOTAL(109,Program192[(H)
Net Program Costs
Sum (C through G)])</f>
        <v>11364638</v>
      </c>
      <c r="I703" s="103">
        <f>SUBTOTAL(109,Program192[(I)
Payments
 and Offsets])</f>
        <v>-10893246</v>
      </c>
      <c r="J703" s="103">
        <f>SUBTOTAL(109,Program192[(J)
Accounts Payable Balance
(H + I)])</f>
        <v>471392</v>
      </c>
      <c r="K703" s="103">
        <f>SUBTOTAL(109,Program192[(K)
Established 
Accounts Receivable])</f>
        <v>47259</v>
      </c>
      <c r="L703" s="103">
        <f>SUBTOTAL(109,Program192[(L)
Recovered
 Accounts Receivable])</f>
        <v>-32391</v>
      </c>
      <c r="M703" s="103">
        <f>SUBTOTAL(109,Program192[(M)
Accounts Receivable Balance
(K + L)])</f>
        <v>14868</v>
      </c>
      <c r="N703" s="103">
        <f>SUBTOTAL(109,Program192[(N)
Net Balance
(J minus M)])</f>
        <v>456524</v>
      </c>
    </row>
    <row r="704" spans="1:14" outlineLevel="2" x14ac:dyDescent="0.35">
      <c r="A704" s="116" t="s">
        <v>33</v>
      </c>
      <c r="B704" s="115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</row>
    <row r="705" spans="1:14" ht="77.5" outlineLevel="2" x14ac:dyDescent="0.35">
      <c r="A705" s="113" t="s">
        <v>185</v>
      </c>
      <c r="B705" s="112" t="s">
        <v>184</v>
      </c>
      <c r="C705" s="111" t="s">
        <v>183</v>
      </c>
      <c r="D705" s="111" t="s">
        <v>182</v>
      </c>
      <c r="E705" s="111" t="s">
        <v>181</v>
      </c>
      <c r="F705" s="111" t="s">
        <v>180</v>
      </c>
      <c r="G705" s="111" t="s">
        <v>179</v>
      </c>
      <c r="H705" s="110" t="s">
        <v>674</v>
      </c>
      <c r="I705" s="110" t="s">
        <v>178</v>
      </c>
      <c r="J705" s="110" t="s">
        <v>177</v>
      </c>
      <c r="K705" s="111" t="s">
        <v>176</v>
      </c>
      <c r="L705" s="110" t="s">
        <v>175</v>
      </c>
      <c r="M705" s="110" t="s">
        <v>174</v>
      </c>
      <c r="N705" s="109" t="s">
        <v>173</v>
      </c>
    </row>
    <row r="706" spans="1:14" ht="31" outlineLevel="2" x14ac:dyDescent="0.35">
      <c r="A706" s="77" t="s">
        <v>551</v>
      </c>
      <c r="B706" s="108" t="s">
        <v>199</v>
      </c>
      <c r="C706" s="106">
        <v>169858891</v>
      </c>
      <c r="D706" s="106">
        <v>-187685</v>
      </c>
      <c r="E706" s="106">
        <v>0</v>
      </c>
      <c r="F706" s="106">
        <v>0</v>
      </c>
      <c r="G706" s="106">
        <v>0</v>
      </c>
      <c r="H706" s="106">
        <v>169671206</v>
      </c>
      <c r="I706" s="106">
        <v>-160619456</v>
      </c>
      <c r="J706" s="106">
        <v>9051750</v>
      </c>
      <c r="K706" s="106">
        <v>0</v>
      </c>
      <c r="L706" s="106">
        <v>0</v>
      </c>
      <c r="M706" s="106">
        <v>0</v>
      </c>
      <c r="N706" s="106">
        <v>9051750</v>
      </c>
    </row>
    <row r="707" spans="1:14" ht="31" outlineLevel="2" x14ac:dyDescent="0.35">
      <c r="A707" s="77" t="s">
        <v>551</v>
      </c>
      <c r="B707" s="108" t="s">
        <v>198</v>
      </c>
      <c r="C707" s="106">
        <v>176753525</v>
      </c>
      <c r="D707" s="106">
        <v>-186632</v>
      </c>
      <c r="E707" s="106">
        <v>0</v>
      </c>
      <c r="F707" s="106">
        <v>0</v>
      </c>
      <c r="G707" s="106">
        <v>0</v>
      </c>
      <c r="H707" s="106">
        <v>176566893</v>
      </c>
      <c r="I707" s="106">
        <v>-172277694</v>
      </c>
      <c r="J707" s="106">
        <v>4289199</v>
      </c>
      <c r="K707" s="106">
        <v>0</v>
      </c>
      <c r="L707" s="106">
        <v>0</v>
      </c>
      <c r="M707" s="106">
        <v>0</v>
      </c>
      <c r="N707" s="106">
        <v>4289199</v>
      </c>
    </row>
    <row r="708" spans="1:14" ht="31" outlineLevel="2" x14ac:dyDescent="0.35">
      <c r="A708" s="77" t="s">
        <v>551</v>
      </c>
      <c r="B708" s="108" t="s">
        <v>197</v>
      </c>
      <c r="C708" s="106">
        <v>166874178</v>
      </c>
      <c r="D708" s="106">
        <v>-178552</v>
      </c>
      <c r="E708" s="106">
        <v>0</v>
      </c>
      <c r="F708" s="106">
        <v>0</v>
      </c>
      <c r="G708" s="106">
        <v>0</v>
      </c>
      <c r="H708" s="106">
        <v>166695626</v>
      </c>
      <c r="I708" s="106">
        <v>-165084881</v>
      </c>
      <c r="J708" s="106">
        <v>1610745</v>
      </c>
      <c r="K708" s="106">
        <v>0</v>
      </c>
      <c r="L708" s="106">
        <v>0</v>
      </c>
      <c r="M708" s="106">
        <v>0</v>
      </c>
      <c r="N708" s="106">
        <v>1610745</v>
      </c>
    </row>
    <row r="709" spans="1:14" ht="31" outlineLevel="2" x14ac:dyDescent="0.35">
      <c r="A709" s="77" t="s">
        <v>551</v>
      </c>
      <c r="B709" s="108" t="s">
        <v>196</v>
      </c>
      <c r="C709" s="106">
        <v>156502104</v>
      </c>
      <c r="D709" s="106">
        <v>-176015</v>
      </c>
      <c r="E709" s="106">
        <v>0</v>
      </c>
      <c r="F709" s="106">
        <v>0</v>
      </c>
      <c r="G709" s="106">
        <v>0</v>
      </c>
      <c r="H709" s="106">
        <v>156326089</v>
      </c>
      <c r="I709" s="106">
        <v>-155700922</v>
      </c>
      <c r="J709" s="106">
        <v>625167</v>
      </c>
      <c r="K709" s="106">
        <v>0</v>
      </c>
      <c r="L709" s="106">
        <v>0</v>
      </c>
      <c r="M709" s="106">
        <v>0</v>
      </c>
      <c r="N709" s="106">
        <v>625167</v>
      </c>
    </row>
    <row r="710" spans="1:14" ht="31" outlineLevel="2" x14ac:dyDescent="0.35">
      <c r="A710" s="77" t="s">
        <v>551</v>
      </c>
      <c r="B710" s="108" t="s">
        <v>195</v>
      </c>
      <c r="C710" s="106">
        <v>136529168</v>
      </c>
      <c r="D710" s="106">
        <v>-161426</v>
      </c>
      <c r="E710" s="106">
        <v>0</v>
      </c>
      <c r="F710" s="106">
        <v>0</v>
      </c>
      <c r="G710" s="106">
        <v>0</v>
      </c>
      <c r="H710" s="106">
        <v>136367742</v>
      </c>
      <c r="I710" s="106">
        <v>-135960581</v>
      </c>
      <c r="J710" s="106">
        <v>407161</v>
      </c>
      <c r="K710" s="106">
        <v>0</v>
      </c>
      <c r="L710" s="106">
        <v>0</v>
      </c>
      <c r="M710" s="106">
        <v>0</v>
      </c>
      <c r="N710" s="106">
        <v>407161</v>
      </c>
    </row>
    <row r="711" spans="1:14" ht="31" outlineLevel="2" x14ac:dyDescent="0.35">
      <c r="A711" s="77" t="s">
        <v>551</v>
      </c>
      <c r="B711" s="108" t="s">
        <v>194</v>
      </c>
      <c r="C711" s="106">
        <v>113286814</v>
      </c>
      <c r="D711" s="106">
        <v>-165870</v>
      </c>
      <c r="E711" s="106">
        <v>0</v>
      </c>
      <c r="F711" s="106">
        <v>0</v>
      </c>
      <c r="G711" s="106">
        <v>0</v>
      </c>
      <c r="H711" s="106">
        <v>113120944</v>
      </c>
      <c r="I711" s="106">
        <v>-113117899</v>
      </c>
      <c r="J711" s="106">
        <v>3045</v>
      </c>
      <c r="K711" s="106">
        <v>0</v>
      </c>
      <c r="L711" s="106">
        <v>0</v>
      </c>
      <c r="M711" s="106">
        <v>0</v>
      </c>
      <c r="N711" s="106">
        <v>3045</v>
      </c>
    </row>
    <row r="712" spans="1:14" ht="31" outlineLevel="2" x14ac:dyDescent="0.35">
      <c r="A712" s="77" t="s">
        <v>551</v>
      </c>
      <c r="B712" s="108" t="s">
        <v>193</v>
      </c>
      <c r="C712" s="106">
        <v>104171976</v>
      </c>
      <c r="D712" s="106">
        <v>-144532</v>
      </c>
      <c r="E712" s="106">
        <v>0</v>
      </c>
      <c r="F712" s="106">
        <v>0</v>
      </c>
      <c r="G712" s="106">
        <v>0</v>
      </c>
      <c r="H712" s="106">
        <v>104027444</v>
      </c>
      <c r="I712" s="106">
        <v>-104027444</v>
      </c>
      <c r="J712" s="106">
        <v>0</v>
      </c>
      <c r="K712" s="106">
        <v>0</v>
      </c>
      <c r="L712" s="106">
        <v>0</v>
      </c>
      <c r="M712" s="106">
        <v>0</v>
      </c>
      <c r="N712" s="106">
        <v>0</v>
      </c>
    </row>
    <row r="713" spans="1:14" ht="31" outlineLevel="2" x14ac:dyDescent="0.35">
      <c r="A713" s="77" t="s">
        <v>551</v>
      </c>
      <c r="B713" s="108" t="s">
        <v>192</v>
      </c>
      <c r="C713" s="106">
        <v>91525001</v>
      </c>
      <c r="D713" s="106">
        <v>-109433</v>
      </c>
      <c r="E713" s="106">
        <v>0</v>
      </c>
      <c r="F713" s="106">
        <v>0</v>
      </c>
      <c r="G713" s="106">
        <v>0</v>
      </c>
      <c r="H713" s="106">
        <v>91415568</v>
      </c>
      <c r="I713" s="106">
        <v>-91415568</v>
      </c>
      <c r="J713" s="106">
        <v>0</v>
      </c>
      <c r="K713" s="106">
        <v>0</v>
      </c>
      <c r="L713" s="106">
        <v>0</v>
      </c>
      <c r="M713" s="106">
        <v>0</v>
      </c>
      <c r="N713" s="106">
        <v>0</v>
      </c>
    </row>
    <row r="714" spans="1:14" ht="31" outlineLevel="2" x14ac:dyDescent="0.35">
      <c r="A714" s="77" t="s">
        <v>551</v>
      </c>
      <c r="B714" s="108" t="s">
        <v>191</v>
      </c>
      <c r="C714" s="106">
        <v>84886030</v>
      </c>
      <c r="D714" s="106">
        <v>-104746</v>
      </c>
      <c r="E714" s="106">
        <v>0</v>
      </c>
      <c r="F714" s="106">
        <v>0</v>
      </c>
      <c r="G714" s="106">
        <v>0</v>
      </c>
      <c r="H714" s="106">
        <v>84781284</v>
      </c>
      <c r="I714" s="106">
        <v>-84781284</v>
      </c>
      <c r="J714" s="106">
        <v>0</v>
      </c>
      <c r="K714" s="106">
        <v>0</v>
      </c>
      <c r="L714" s="106">
        <v>0</v>
      </c>
      <c r="M714" s="106">
        <v>0</v>
      </c>
      <c r="N714" s="106">
        <v>0</v>
      </c>
    </row>
    <row r="715" spans="1:14" ht="16" outlineLevel="1" thickBot="1" x14ac:dyDescent="0.4">
      <c r="A715" s="105" t="s">
        <v>430</v>
      </c>
      <c r="B715" s="79" t="s">
        <v>12</v>
      </c>
      <c r="C715" s="103">
        <f>SUBTOTAL(109,Program295[(C)
Program
Costs])</f>
        <v>1200387687</v>
      </c>
      <c r="D715" s="103">
        <f>SUBTOTAL(109,Program295[(D)
Prior Period Adjustments])</f>
        <v>-1414891</v>
      </c>
      <c r="E715" s="103">
        <f>SUBTOTAL(109,Program295[(E)
Current Period Desk 
Reviews])</f>
        <v>0</v>
      </c>
      <c r="F715" s="103">
        <f>SUBTOTAL(109,Program295[(F)
Current Period 
Final 
Audits])</f>
        <v>0</v>
      </c>
      <c r="G715" s="103">
        <f>SUBTOTAL(109,Program295[(G)
Current Period 
Other Adjustments])</f>
        <v>0</v>
      </c>
      <c r="H715" s="103">
        <f>SUBTOTAL(109,Program295[(H)
Net Program Costs
Sum (C through G)])</f>
        <v>1198972796</v>
      </c>
      <c r="I715" s="103">
        <f>SUBTOTAL(109,Program295[(I)
Payments
 and Offsets])</f>
        <v>-1182985729</v>
      </c>
      <c r="J715" s="103">
        <f>SUBTOTAL(109,Program295[(J)
Accounts Payable Balance
(H + I)])</f>
        <v>15987067</v>
      </c>
      <c r="K715" s="103">
        <f>SUBTOTAL(109,Program295[(K)
Established 
Accounts Receivable])</f>
        <v>0</v>
      </c>
      <c r="L715" s="103">
        <f>SUBTOTAL(109,Program295[(L)
Recovered
 Accounts Receivable])</f>
        <v>0</v>
      </c>
      <c r="M715" s="103">
        <f>SUBTOTAL(109,Program295[(M)
Accounts Receivable Balance
(K + L)])</f>
        <v>0</v>
      </c>
      <c r="N715" s="103">
        <f>SUBTOTAL(109,Program295[(N)
Net Balance
(J minus M)])</f>
        <v>15987067</v>
      </c>
    </row>
    <row r="716" spans="1:14" ht="15.65" customHeight="1" outlineLevel="1" x14ac:dyDescent="0.35">
      <c r="A716" s="116" t="s">
        <v>33</v>
      </c>
      <c r="B716" s="115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</row>
    <row r="717" spans="1:14" ht="78.75" customHeight="1" outlineLevel="1" x14ac:dyDescent="0.35">
      <c r="A717" s="113" t="s">
        <v>185</v>
      </c>
      <c r="B717" s="112" t="s">
        <v>184</v>
      </c>
      <c r="C717" s="111" t="s">
        <v>183</v>
      </c>
      <c r="D717" s="111" t="s">
        <v>182</v>
      </c>
      <c r="E717" s="111" t="s">
        <v>181</v>
      </c>
      <c r="F717" s="111" t="s">
        <v>180</v>
      </c>
      <c r="G717" s="111" t="s">
        <v>179</v>
      </c>
      <c r="H717" s="110" t="s">
        <v>674</v>
      </c>
      <c r="I717" s="110" t="s">
        <v>178</v>
      </c>
      <c r="J717" s="110" t="s">
        <v>177</v>
      </c>
      <c r="K717" s="111" t="s">
        <v>176</v>
      </c>
      <c r="L717" s="110" t="s">
        <v>175</v>
      </c>
      <c r="M717" s="110" t="s">
        <v>174</v>
      </c>
      <c r="N717" s="109" t="s">
        <v>173</v>
      </c>
    </row>
    <row r="718" spans="1:14" ht="31" outlineLevel="2" x14ac:dyDescent="0.35">
      <c r="A718" s="77" t="s">
        <v>550</v>
      </c>
      <c r="B718" s="108" t="s">
        <v>200</v>
      </c>
      <c r="C718" s="106">
        <v>74348976</v>
      </c>
      <c r="D718" s="106">
        <v>-156444</v>
      </c>
      <c r="E718" s="106">
        <v>0</v>
      </c>
      <c r="F718" s="106">
        <v>0</v>
      </c>
      <c r="G718" s="106">
        <v>0</v>
      </c>
      <c r="H718" s="106">
        <v>74192532</v>
      </c>
      <c r="I718" s="106">
        <v>-69857272</v>
      </c>
      <c r="J718" s="106">
        <v>4335260</v>
      </c>
      <c r="K718" s="106">
        <v>0</v>
      </c>
      <c r="L718" s="106">
        <v>0</v>
      </c>
      <c r="M718" s="106">
        <v>0</v>
      </c>
      <c r="N718" s="106">
        <v>4335260</v>
      </c>
    </row>
    <row r="719" spans="1:14" ht="16" outlineLevel="2" thickBot="1" x14ac:dyDescent="0.4">
      <c r="A719" s="105" t="s">
        <v>429</v>
      </c>
      <c r="B719" s="79" t="s">
        <v>12</v>
      </c>
      <c r="C719" s="48">
        <f>SUBTOTAL(109,Program296[(C)
Program
Costs])</f>
        <v>74348976</v>
      </c>
      <c r="D719" s="48">
        <f>SUBTOTAL(109,Program296[(D)
Prior Period Adjustments])</f>
        <v>-156444</v>
      </c>
      <c r="E719" s="48">
        <f>SUBTOTAL(109,Program296[(E)
Current Period Desk 
Reviews])</f>
        <v>0</v>
      </c>
      <c r="F719" s="48">
        <f>SUBTOTAL(109,Program296[(F)
Current Period 
Final 
Audits])</f>
        <v>0</v>
      </c>
      <c r="G719" s="48">
        <f>SUBTOTAL(109,Program296[(G)
Current Period 
Other Adjustments])</f>
        <v>0</v>
      </c>
      <c r="H719" s="48">
        <f>SUBTOTAL(109,Program296[(H)
Net Program Costs
Sum (C through G)])</f>
        <v>74192532</v>
      </c>
      <c r="I719" s="48">
        <f>SUBTOTAL(109,Program296[(I)
Payments
 and Offsets])</f>
        <v>-69857272</v>
      </c>
      <c r="J719" s="48">
        <f>SUBTOTAL(109,Program296[(J)
Accounts Payable Balance
(H + I)])</f>
        <v>4335260</v>
      </c>
      <c r="K719" s="48">
        <f>SUBTOTAL(109,Program296[(K)
Established 
Accounts Receivable])</f>
        <v>0</v>
      </c>
      <c r="L719" s="48">
        <f>SUBTOTAL(109,Program296[(L)
Recovered
 Accounts Receivable])</f>
        <v>0</v>
      </c>
      <c r="M719" s="48">
        <f>SUBTOTAL(109,Program296[(M)
Accounts Receivable Balance
(K + L)])</f>
        <v>0</v>
      </c>
      <c r="N719" s="48">
        <f>SUBTOTAL(109,Program296[(N)
Net Balance
(J minus M)])</f>
        <v>4335260</v>
      </c>
    </row>
    <row r="720" spans="1:14" outlineLevel="2" x14ac:dyDescent="0.35">
      <c r="A720" s="116" t="s">
        <v>33</v>
      </c>
      <c r="B720" s="115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</row>
    <row r="721" spans="1:14" ht="77.5" outlineLevel="2" x14ac:dyDescent="0.35">
      <c r="A721" s="113" t="s">
        <v>185</v>
      </c>
      <c r="B721" s="112" t="s">
        <v>184</v>
      </c>
      <c r="C721" s="111" t="s">
        <v>183</v>
      </c>
      <c r="D721" s="111" t="s">
        <v>182</v>
      </c>
      <c r="E721" s="111" t="s">
        <v>181</v>
      </c>
      <c r="F721" s="111" t="s">
        <v>180</v>
      </c>
      <c r="G721" s="111" t="s">
        <v>179</v>
      </c>
      <c r="H721" s="110" t="s">
        <v>674</v>
      </c>
      <c r="I721" s="110" t="s">
        <v>178</v>
      </c>
      <c r="J721" s="110" t="s">
        <v>177</v>
      </c>
      <c r="K721" s="111" t="s">
        <v>176</v>
      </c>
      <c r="L721" s="110" t="s">
        <v>175</v>
      </c>
      <c r="M721" s="110" t="s">
        <v>174</v>
      </c>
      <c r="N721" s="109" t="s">
        <v>173</v>
      </c>
    </row>
    <row r="722" spans="1:14" ht="31" outlineLevel="2" x14ac:dyDescent="0.35">
      <c r="A722" s="77" t="s">
        <v>549</v>
      </c>
      <c r="B722" s="108" t="s">
        <v>215</v>
      </c>
      <c r="C722" s="106">
        <v>3196917</v>
      </c>
      <c r="D722" s="106">
        <v>0</v>
      </c>
      <c r="E722" s="106">
        <v>0</v>
      </c>
      <c r="F722" s="106">
        <v>0</v>
      </c>
      <c r="G722" s="106">
        <v>0</v>
      </c>
      <c r="H722" s="106">
        <v>3196917</v>
      </c>
      <c r="I722" s="106">
        <v>0</v>
      </c>
      <c r="J722" s="106">
        <v>3196917</v>
      </c>
      <c r="K722" s="106">
        <v>0</v>
      </c>
      <c r="L722" s="106">
        <v>0</v>
      </c>
      <c r="M722" s="106">
        <v>0</v>
      </c>
      <c r="N722" s="106">
        <v>3196917</v>
      </c>
    </row>
    <row r="723" spans="1:14" ht="31" outlineLevel="2" x14ac:dyDescent="0.35">
      <c r="A723" s="77" t="s">
        <v>549</v>
      </c>
      <c r="B723" s="108" t="s">
        <v>214</v>
      </c>
      <c r="C723" s="106">
        <v>3674720</v>
      </c>
      <c r="D723" s="106">
        <v>0</v>
      </c>
      <c r="E723" s="106">
        <v>0</v>
      </c>
      <c r="F723" s="106">
        <v>0</v>
      </c>
      <c r="G723" s="106">
        <v>0</v>
      </c>
      <c r="H723" s="106">
        <v>3674720</v>
      </c>
      <c r="I723" s="106">
        <v>-1000</v>
      </c>
      <c r="J723" s="106">
        <v>3673720</v>
      </c>
      <c r="K723" s="106">
        <v>0</v>
      </c>
      <c r="L723" s="106">
        <v>0</v>
      </c>
      <c r="M723" s="106">
        <v>0</v>
      </c>
      <c r="N723" s="106">
        <v>3673720</v>
      </c>
    </row>
    <row r="724" spans="1:14" ht="31" outlineLevel="1" x14ac:dyDescent="0.35">
      <c r="A724" s="77" t="s">
        <v>549</v>
      </c>
      <c r="B724" s="108" t="s">
        <v>212</v>
      </c>
      <c r="C724" s="106">
        <v>3578841</v>
      </c>
      <c r="D724" s="106">
        <v>-2481</v>
      </c>
      <c r="E724" s="106">
        <v>0</v>
      </c>
      <c r="F724" s="106">
        <v>0</v>
      </c>
      <c r="G724" s="106">
        <v>0</v>
      </c>
      <c r="H724" s="106">
        <v>3576360</v>
      </c>
      <c r="I724" s="106">
        <v>-208220</v>
      </c>
      <c r="J724" s="106">
        <v>3368140</v>
      </c>
      <c r="K724" s="106">
        <v>0</v>
      </c>
      <c r="L724" s="106">
        <v>0</v>
      </c>
      <c r="M724" s="106">
        <v>0</v>
      </c>
      <c r="N724" s="106">
        <v>3368140</v>
      </c>
    </row>
    <row r="725" spans="1:14" ht="30" customHeight="1" outlineLevel="1" x14ac:dyDescent="0.35">
      <c r="A725" s="77" t="s">
        <v>549</v>
      </c>
      <c r="B725" s="108" t="s">
        <v>220</v>
      </c>
      <c r="C725" s="106">
        <v>6628149</v>
      </c>
      <c r="D725" s="106">
        <v>0</v>
      </c>
      <c r="E725" s="106">
        <v>0</v>
      </c>
      <c r="F725" s="106">
        <v>0</v>
      </c>
      <c r="G725" s="106">
        <v>0</v>
      </c>
      <c r="H725" s="106">
        <v>6628149</v>
      </c>
      <c r="I725" s="106">
        <v>-434927</v>
      </c>
      <c r="J725" s="106">
        <v>6193222</v>
      </c>
      <c r="K725" s="106">
        <v>0</v>
      </c>
      <c r="L725" s="106">
        <v>0</v>
      </c>
      <c r="M725" s="106">
        <v>0</v>
      </c>
      <c r="N725" s="106">
        <v>6193222</v>
      </c>
    </row>
    <row r="726" spans="1:14" ht="30" customHeight="1" outlineLevel="1" x14ac:dyDescent="0.35">
      <c r="A726" s="77" t="s">
        <v>549</v>
      </c>
      <c r="B726" s="108" t="s">
        <v>219</v>
      </c>
      <c r="C726" s="106">
        <v>16676742</v>
      </c>
      <c r="D726" s="106">
        <v>0</v>
      </c>
      <c r="E726" s="106">
        <v>0</v>
      </c>
      <c r="F726" s="106">
        <v>0</v>
      </c>
      <c r="G726" s="106">
        <v>0</v>
      </c>
      <c r="H726" s="106">
        <v>16676742</v>
      </c>
      <c r="I726" s="106">
        <v>-3216044</v>
      </c>
      <c r="J726" s="106">
        <v>13460698</v>
      </c>
      <c r="K726" s="106">
        <v>0</v>
      </c>
      <c r="L726" s="106">
        <v>0</v>
      </c>
      <c r="M726" s="106">
        <v>0</v>
      </c>
      <c r="N726" s="106">
        <v>13460698</v>
      </c>
    </row>
    <row r="727" spans="1:14" ht="31" outlineLevel="2" x14ac:dyDescent="0.35">
      <c r="A727" s="77" t="s">
        <v>549</v>
      </c>
      <c r="B727" s="108" t="s">
        <v>218</v>
      </c>
      <c r="C727" s="106">
        <v>22146668</v>
      </c>
      <c r="D727" s="106">
        <v>-3168226</v>
      </c>
      <c r="E727" s="106">
        <v>0</v>
      </c>
      <c r="F727" s="106">
        <v>0</v>
      </c>
      <c r="G727" s="106">
        <v>0</v>
      </c>
      <c r="H727" s="106">
        <v>18978442</v>
      </c>
      <c r="I727" s="106">
        <v>-4405087</v>
      </c>
      <c r="J727" s="106">
        <v>14573355</v>
      </c>
      <c r="K727" s="106">
        <v>0</v>
      </c>
      <c r="L727" s="106">
        <v>0</v>
      </c>
      <c r="M727" s="106">
        <v>0</v>
      </c>
      <c r="N727" s="106">
        <v>14573355</v>
      </c>
    </row>
    <row r="728" spans="1:14" ht="31" outlineLevel="2" x14ac:dyDescent="0.35">
      <c r="A728" s="77" t="s">
        <v>549</v>
      </c>
      <c r="B728" s="108" t="s">
        <v>209</v>
      </c>
      <c r="C728" s="106">
        <v>228382454</v>
      </c>
      <c r="D728" s="106">
        <v>-185691</v>
      </c>
      <c r="E728" s="106">
        <v>0</v>
      </c>
      <c r="F728" s="106">
        <v>0</v>
      </c>
      <c r="G728" s="106">
        <v>0</v>
      </c>
      <c r="H728" s="106">
        <v>228196763</v>
      </c>
      <c r="I728" s="106">
        <v>-126160381</v>
      </c>
      <c r="J728" s="106">
        <v>102036382</v>
      </c>
      <c r="K728" s="106">
        <v>0</v>
      </c>
      <c r="L728" s="106">
        <v>0</v>
      </c>
      <c r="M728" s="106">
        <v>0</v>
      </c>
      <c r="N728" s="106">
        <v>102036382</v>
      </c>
    </row>
    <row r="729" spans="1:14" ht="31" outlineLevel="2" x14ac:dyDescent="0.35">
      <c r="A729" s="77" t="s">
        <v>549</v>
      </c>
      <c r="B729" s="108" t="s">
        <v>208</v>
      </c>
      <c r="C729" s="106">
        <v>265850025</v>
      </c>
      <c r="D729" s="106">
        <v>-161756</v>
      </c>
      <c r="E729" s="106">
        <v>0</v>
      </c>
      <c r="F729" s="106">
        <v>0</v>
      </c>
      <c r="G729" s="106">
        <v>0</v>
      </c>
      <c r="H729" s="106">
        <v>265688269</v>
      </c>
      <c r="I729" s="106">
        <v>-162398696</v>
      </c>
      <c r="J729" s="106">
        <v>103289573</v>
      </c>
      <c r="K729" s="106">
        <v>0</v>
      </c>
      <c r="L729" s="106">
        <v>0</v>
      </c>
      <c r="M729" s="106">
        <v>0</v>
      </c>
      <c r="N729" s="106">
        <v>103289573</v>
      </c>
    </row>
    <row r="730" spans="1:14" ht="31" outlineLevel="2" x14ac:dyDescent="0.35">
      <c r="A730" s="77" t="s">
        <v>549</v>
      </c>
      <c r="B730" s="108" t="s">
        <v>206</v>
      </c>
      <c r="C730" s="106">
        <v>271350268</v>
      </c>
      <c r="D730" s="106">
        <v>-141770</v>
      </c>
      <c r="E730" s="106">
        <v>0</v>
      </c>
      <c r="F730" s="106">
        <v>0</v>
      </c>
      <c r="G730" s="106">
        <v>0</v>
      </c>
      <c r="H730" s="106">
        <v>271208498</v>
      </c>
      <c r="I730" s="106">
        <v>-177075406</v>
      </c>
      <c r="J730" s="106">
        <v>94133092</v>
      </c>
      <c r="K730" s="106">
        <v>0</v>
      </c>
      <c r="L730" s="106">
        <v>0</v>
      </c>
      <c r="M730" s="106">
        <v>0</v>
      </c>
      <c r="N730" s="106">
        <v>94133092</v>
      </c>
    </row>
    <row r="731" spans="1:14" ht="31" outlineLevel="2" x14ac:dyDescent="0.35">
      <c r="A731" s="77" t="s">
        <v>549</v>
      </c>
      <c r="B731" s="108" t="s">
        <v>205</v>
      </c>
      <c r="C731" s="106">
        <v>268351160</v>
      </c>
      <c r="D731" s="106">
        <v>-11457236</v>
      </c>
      <c r="E731" s="106">
        <v>0</v>
      </c>
      <c r="F731" s="106">
        <v>0</v>
      </c>
      <c r="G731" s="106">
        <v>0</v>
      </c>
      <c r="H731" s="106">
        <v>256893924</v>
      </c>
      <c r="I731" s="106">
        <v>-175216847</v>
      </c>
      <c r="J731" s="106">
        <v>81677077</v>
      </c>
      <c r="K731" s="106">
        <v>0</v>
      </c>
      <c r="L731" s="106">
        <v>0</v>
      </c>
      <c r="M731" s="106">
        <v>0</v>
      </c>
      <c r="N731" s="106">
        <v>81677077</v>
      </c>
    </row>
    <row r="732" spans="1:14" ht="31" outlineLevel="2" x14ac:dyDescent="0.35">
      <c r="A732" s="77" t="s">
        <v>549</v>
      </c>
      <c r="B732" s="108" t="s">
        <v>204</v>
      </c>
      <c r="C732" s="106">
        <v>261884174</v>
      </c>
      <c r="D732" s="106">
        <v>-4777465</v>
      </c>
      <c r="E732" s="106">
        <v>0</v>
      </c>
      <c r="F732" s="106">
        <v>0</v>
      </c>
      <c r="G732" s="106">
        <v>0</v>
      </c>
      <c r="H732" s="106">
        <v>257106709</v>
      </c>
      <c r="I732" s="106">
        <v>-181188759</v>
      </c>
      <c r="J732" s="106">
        <v>75917950</v>
      </c>
      <c r="K732" s="106">
        <v>0</v>
      </c>
      <c r="L732" s="106">
        <v>0</v>
      </c>
      <c r="M732" s="106">
        <v>0</v>
      </c>
      <c r="N732" s="106">
        <v>75917950</v>
      </c>
    </row>
    <row r="733" spans="1:14" ht="31" outlineLevel="2" x14ac:dyDescent="0.35">
      <c r="A733" s="77" t="s">
        <v>549</v>
      </c>
      <c r="B733" s="108" t="s">
        <v>203</v>
      </c>
      <c r="C733" s="106">
        <v>236091083</v>
      </c>
      <c r="D733" s="106">
        <v>-4747869</v>
      </c>
      <c r="E733" s="106">
        <v>0</v>
      </c>
      <c r="F733" s="106">
        <v>0</v>
      </c>
      <c r="G733" s="106">
        <v>0</v>
      </c>
      <c r="H733" s="106">
        <v>231343214</v>
      </c>
      <c r="I733" s="106">
        <v>-180663161</v>
      </c>
      <c r="J733" s="106">
        <v>50680053</v>
      </c>
      <c r="K733" s="106">
        <v>0</v>
      </c>
      <c r="L733" s="106">
        <v>0</v>
      </c>
      <c r="M733" s="106">
        <v>0</v>
      </c>
      <c r="N733" s="106">
        <v>50680053</v>
      </c>
    </row>
    <row r="734" spans="1:14" ht="31" outlineLevel="2" x14ac:dyDescent="0.35">
      <c r="A734" s="77" t="s">
        <v>549</v>
      </c>
      <c r="B734" s="108" t="s">
        <v>202</v>
      </c>
      <c r="C734" s="106">
        <v>173386884</v>
      </c>
      <c r="D734" s="106">
        <v>-197520</v>
      </c>
      <c r="E734" s="106">
        <v>0</v>
      </c>
      <c r="F734" s="106">
        <v>0</v>
      </c>
      <c r="G734" s="106">
        <v>0</v>
      </c>
      <c r="H734" s="106">
        <v>173189364</v>
      </c>
      <c r="I734" s="106">
        <v>-139389904</v>
      </c>
      <c r="J734" s="106">
        <v>33799460</v>
      </c>
      <c r="K734" s="106">
        <v>0</v>
      </c>
      <c r="L734" s="106">
        <v>0</v>
      </c>
      <c r="M734" s="106">
        <v>0</v>
      </c>
      <c r="N734" s="106">
        <v>33799460</v>
      </c>
    </row>
    <row r="735" spans="1:14" ht="31" outlineLevel="2" x14ac:dyDescent="0.35">
      <c r="A735" s="77" t="s">
        <v>549</v>
      </c>
      <c r="B735" s="108" t="s">
        <v>201</v>
      </c>
      <c r="C735" s="106">
        <v>178752220</v>
      </c>
      <c r="D735" s="106">
        <v>-179927</v>
      </c>
      <c r="E735" s="106">
        <v>0</v>
      </c>
      <c r="F735" s="106">
        <v>0</v>
      </c>
      <c r="G735" s="106">
        <v>0</v>
      </c>
      <c r="H735" s="106">
        <v>178572293</v>
      </c>
      <c r="I735" s="106">
        <v>-149988236</v>
      </c>
      <c r="J735" s="106">
        <v>28584057</v>
      </c>
      <c r="K735" s="106">
        <v>0</v>
      </c>
      <c r="L735" s="106">
        <v>0</v>
      </c>
      <c r="M735" s="106">
        <v>0</v>
      </c>
      <c r="N735" s="106">
        <v>28584057</v>
      </c>
    </row>
    <row r="736" spans="1:14" ht="31" outlineLevel="2" x14ac:dyDescent="0.35">
      <c r="A736" s="77" t="s">
        <v>549</v>
      </c>
      <c r="B736" s="108" t="s">
        <v>200</v>
      </c>
      <c r="C736" s="106">
        <v>99041190</v>
      </c>
      <c r="D736" s="106">
        <v>-56444</v>
      </c>
      <c r="E736" s="106">
        <v>0</v>
      </c>
      <c r="F736" s="106">
        <v>0</v>
      </c>
      <c r="G736" s="106">
        <v>0</v>
      </c>
      <c r="H736" s="106">
        <v>98984746</v>
      </c>
      <c r="I736" s="106">
        <v>-88044270</v>
      </c>
      <c r="J736" s="106">
        <v>10940476</v>
      </c>
      <c r="K736" s="106">
        <v>0</v>
      </c>
      <c r="L736" s="106">
        <v>0</v>
      </c>
      <c r="M736" s="106">
        <v>0</v>
      </c>
      <c r="N736" s="106">
        <v>10940476</v>
      </c>
    </row>
    <row r="737" spans="1:14" ht="16" outlineLevel="2" thickBot="1" x14ac:dyDescent="0.4">
      <c r="A737" s="105" t="s">
        <v>428</v>
      </c>
      <c r="B737" s="79" t="s">
        <v>12</v>
      </c>
      <c r="C737" s="103">
        <f>SUBTOTAL(109,Program297[(C)
Program
Costs])</f>
        <v>2038991495</v>
      </c>
      <c r="D737" s="103">
        <f>SUBTOTAL(109,Program297[(D)
Prior Period Adjustments])</f>
        <v>-25076385</v>
      </c>
      <c r="E737" s="103">
        <f>SUBTOTAL(109,Program297[(E)
Current Period Desk 
Reviews])</f>
        <v>0</v>
      </c>
      <c r="F737" s="103">
        <f>SUBTOTAL(109,Program297[(F)
Current Period 
Final 
Audits])</f>
        <v>0</v>
      </c>
      <c r="G737" s="103">
        <f>SUBTOTAL(109,Program297[(G)
Current Period 
Other Adjustments])</f>
        <v>0</v>
      </c>
      <c r="H737" s="103">
        <f>SUBTOTAL(109,Program297[(H)
Net Program Costs
Sum (C through G)])</f>
        <v>2013915110</v>
      </c>
      <c r="I737" s="103">
        <f>SUBTOTAL(109,Program297[(I)
Payments
 and Offsets])</f>
        <v>-1388390938</v>
      </c>
      <c r="J737" s="103">
        <f>SUBTOTAL(109,Program297[(J)
Accounts Payable Balance
(H + I)])</f>
        <v>625524172</v>
      </c>
      <c r="K737" s="103">
        <f>SUBTOTAL(109,Program297[(K)
Established 
Accounts Receivable])</f>
        <v>0</v>
      </c>
      <c r="L737" s="103">
        <f>SUBTOTAL(109,Program297[(L)
Recovered
 Accounts Receivable])</f>
        <v>0</v>
      </c>
      <c r="M737" s="103">
        <f>SUBTOTAL(109,Program297[(M)
Accounts Receivable Balance
(K + L)])</f>
        <v>0</v>
      </c>
      <c r="N737" s="103">
        <f>SUBTOTAL(109,Program297[(N)
Net Balance
(J minus M)])</f>
        <v>625524172</v>
      </c>
    </row>
    <row r="738" spans="1:14" outlineLevel="2" x14ac:dyDescent="0.35">
      <c r="A738" s="116" t="s">
        <v>33</v>
      </c>
      <c r="B738" s="115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</row>
    <row r="739" spans="1:14" ht="77.5" outlineLevel="2" x14ac:dyDescent="0.35">
      <c r="A739" s="113" t="s">
        <v>185</v>
      </c>
      <c r="B739" s="112" t="s">
        <v>184</v>
      </c>
      <c r="C739" s="111" t="s">
        <v>183</v>
      </c>
      <c r="D739" s="111" t="s">
        <v>182</v>
      </c>
      <c r="E739" s="111" t="s">
        <v>181</v>
      </c>
      <c r="F739" s="111" t="s">
        <v>180</v>
      </c>
      <c r="G739" s="111" t="s">
        <v>179</v>
      </c>
      <c r="H739" s="110" t="s">
        <v>674</v>
      </c>
      <c r="I739" s="110" t="s">
        <v>178</v>
      </c>
      <c r="J739" s="110" t="s">
        <v>177</v>
      </c>
      <c r="K739" s="111" t="s">
        <v>176</v>
      </c>
      <c r="L739" s="110" t="s">
        <v>175</v>
      </c>
      <c r="M739" s="110" t="s">
        <v>174</v>
      </c>
      <c r="N739" s="109" t="s">
        <v>173</v>
      </c>
    </row>
    <row r="740" spans="1:14" outlineLevel="2" x14ac:dyDescent="0.35">
      <c r="A740" s="108" t="s">
        <v>548</v>
      </c>
      <c r="B740" s="108" t="s">
        <v>203</v>
      </c>
      <c r="C740" s="106">
        <v>50253907</v>
      </c>
      <c r="D740" s="106">
        <v>-23228542</v>
      </c>
      <c r="E740" s="106">
        <v>0</v>
      </c>
      <c r="F740" s="106">
        <v>0</v>
      </c>
      <c r="G740" s="106">
        <v>0</v>
      </c>
      <c r="H740" s="106">
        <v>27025365</v>
      </c>
      <c r="I740" s="106">
        <v>-19200448</v>
      </c>
      <c r="J740" s="106">
        <v>7824917</v>
      </c>
      <c r="K740" s="106">
        <v>0</v>
      </c>
      <c r="L740" s="106">
        <v>0</v>
      </c>
      <c r="M740" s="106">
        <v>0</v>
      </c>
      <c r="N740" s="106">
        <v>7824917</v>
      </c>
    </row>
    <row r="741" spans="1:14" outlineLevel="2" x14ac:dyDescent="0.35">
      <c r="A741" s="108" t="s">
        <v>548</v>
      </c>
      <c r="B741" s="108" t="s">
        <v>202</v>
      </c>
      <c r="C741" s="106">
        <v>96250674</v>
      </c>
      <c r="D741" s="106">
        <v>-30953959</v>
      </c>
      <c r="E741" s="106">
        <v>0</v>
      </c>
      <c r="F741" s="106">
        <v>0</v>
      </c>
      <c r="G741" s="106">
        <v>0</v>
      </c>
      <c r="H741" s="106">
        <v>65296715</v>
      </c>
      <c r="I741" s="106">
        <v>-59462481</v>
      </c>
      <c r="J741" s="106">
        <v>5834234</v>
      </c>
      <c r="K741" s="106">
        <v>484254</v>
      </c>
      <c r="L741" s="106">
        <v>-19323</v>
      </c>
      <c r="M741" s="106">
        <v>464931</v>
      </c>
      <c r="N741" s="106">
        <v>5369303</v>
      </c>
    </row>
    <row r="742" spans="1:14" outlineLevel="2" x14ac:dyDescent="0.35">
      <c r="A742" s="108" t="s">
        <v>548</v>
      </c>
      <c r="B742" s="108" t="s">
        <v>201</v>
      </c>
      <c r="C742" s="106">
        <v>95468673</v>
      </c>
      <c r="D742" s="106">
        <v>-52266156</v>
      </c>
      <c r="E742" s="106">
        <v>0</v>
      </c>
      <c r="F742" s="106">
        <v>0</v>
      </c>
      <c r="G742" s="106">
        <v>0</v>
      </c>
      <c r="H742" s="106">
        <v>43202517</v>
      </c>
      <c r="I742" s="106">
        <v>-40579200</v>
      </c>
      <c r="J742" s="106">
        <v>2623317</v>
      </c>
      <c r="K742" s="106">
        <v>2628221</v>
      </c>
      <c r="L742" s="106">
        <v>-940748</v>
      </c>
      <c r="M742" s="106">
        <v>1687473</v>
      </c>
      <c r="N742" s="106">
        <v>935844</v>
      </c>
    </row>
    <row r="743" spans="1:14" outlineLevel="2" x14ac:dyDescent="0.35">
      <c r="A743" s="108" t="s">
        <v>548</v>
      </c>
      <c r="B743" s="108" t="s">
        <v>200</v>
      </c>
      <c r="C743" s="106">
        <v>82118891</v>
      </c>
      <c r="D743" s="106">
        <v>-50004816</v>
      </c>
      <c r="E743" s="106">
        <v>0</v>
      </c>
      <c r="F743" s="106">
        <v>0</v>
      </c>
      <c r="G743" s="106">
        <v>0</v>
      </c>
      <c r="H743" s="106">
        <v>32114075</v>
      </c>
      <c r="I743" s="106">
        <v>-29994233</v>
      </c>
      <c r="J743" s="106">
        <v>2119842</v>
      </c>
      <c r="K743" s="106">
        <v>1642371</v>
      </c>
      <c r="L743" s="106">
        <v>0</v>
      </c>
      <c r="M743" s="106">
        <v>1642371</v>
      </c>
      <c r="N743" s="106">
        <v>477471</v>
      </c>
    </row>
    <row r="744" spans="1:14" outlineLevel="2" x14ac:dyDescent="0.35">
      <c r="A744" s="108" t="s">
        <v>548</v>
      </c>
      <c r="B744" s="108" t="s">
        <v>199</v>
      </c>
      <c r="C744" s="106">
        <v>26982901</v>
      </c>
      <c r="D744" s="106">
        <v>-7228109</v>
      </c>
      <c r="E744" s="106">
        <v>0</v>
      </c>
      <c r="F744" s="106">
        <v>0</v>
      </c>
      <c r="G744" s="106">
        <v>0</v>
      </c>
      <c r="H744" s="106">
        <v>19754792</v>
      </c>
      <c r="I744" s="106">
        <v>-19754792</v>
      </c>
      <c r="J744" s="106">
        <v>0</v>
      </c>
      <c r="K744" s="106">
        <v>0</v>
      </c>
      <c r="L744" s="106">
        <v>0</v>
      </c>
      <c r="M744" s="106">
        <v>0</v>
      </c>
      <c r="N744" s="106">
        <v>0</v>
      </c>
    </row>
    <row r="745" spans="1:14" outlineLevel="2" x14ac:dyDescent="0.35">
      <c r="A745" s="108" t="s">
        <v>548</v>
      </c>
      <c r="B745" s="108" t="s">
        <v>198</v>
      </c>
      <c r="C745" s="106">
        <v>13842522</v>
      </c>
      <c r="D745" s="106">
        <v>-5969275</v>
      </c>
      <c r="E745" s="106">
        <v>0</v>
      </c>
      <c r="F745" s="106">
        <v>0</v>
      </c>
      <c r="G745" s="106">
        <v>0</v>
      </c>
      <c r="H745" s="106">
        <v>7873247</v>
      </c>
      <c r="I745" s="106">
        <v>-7873247</v>
      </c>
      <c r="J745" s="106">
        <v>0</v>
      </c>
      <c r="K745" s="106">
        <v>0</v>
      </c>
      <c r="L745" s="106">
        <v>0</v>
      </c>
      <c r="M745" s="106">
        <v>0</v>
      </c>
      <c r="N745" s="106">
        <v>0</v>
      </c>
    </row>
    <row r="746" spans="1:14" outlineLevel="2" x14ac:dyDescent="0.35">
      <c r="A746" s="108" t="s">
        <v>548</v>
      </c>
      <c r="B746" s="108" t="s">
        <v>197</v>
      </c>
      <c r="C746" s="106">
        <v>21329787</v>
      </c>
      <c r="D746" s="106">
        <v>-13370960</v>
      </c>
      <c r="E746" s="106">
        <v>0</v>
      </c>
      <c r="F746" s="106">
        <v>0</v>
      </c>
      <c r="G746" s="106">
        <v>0</v>
      </c>
      <c r="H746" s="106">
        <v>7958827</v>
      </c>
      <c r="I746" s="106">
        <v>-7958827</v>
      </c>
      <c r="J746" s="106">
        <v>0</v>
      </c>
      <c r="K746" s="106">
        <v>4858960</v>
      </c>
      <c r="L746" s="106">
        <v>-4632636</v>
      </c>
      <c r="M746" s="106">
        <v>226324</v>
      </c>
      <c r="N746" s="106">
        <v>-226324</v>
      </c>
    </row>
    <row r="747" spans="1:14" outlineLevel="2" x14ac:dyDescent="0.35">
      <c r="A747" s="108" t="s">
        <v>548</v>
      </c>
      <c r="B747" s="108" t="s">
        <v>196</v>
      </c>
      <c r="C747" s="106">
        <v>22970198</v>
      </c>
      <c r="D747" s="106">
        <v>-13961200</v>
      </c>
      <c r="E747" s="106">
        <v>0</v>
      </c>
      <c r="F747" s="106">
        <v>0</v>
      </c>
      <c r="G747" s="106">
        <v>0</v>
      </c>
      <c r="H747" s="106">
        <v>9008998</v>
      </c>
      <c r="I747" s="106">
        <v>-9008998</v>
      </c>
      <c r="J747" s="106">
        <v>0</v>
      </c>
      <c r="K747" s="106">
        <v>6745209</v>
      </c>
      <c r="L747" s="106">
        <v>-6707289</v>
      </c>
      <c r="M747" s="106">
        <v>37920</v>
      </c>
      <c r="N747" s="106">
        <v>-37920</v>
      </c>
    </row>
    <row r="748" spans="1:14" outlineLevel="2" x14ac:dyDescent="0.35">
      <c r="A748" s="108" t="s">
        <v>548</v>
      </c>
      <c r="B748" s="108" t="s">
        <v>195</v>
      </c>
      <c r="C748" s="106">
        <v>26934923</v>
      </c>
      <c r="D748" s="106">
        <v>-19477803</v>
      </c>
      <c r="E748" s="106">
        <v>0</v>
      </c>
      <c r="F748" s="106">
        <v>0</v>
      </c>
      <c r="G748" s="106">
        <v>0</v>
      </c>
      <c r="H748" s="106">
        <v>7457120</v>
      </c>
      <c r="I748" s="106">
        <v>-7457120</v>
      </c>
      <c r="J748" s="106">
        <v>0</v>
      </c>
      <c r="K748" s="106">
        <v>1014331</v>
      </c>
      <c r="L748" s="106">
        <v>-983829</v>
      </c>
      <c r="M748" s="106">
        <v>30502</v>
      </c>
      <c r="N748" s="106">
        <v>-30502</v>
      </c>
    </row>
    <row r="749" spans="1:14" outlineLevel="2" x14ac:dyDescent="0.35">
      <c r="A749" s="108" t="s">
        <v>548</v>
      </c>
      <c r="B749" s="108" t="s">
        <v>194</v>
      </c>
      <c r="C749" s="106">
        <v>21512033</v>
      </c>
      <c r="D749" s="106">
        <v>-13651972</v>
      </c>
      <c r="E749" s="106">
        <v>0</v>
      </c>
      <c r="F749" s="106">
        <v>0</v>
      </c>
      <c r="G749" s="106">
        <v>0</v>
      </c>
      <c r="H749" s="106">
        <v>7860061</v>
      </c>
      <c r="I749" s="106">
        <v>-7860061</v>
      </c>
      <c r="J749" s="106">
        <v>0</v>
      </c>
      <c r="K749" s="106">
        <v>1238151</v>
      </c>
      <c r="L749" s="106">
        <v>-1238151</v>
      </c>
      <c r="M749" s="106">
        <v>0</v>
      </c>
      <c r="N749" s="106">
        <v>0</v>
      </c>
    </row>
    <row r="750" spans="1:14" outlineLevel="1" x14ac:dyDescent="0.35">
      <c r="A750" s="108" t="s">
        <v>548</v>
      </c>
      <c r="B750" s="108" t="s">
        <v>193</v>
      </c>
      <c r="C750" s="106">
        <v>17164876</v>
      </c>
      <c r="D750" s="106">
        <v>-12644984</v>
      </c>
      <c r="E750" s="106">
        <v>0</v>
      </c>
      <c r="F750" s="106">
        <v>0</v>
      </c>
      <c r="G750" s="106">
        <v>0</v>
      </c>
      <c r="H750" s="106">
        <v>4519892</v>
      </c>
      <c r="I750" s="106">
        <v>-4519892</v>
      </c>
      <c r="J750" s="106">
        <v>0</v>
      </c>
      <c r="K750" s="106">
        <v>303144</v>
      </c>
      <c r="L750" s="106">
        <v>-303144</v>
      </c>
      <c r="M750" s="106">
        <v>0</v>
      </c>
      <c r="N750" s="106">
        <v>0</v>
      </c>
    </row>
    <row r="751" spans="1:14" ht="15.65" customHeight="1" outlineLevel="1" x14ac:dyDescent="0.35">
      <c r="A751" s="108" t="s">
        <v>548</v>
      </c>
      <c r="B751" s="108" t="s">
        <v>192</v>
      </c>
      <c r="C751" s="106">
        <v>63889170</v>
      </c>
      <c r="D751" s="106">
        <v>-61158303</v>
      </c>
      <c r="E751" s="106">
        <v>0</v>
      </c>
      <c r="F751" s="106">
        <v>0</v>
      </c>
      <c r="G751" s="106">
        <v>0</v>
      </c>
      <c r="H751" s="106">
        <v>2730867</v>
      </c>
      <c r="I751" s="106">
        <v>-2730867</v>
      </c>
      <c r="J751" s="106">
        <v>0</v>
      </c>
      <c r="K751" s="106">
        <v>0</v>
      </c>
      <c r="L751" s="106">
        <v>0</v>
      </c>
      <c r="M751" s="106">
        <v>0</v>
      </c>
      <c r="N751" s="106">
        <v>0</v>
      </c>
    </row>
    <row r="752" spans="1:14" ht="15" customHeight="1" outlineLevel="1" x14ac:dyDescent="0.35">
      <c r="A752" s="108" t="s">
        <v>548</v>
      </c>
      <c r="B752" s="108" t="s">
        <v>191</v>
      </c>
      <c r="C752" s="106">
        <v>49597125</v>
      </c>
      <c r="D752" s="106">
        <v>-46878513</v>
      </c>
      <c r="E752" s="106">
        <v>0</v>
      </c>
      <c r="F752" s="106">
        <v>0</v>
      </c>
      <c r="G752" s="106">
        <v>0</v>
      </c>
      <c r="H752" s="106">
        <v>2718612</v>
      </c>
      <c r="I752" s="106">
        <v>-2718612</v>
      </c>
      <c r="J752" s="106">
        <v>0</v>
      </c>
      <c r="K752" s="106">
        <v>1959981</v>
      </c>
      <c r="L752" s="106">
        <v>-1959981</v>
      </c>
      <c r="M752" s="106">
        <v>0</v>
      </c>
      <c r="N752" s="106">
        <v>0</v>
      </c>
    </row>
    <row r="753" spans="1:14" outlineLevel="2" x14ac:dyDescent="0.35">
      <c r="A753" s="108" t="s">
        <v>548</v>
      </c>
      <c r="B753" s="108" t="s">
        <v>190</v>
      </c>
      <c r="C753" s="106">
        <v>39906076</v>
      </c>
      <c r="D753" s="106">
        <v>-32874457</v>
      </c>
      <c r="E753" s="106">
        <v>0</v>
      </c>
      <c r="F753" s="106">
        <v>0</v>
      </c>
      <c r="G753" s="106">
        <v>0</v>
      </c>
      <c r="H753" s="106">
        <v>7031619</v>
      </c>
      <c r="I753" s="106">
        <v>-7031619</v>
      </c>
      <c r="J753" s="106">
        <v>0</v>
      </c>
      <c r="K753" s="106">
        <v>1624522</v>
      </c>
      <c r="L753" s="106">
        <v>-1624522</v>
      </c>
      <c r="M753" s="106">
        <v>0</v>
      </c>
      <c r="N753" s="106">
        <v>0</v>
      </c>
    </row>
    <row r="754" spans="1:14" outlineLevel="2" x14ac:dyDescent="0.35">
      <c r="A754" s="108" t="s">
        <v>548</v>
      </c>
      <c r="B754" s="108" t="s">
        <v>189</v>
      </c>
      <c r="C754" s="106">
        <v>7455368</v>
      </c>
      <c r="D754" s="106">
        <v>-4068324</v>
      </c>
      <c r="E754" s="106">
        <v>0</v>
      </c>
      <c r="F754" s="106">
        <v>0</v>
      </c>
      <c r="G754" s="106">
        <v>0</v>
      </c>
      <c r="H754" s="106">
        <v>3387044</v>
      </c>
      <c r="I754" s="106">
        <v>-3387044</v>
      </c>
      <c r="J754" s="106">
        <v>0</v>
      </c>
      <c r="K754" s="106">
        <v>1418175</v>
      </c>
      <c r="L754" s="106">
        <v>-1418175</v>
      </c>
      <c r="M754" s="106">
        <v>0</v>
      </c>
      <c r="N754" s="106">
        <v>0</v>
      </c>
    </row>
    <row r="755" spans="1:14" outlineLevel="2" x14ac:dyDescent="0.35">
      <c r="A755" s="108" t="s">
        <v>548</v>
      </c>
      <c r="B755" s="108" t="s">
        <v>188</v>
      </c>
      <c r="C755" s="106">
        <v>12126846</v>
      </c>
      <c r="D755" s="106">
        <v>-7062177</v>
      </c>
      <c r="E755" s="106">
        <v>0</v>
      </c>
      <c r="F755" s="106">
        <v>0</v>
      </c>
      <c r="G755" s="106">
        <v>0</v>
      </c>
      <c r="H755" s="106">
        <v>5064669</v>
      </c>
      <c r="I755" s="106">
        <v>-5064669</v>
      </c>
      <c r="J755" s="106">
        <v>0</v>
      </c>
      <c r="K755" s="106">
        <v>0</v>
      </c>
      <c r="L755" s="106">
        <v>0</v>
      </c>
      <c r="M755" s="106">
        <v>0</v>
      </c>
      <c r="N755" s="106">
        <v>0</v>
      </c>
    </row>
    <row r="756" spans="1:14" outlineLevel="2" x14ac:dyDescent="0.35">
      <c r="A756" s="108" t="s">
        <v>548</v>
      </c>
      <c r="B756" s="108" t="s">
        <v>186</v>
      </c>
      <c r="C756" s="106">
        <v>18914798</v>
      </c>
      <c r="D756" s="106">
        <v>-10457613</v>
      </c>
      <c r="E756" s="106">
        <v>0</v>
      </c>
      <c r="F756" s="106">
        <v>0</v>
      </c>
      <c r="G756" s="106">
        <v>0</v>
      </c>
      <c r="H756" s="106">
        <v>8457185</v>
      </c>
      <c r="I756" s="106">
        <v>-8457185</v>
      </c>
      <c r="J756" s="106">
        <v>0</v>
      </c>
      <c r="K756" s="106">
        <v>2461499</v>
      </c>
      <c r="L756" s="106">
        <v>-2461499</v>
      </c>
      <c r="M756" s="106">
        <v>0</v>
      </c>
      <c r="N756" s="106">
        <v>0</v>
      </c>
    </row>
    <row r="757" spans="1:14" outlineLevel="2" x14ac:dyDescent="0.35">
      <c r="A757" s="108" t="s">
        <v>548</v>
      </c>
      <c r="B757" s="108" t="s">
        <v>227</v>
      </c>
      <c r="C757" s="106">
        <v>13265258</v>
      </c>
      <c r="D757" s="106">
        <v>-7829364</v>
      </c>
      <c r="E757" s="106">
        <v>0</v>
      </c>
      <c r="F757" s="106">
        <v>0</v>
      </c>
      <c r="G757" s="106">
        <v>0</v>
      </c>
      <c r="H757" s="106">
        <v>5435894</v>
      </c>
      <c r="I757" s="106">
        <v>-5435894</v>
      </c>
      <c r="J757" s="106">
        <v>0</v>
      </c>
      <c r="K757" s="106">
        <v>2940929</v>
      </c>
      <c r="L757" s="106">
        <v>-2591660</v>
      </c>
      <c r="M757" s="106">
        <v>349269</v>
      </c>
      <c r="N757" s="106">
        <v>-349269</v>
      </c>
    </row>
    <row r="758" spans="1:14" outlineLevel="2" x14ac:dyDescent="0.35">
      <c r="A758" s="108" t="s">
        <v>548</v>
      </c>
      <c r="B758" s="108" t="s">
        <v>226</v>
      </c>
      <c r="C758" s="106">
        <v>13748016</v>
      </c>
      <c r="D758" s="106">
        <v>-5487846</v>
      </c>
      <c r="E758" s="106">
        <v>0</v>
      </c>
      <c r="F758" s="106">
        <v>0</v>
      </c>
      <c r="G758" s="106">
        <v>0</v>
      </c>
      <c r="H758" s="106">
        <v>8260170</v>
      </c>
      <c r="I758" s="106">
        <v>-8260170</v>
      </c>
      <c r="J758" s="106">
        <v>0</v>
      </c>
      <c r="K758" s="106">
        <v>611477</v>
      </c>
      <c r="L758" s="106">
        <v>-571387</v>
      </c>
      <c r="M758" s="106">
        <v>40090</v>
      </c>
      <c r="N758" s="106">
        <v>-40090</v>
      </c>
    </row>
    <row r="759" spans="1:14" outlineLevel="2" x14ac:dyDescent="0.35">
      <c r="A759" s="108" t="s">
        <v>548</v>
      </c>
      <c r="B759" s="108" t="s">
        <v>225</v>
      </c>
      <c r="C759" s="106">
        <v>12124727</v>
      </c>
      <c r="D759" s="106">
        <v>-5244506</v>
      </c>
      <c r="E759" s="106">
        <v>0</v>
      </c>
      <c r="F759" s="106">
        <v>0</v>
      </c>
      <c r="G759" s="106">
        <v>0</v>
      </c>
      <c r="H759" s="106">
        <v>6880221</v>
      </c>
      <c r="I759" s="106">
        <v>-6880221</v>
      </c>
      <c r="J759" s="106">
        <v>0</v>
      </c>
      <c r="K759" s="106">
        <v>829881</v>
      </c>
      <c r="L759" s="106">
        <v>-829881</v>
      </c>
      <c r="M759" s="106">
        <v>0</v>
      </c>
      <c r="N759" s="106">
        <v>0</v>
      </c>
    </row>
    <row r="760" spans="1:14" outlineLevel="2" x14ac:dyDescent="0.35">
      <c r="A760" s="108" t="s">
        <v>548</v>
      </c>
      <c r="B760" s="108" t="s">
        <v>223</v>
      </c>
      <c r="C760" s="106">
        <v>12759090</v>
      </c>
      <c r="D760" s="106">
        <v>-5314365</v>
      </c>
      <c r="E760" s="106">
        <v>0</v>
      </c>
      <c r="F760" s="106">
        <v>0</v>
      </c>
      <c r="G760" s="106">
        <v>0</v>
      </c>
      <c r="H760" s="106">
        <v>7444725</v>
      </c>
      <c r="I760" s="106">
        <v>-7444725</v>
      </c>
      <c r="J760" s="106">
        <v>0</v>
      </c>
      <c r="K760" s="106">
        <v>643835</v>
      </c>
      <c r="L760" s="106">
        <v>-643835</v>
      </c>
      <c r="M760" s="106">
        <v>0</v>
      </c>
      <c r="N760" s="106">
        <v>0</v>
      </c>
    </row>
    <row r="761" spans="1:14" outlineLevel="2" x14ac:dyDescent="0.35">
      <c r="A761" s="108" t="s">
        <v>548</v>
      </c>
      <c r="B761" s="108" t="s">
        <v>257</v>
      </c>
      <c r="C761" s="106">
        <v>12828098</v>
      </c>
      <c r="D761" s="106">
        <v>-3827015</v>
      </c>
      <c r="E761" s="106">
        <v>0</v>
      </c>
      <c r="F761" s="106">
        <v>0</v>
      </c>
      <c r="G761" s="106">
        <v>0</v>
      </c>
      <c r="H761" s="106">
        <v>9001083</v>
      </c>
      <c r="I761" s="106">
        <v>-9001083</v>
      </c>
      <c r="J761" s="106">
        <v>0</v>
      </c>
      <c r="K761" s="106">
        <v>608165</v>
      </c>
      <c r="L761" s="106">
        <v>-608165</v>
      </c>
      <c r="M761" s="106">
        <v>0</v>
      </c>
      <c r="N761" s="106">
        <v>0</v>
      </c>
    </row>
    <row r="762" spans="1:14" outlineLevel="2" x14ac:dyDescent="0.35">
      <c r="A762" s="108" t="s">
        <v>548</v>
      </c>
      <c r="B762" s="108" t="s">
        <v>255</v>
      </c>
      <c r="C762" s="106">
        <v>10175965</v>
      </c>
      <c r="D762" s="106">
        <v>-3542837</v>
      </c>
      <c r="E762" s="106">
        <v>0</v>
      </c>
      <c r="F762" s="106">
        <v>0</v>
      </c>
      <c r="G762" s="106">
        <v>0</v>
      </c>
      <c r="H762" s="106">
        <v>6633128</v>
      </c>
      <c r="I762" s="106">
        <v>-6633128</v>
      </c>
      <c r="J762" s="106">
        <v>0</v>
      </c>
      <c r="K762" s="106">
        <v>527043</v>
      </c>
      <c r="L762" s="106">
        <v>-527043</v>
      </c>
      <c r="M762" s="106">
        <v>0</v>
      </c>
      <c r="N762" s="106">
        <v>0</v>
      </c>
    </row>
    <row r="763" spans="1:14" outlineLevel="2" x14ac:dyDescent="0.35">
      <c r="A763" s="108" t="s">
        <v>548</v>
      </c>
      <c r="B763" s="108" t="s">
        <v>275</v>
      </c>
      <c r="C763" s="106">
        <v>5104226</v>
      </c>
      <c r="D763" s="106">
        <v>-1351215</v>
      </c>
      <c r="E763" s="106">
        <v>0</v>
      </c>
      <c r="F763" s="106">
        <v>0</v>
      </c>
      <c r="G763" s="106">
        <v>0</v>
      </c>
      <c r="H763" s="106">
        <v>3753011</v>
      </c>
      <c r="I763" s="106">
        <v>-3753011</v>
      </c>
      <c r="J763" s="106">
        <v>0</v>
      </c>
      <c r="K763" s="106">
        <v>841827</v>
      </c>
      <c r="L763" s="106">
        <v>-841827</v>
      </c>
      <c r="M763" s="106">
        <v>0</v>
      </c>
      <c r="N763" s="106">
        <v>0</v>
      </c>
    </row>
    <row r="764" spans="1:14" ht="16" outlineLevel="2" thickBot="1" x14ac:dyDescent="0.4">
      <c r="A764" s="105" t="s">
        <v>427</v>
      </c>
      <c r="B764" s="79" t="s">
        <v>12</v>
      </c>
      <c r="C764" s="103">
        <f>SUBTOTAL(109,Program26[(C)
Program
Costs])</f>
        <v>746724148</v>
      </c>
      <c r="D764" s="103">
        <f>SUBTOTAL(109,Program26[(D)
Prior Period Adjustments])</f>
        <v>-437854311</v>
      </c>
      <c r="E764" s="103">
        <f>SUBTOTAL(109,Program26[(E)
Current Period Desk 
Reviews])</f>
        <v>0</v>
      </c>
      <c r="F764" s="103">
        <f>SUBTOTAL(109,Program26[(F)
Current Period 
Final 
Audits])</f>
        <v>0</v>
      </c>
      <c r="G764" s="103">
        <f>SUBTOTAL(109,Program26[(G)
Current Period 
Other Adjustments])</f>
        <v>0</v>
      </c>
      <c r="H764" s="103">
        <f>SUBTOTAL(109,Program26[(H)
Net Program Costs
Sum (C through G)])</f>
        <v>308869837</v>
      </c>
      <c r="I764" s="103">
        <f>SUBTOTAL(109,Program26[(I)
Payments
 and Offsets])</f>
        <v>-290467527</v>
      </c>
      <c r="J764" s="103">
        <f>SUBTOTAL(109,Program26[(J)
Accounts Payable Balance
(H + I)])</f>
        <v>18402310</v>
      </c>
      <c r="K764" s="103">
        <f>SUBTOTAL(109,Program26[(K)
Established 
Accounts Receivable])</f>
        <v>33381975</v>
      </c>
      <c r="L764" s="103">
        <f>SUBTOTAL(109,Program26[(L)
Recovered
 Accounts Receivable])</f>
        <v>-28903095</v>
      </c>
      <c r="M764" s="103">
        <f>SUBTOTAL(109,Program26[(M)
Accounts Receivable Balance
(K + L)])</f>
        <v>4478880</v>
      </c>
      <c r="N764" s="103">
        <f>SUBTOTAL(109,Program26[(N)
Net Balance
(J minus M)])</f>
        <v>13923430</v>
      </c>
    </row>
    <row r="765" spans="1:14" outlineLevel="2" x14ac:dyDescent="0.35">
      <c r="A765" s="116" t="s">
        <v>33</v>
      </c>
      <c r="B765" s="115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</row>
    <row r="766" spans="1:14" ht="77.5" outlineLevel="2" x14ac:dyDescent="0.35">
      <c r="A766" s="113" t="s">
        <v>185</v>
      </c>
      <c r="B766" s="112" t="s">
        <v>184</v>
      </c>
      <c r="C766" s="111" t="s">
        <v>183</v>
      </c>
      <c r="D766" s="111" t="s">
        <v>182</v>
      </c>
      <c r="E766" s="111" t="s">
        <v>181</v>
      </c>
      <c r="F766" s="111" t="s">
        <v>180</v>
      </c>
      <c r="G766" s="111" t="s">
        <v>179</v>
      </c>
      <c r="H766" s="110" t="s">
        <v>674</v>
      </c>
      <c r="I766" s="110" t="s">
        <v>178</v>
      </c>
      <c r="J766" s="110" t="s">
        <v>177</v>
      </c>
      <c r="K766" s="111" t="s">
        <v>176</v>
      </c>
      <c r="L766" s="110" t="s">
        <v>175</v>
      </c>
      <c r="M766" s="110" t="s">
        <v>174</v>
      </c>
      <c r="N766" s="109" t="s">
        <v>173</v>
      </c>
    </row>
    <row r="767" spans="1:14" outlineLevel="2" x14ac:dyDescent="0.35">
      <c r="A767" s="108" t="s">
        <v>547</v>
      </c>
      <c r="B767" s="108" t="s">
        <v>199</v>
      </c>
      <c r="C767" s="106">
        <v>32040</v>
      </c>
      <c r="D767" s="106">
        <v>-881</v>
      </c>
      <c r="E767" s="106">
        <v>0</v>
      </c>
      <c r="F767" s="106">
        <v>0</v>
      </c>
      <c r="G767" s="106">
        <v>0</v>
      </c>
      <c r="H767" s="106">
        <v>31159</v>
      </c>
      <c r="I767" s="106">
        <v>-31159</v>
      </c>
      <c r="J767" s="106">
        <v>0</v>
      </c>
      <c r="K767" s="106">
        <v>0</v>
      </c>
      <c r="L767" s="106">
        <v>0</v>
      </c>
      <c r="M767" s="106">
        <v>0</v>
      </c>
      <c r="N767" s="106">
        <v>0</v>
      </c>
    </row>
    <row r="768" spans="1:14" outlineLevel="2" x14ac:dyDescent="0.35">
      <c r="A768" s="108" t="s">
        <v>547</v>
      </c>
      <c r="B768" s="108" t="s">
        <v>198</v>
      </c>
      <c r="C768" s="106">
        <v>80081</v>
      </c>
      <c r="D768" s="106">
        <v>-6310</v>
      </c>
      <c r="E768" s="106">
        <v>0</v>
      </c>
      <c r="F768" s="106">
        <v>0</v>
      </c>
      <c r="G768" s="106">
        <v>0</v>
      </c>
      <c r="H768" s="106">
        <v>73771</v>
      </c>
      <c r="I768" s="106">
        <v>-73771</v>
      </c>
      <c r="J768" s="106">
        <v>0</v>
      </c>
      <c r="K768" s="106">
        <v>0</v>
      </c>
      <c r="L768" s="106">
        <v>0</v>
      </c>
      <c r="M768" s="106">
        <v>0</v>
      </c>
      <c r="N768" s="106">
        <v>0</v>
      </c>
    </row>
    <row r="769" spans="1:14" outlineLevel="1" x14ac:dyDescent="0.35">
      <c r="A769" s="108" t="s">
        <v>547</v>
      </c>
      <c r="B769" s="108" t="s">
        <v>197</v>
      </c>
      <c r="C769" s="106">
        <v>22978</v>
      </c>
      <c r="D769" s="106">
        <v>-265</v>
      </c>
      <c r="E769" s="106">
        <v>0</v>
      </c>
      <c r="F769" s="106">
        <v>0</v>
      </c>
      <c r="G769" s="106">
        <v>0</v>
      </c>
      <c r="H769" s="106">
        <v>22713</v>
      </c>
      <c r="I769" s="106">
        <v>-22713</v>
      </c>
      <c r="J769" s="106">
        <v>0</v>
      </c>
      <c r="K769" s="106">
        <v>0</v>
      </c>
      <c r="L769" s="106">
        <v>0</v>
      </c>
      <c r="M769" s="106">
        <v>0</v>
      </c>
      <c r="N769" s="106">
        <v>0</v>
      </c>
    </row>
    <row r="770" spans="1:14" ht="15.65" customHeight="1" outlineLevel="1" x14ac:dyDescent="0.35">
      <c r="A770" s="108" t="s">
        <v>547</v>
      </c>
      <c r="B770" s="108" t="s">
        <v>196</v>
      </c>
      <c r="C770" s="106">
        <v>5759</v>
      </c>
      <c r="D770" s="106">
        <v>0</v>
      </c>
      <c r="E770" s="106">
        <v>0</v>
      </c>
      <c r="F770" s="106">
        <v>0</v>
      </c>
      <c r="G770" s="106">
        <v>0</v>
      </c>
      <c r="H770" s="106">
        <v>5759</v>
      </c>
      <c r="I770" s="106">
        <v>-5759</v>
      </c>
      <c r="J770" s="106">
        <v>0</v>
      </c>
      <c r="K770" s="106">
        <v>0</v>
      </c>
      <c r="L770" s="106">
        <v>0</v>
      </c>
      <c r="M770" s="106">
        <v>0</v>
      </c>
      <c r="N770" s="106">
        <v>0</v>
      </c>
    </row>
    <row r="771" spans="1:14" ht="15" customHeight="1" outlineLevel="1" x14ac:dyDescent="0.35">
      <c r="A771" s="108" t="s">
        <v>547</v>
      </c>
      <c r="B771" s="108" t="s">
        <v>195</v>
      </c>
      <c r="C771" s="106">
        <v>2764</v>
      </c>
      <c r="D771" s="106">
        <v>0</v>
      </c>
      <c r="E771" s="106">
        <v>0</v>
      </c>
      <c r="F771" s="106">
        <v>0</v>
      </c>
      <c r="G771" s="106">
        <v>0</v>
      </c>
      <c r="H771" s="106">
        <v>2764</v>
      </c>
      <c r="I771" s="106">
        <v>-2764</v>
      </c>
      <c r="J771" s="106">
        <v>0</v>
      </c>
      <c r="K771" s="106">
        <v>0</v>
      </c>
      <c r="L771" s="106">
        <v>0</v>
      </c>
      <c r="M771" s="106">
        <v>0</v>
      </c>
      <c r="N771" s="106">
        <v>0</v>
      </c>
    </row>
    <row r="772" spans="1:14" outlineLevel="2" x14ac:dyDescent="0.35">
      <c r="A772" s="108" t="s">
        <v>547</v>
      </c>
      <c r="B772" s="108" t="s">
        <v>194</v>
      </c>
      <c r="C772" s="106">
        <v>6697</v>
      </c>
      <c r="D772" s="106">
        <v>0</v>
      </c>
      <c r="E772" s="106">
        <v>0</v>
      </c>
      <c r="F772" s="106">
        <v>0</v>
      </c>
      <c r="G772" s="106">
        <v>0</v>
      </c>
      <c r="H772" s="106">
        <v>6697</v>
      </c>
      <c r="I772" s="106">
        <v>-6697</v>
      </c>
      <c r="J772" s="106">
        <v>0</v>
      </c>
      <c r="K772" s="106">
        <v>0</v>
      </c>
      <c r="L772" s="106">
        <v>0</v>
      </c>
      <c r="M772" s="106">
        <v>0</v>
      </c>
      <c r="N772" s="106">
        <v>0</v>
      </c>
    </row>
    <row r="773" spans="1:14" outlineLevel="2" x14ac:dyDescent="0.35">
      <c r="A773" s="108" t="s">
        <v>547</v>
      </c>
      <c r="B773" s="108" t="s">
        <v>193</v>
      </c>
      <c r="C773" s="106">
        <v>12832</v>
      </c>
      <c r="D773" s="106">
        <v>0</v>
      </c>
      <c r="E773" s="106">
        <v>0</v>
      </c>
      <c r="F773" s="106">
        <v>0</v>
      </c>
      <c r="G773" s="106">
        <v>0</v>
      </c>
      <c r="H773" s="106">
        <v>12832</v>
      </c>
      <c r="I773" s="106">
        <v>-12832</v>
      </c>
      <c r="J773" s="106">
        <v>0</v>
      </c>
      <c r="K773" s="106">
        <v>0</v>
      </c>
      <c r="L773" s="106">
        <v>0</v>
      </c>
      <c r="M773" s="106">
        <v>0</v>
      </c>
      <c r="N773" s="106">
        <v>0</v>
      </c>
    </row>
    <row r="774" spans="1:14" ht="16" outlineLevel="2" thickBot="1" x14ac:dyDescent="0.4">
      <c r="A774" s="105" t="s">
        <v>426</v>
      </c>
      <c r="B774" s="79" t="s">
        <v>12</v>
      </c>
      <c r="C774" s="103">
        <f>SUBTOTAL(109,Program226[(C)
Program
Costs])</f>
        <v>163151</v>
      </c>
      <c r="D774" s="103">
        <f>SUBTOTAL(109,Program226[(D)
Prior Period Adjustments])</f>
        <v>-7456</v>
      </c>
      <c r="E774" s="103">
        <f>SUBTOTAL(109,Program226[(E)
Current Period Desk 
Reviews])</f>
        <v>0</v>
      </c>
      <c r="F774" s="103">
        <f>SUBTOTAL(109,Program226[(F)
Current Period 
Final 
Audits])</f>
        <v>0</v>
      </c>
      <c r="G774" s="103">
        <f>SUBTOTAL(109,Program226[(G)
Current Period 
Other Adjustments])</f>
        <v>0</v>
      </c>
      <c r="H774" s="103">
        <f>SUBTOTAL(109,Program226[(H)
Net Program Costs
Sum (C through G)])</f>
        <v>155695</v>
      </c>
      <c r="I774" s="103">
        <f>SUBTOTAL(109,Program226[(I)
Payments
 and Offsets])</f>
        <v>-155695</v>
      </c>
      <c r="J774" s="103">
        <f>SUBTOTAL(109,Program226[(J)
Accounts Payable Balance
(H + I)])</f>
        <v>0</v>
      </c>
      <c r="K774" s="103">
        <f>SUBTOTAL(109,Program226[(K)
Established 
Accounts Receivable])</f>
        <v>0</v>
      </c>
      <c r="L774" s="103">
        <f>SUBTOTAL(109,Program226[(L)
Recovered
 Accounts Receivable])</f>
        <v>0</v>
      </c>
      <c r="M774" s="103">
        <f>SUBTOTAL(109,Program226[(M)
Accounts Receivable Balance
(K + L)])</f>
        <v>0</v>
      </c>
      <c r="N774" s="103">
        <f>SUBTOTAL(109,Program226[(N)
Net Balance
(J minus M)])</f>
        <v>0</v>
      </c>
    </row>
    <row r="775" spans="1:14" outlineLevel="2" x14ac:dyDescent="0.35">
      <c r="A775" s="116" t="s">
        <v>33</v>
      </c>
      <c r="B775" s="115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</row>
    <row r="776" spans="1:14" ht="77.5" outlineLevel="2" x14ac:dyDescent="0.35">
      <c r="A776" s="113" t="s">
        <v>185</v>
      </c>
      <c r="B776" s="112" t="s">
        <v>184</v>
      </c>
      <c r="C776" s="111" t="s">
        <v>183</v>
      </c>
      <c r="D776" s="111" t="s">
        <v>182</v>
      </c>
      <c r="E776" s="111" t="s">
        <v>181</v>
      </c>
      <c r="F776" s="111" t="s">
        <v>180</v>
      </c>
      <c r="G776" s="111" t="s">
        <v>179</v>
      </c>
      <c r="H776" s="110" t="s">
        <v>674</v>
      </c>
      <c r="I776" s="110" t="s">
        <v>178</v>
      </c>
      <c r="J776" s="110" t="s">
        <v>177</v>
      </c>
      <c r="K776" s="111" t="s">
        <v>176</v>
      </c>
      <c r="L776" s="110" t="s">
        <v>175</v>
      </c>
      <c r="M776" s="110" t="s">
        <v>174</v>
      </c>
      <c r="N776" s="109" t="s">
        <v>173</v>
      </c>
    </row>
    <row r="777" spans="1:14" outlineLevel="2" x14ac:dyDescent="0.35">
      <c r="A777" s="108" t="s">
        <v>546</v>
      </c>
      <c r="B777" s="108" t="s">
        <v>215</v>
      </c>
      <c r="C777" s="106">
        <v>44363</v>
      </c>
      <c r="D777" s="106">
        <v>0</v>
      </c>
      <c r="E777" s="106">
        <v>0</v>
      </c>
      <c r="F777" s="106">
        <v>0</v>
      </c>
      <c r="G777" s="106">
        <v>0</v>
      </c>
      <c r="H777" s="106">
        <v>44363</v>
      </c>
      <c r="I777" s="106">
        <v>0</v>
      </c>
      <c r="J777" s="106">
        <v>44363</v>
      </c>
      <c r="K777" s="106">
        <v>0</v>
      </c>
      <c r="L777" s="106">
        <v>0</v>
      </c>
      <c r="M777" s="106">
        <v>0</v>
      </c>
      <c r="N777" s="106">
        <v>44363</v>
      </c>
    </row>
    <row r="778" spans="1:14" outlineLevel="2" x14ac:dyDescent="0.35">
      <c r="A778" s="108" t="s">
        <v>546</v>
      </c>
      <c r="B778" s="108" t="s">
        <v>214</v>
      </c>
      <c r="C778" s="106">
        <v>138292</v>
      </c>
      <c r="D778" s="106">
        <v>0</v>
      </c>
      <c r="E778" s="106">
        <v>0</v>
      </c>
      <c r="F778" s="106">
        <v>0</v>
      </c>
      <c r="G778" s="106">
        <v>0</v>
      </c>
      <c r="H778" s="106">
        <v>138292</v>
      </c>
      <c r="I778" s="106">
        <v>-1000</v>
      </c>
      <c r="J778" s="106">
        <v>137292</v>
      </c>
      <c r="K778" s="106">
        <v>0</v>
      </c>
      <c r="L778" s="106">
        <v>0</v>
      </c>
      <c r="M778" s="106">
        <v>0</v>
      </c>
      <c r="N778" s="106">
        <v>137292</v>
      </c>
    </row>
    <row r="779" spans="1:14" outlineLevel="2" x14ac:dyDescent="0.35">
      <c r="A779" s="108" t="s">
        <v>546</v>
      </c>
      <c r="B779" s="108" t="s">
        <v>212</v>
      </c>
      <c r="C779" s="106">
        <v>141419</v>
      </c>
      <c r="D779" s="106">
        <v>-4952</v>
      </c>
      <c r="E779" s="106">
        <v>0</v>
      </c>
      <c r="F779" s="106">
        <v>0</v>
      </c>
      <c r="G779" s="106">
        <v>0</v>
      </c>
      <c r="H779" s="106">
        <v>136467</v>
      </c>
      <c r="I779" s="106">
        <v>-26708</v>
      </c>
      <c r="J779" s="106">
        <v>109759</v>
      </c>
      <c r="K779" s="106">
        <v>0</v>
      </c>
      <c r="L779" s="106">
        <v>0</v>
      </c>
      <c r="M779" s="106">
        <v>0</v>
      </c>
      <c r="N779" s="106">
        <v>109759</v>
      </c>
    </row>
    <row r="780" spans="1:14" outlineLevel="2" x14ac:dyDescent="0.35">
      <c r="A780" s="108" t="s">
        <v>546</v>
      </c>
      <c r="B780" s="108" t="s">
        <v>220</v>
      </c>
      <c r="C780" s="106">
        <v>174875</v>
      </c>
      <c r="D780" s="106">
        <v>-760</v>
      </c>
      <c r="E780" s="106">
        <v>0</v>
      </c>
      <c r="F780" s="106">
        <v>0</v>
      </c>
      <c r="G780" s="106">
        <v>0</v>
      </c>
      <c r="H780" s="106">
        <v>174115</v>
      </c>
      <c r="I780" s="106">
        <v>-26866</v>
      </c>
      <c r="J780" s="106">
        <v>147249</v>
      </c>
      <c r="K780" s="106">
        <v>0</v>
      </c>
      <c r="L780" s="106">
        <v>0</v>
      </c>
      <c r="M780" s="106">
        <v>0</v>
      </c>
      <c r="N780" s="106">
        <v>147249</v>
      </c>
    </row>
    <row r="781" spans="1:14" outlineLevel="2" x14ac:dyDescent="0.35">
      <c r="A781" s="108" t="s">
        <v>546</v>
      </c>
      <c r="B781" s="108" t="s">
        <v>219</v>
      </c>
      <c r="C781" s="106">
        <v>1058395</v>
      </c>
      <c r="D781" s="106">
        <v>0</v>
      </c>
      <c r="E781" s="106">
        <v>0</v>
      </c>
      <c r="F781" s="106">
        <v>0</v>
      </c>
      <c r="G781" s="106">
        <v>0</v>
      </c>
      <c r="H781" s="106">
        <v>1058395</v>
      </c>
      <c r="I781" s="106">
        <v>-447482</v>
      </c>
      <c r="J781" s="106">
        <v>610913</v>
      </c>
      <c r="K781" s="106">
        <v>0</v>
      </c>
      <c r="L781" s="106">
        <v>0</v>
      </c>
      <c r="M781" s="106">
        <v>0</v>
      </c>
      <c r="N781" s="106">
        <v>610913</v>
      </c>
    </row>
    <row r="782" spans="1:14" outlineLevel="2" x14ac:dyDescent="0.35">
      <c r="A782" s="108" t="s">
        <v>546</v>
      </c>
      <c r="B782" s="108" t="s">
        <v>218</v>
      </c>
      <c r="C782" s="106">
        <v>666995</v>
      </c>
      <c r="D782" s="106">
        <v>-1778</v>
      </c>
      <c r="E782" s="106">
        <v>0</v>
      </c>
      <c r="F782" s="106">
        <v>0</v>
      </c>
      <c r="G782" s="106">
        <v>0</v>
      </c>
      <c r="H782" s="106">
        <v>665217</v>
      </c>
      <c r="I782" s="106">
        <v>-215541</v>
      </c>
      <c r="J782" s="106">
        <v>449676</v>
      </c>
      <c r="K782" s="106">
        <v>0</v>
      </c>
      <c r="L782" s="106">
        <v>0</v>
      </c>
      <c r="M782" s="106">
        <v>0</v>
      </c>
      <c r="N782" s="106">
        <v>449676</v>
      </c>
    </row>
    <row r="783" spans="1:14" outlineLevel="2" x14ac:dyDescent="0.35">
      <c r="A783" s="108" t="s">
        <v>546</v>
      </c>
      <c r="B783" s="108" t="s">
        <v>209</v>
      </c>
      <c r="C783" s="106">
        <v>3066303</v>
      </c>
      <c r="D783" s="106">
        <v>-1586607</v>
      </c>
      <c r="E783" s="106">
        <v>0</v>
      </c>
      <c r="F783" s="106">
        <v>0</v>
      </c>
      <c r="G783" s="106">
        <v>0</v>
      </c>
      <c r="H783" s="106">
        <v>1479696</v>
      </c>
      <c r="I783" s="106">
        <v>-867256</v>
      </c>
      <c r="J783" s="106">
        <v>612440</v>
      </c>
      <c r="K783" s="106">
        <v>0</v>
      </c>
      <c r="L783" s="106">
        <v>0</v>
      </c>
      <c r="M783" s="106">
        <v>0</v>
      </c>
      <c r="N783" s="106">
        <v>612440</v>
      </c>
    </row>
    <row r="784" spans="1:14" outlineLevel="2" x14ac:dyDescent="0.35">
      <c r="A784" s="108" t="s">
        <v>546</v>
      </c>
      <c r="B784" s="108" t="s">
        <v>208</v>
      </c>
      <c r="C784" s="106">
        <v>7330874</v>
      </c>
      <c r="D784" s="106">
        <v>-705787</v>
      </c>
      <c r="E784" s="106">
        <v>0</v>
      </c>
      <c r="F784" s="106">
        <v>0</v>
      </c>
      <c r="G784" s="106">
        <v>0</v>
      </c>
      <c r="H784" s="106">
        <v>6625087</v>
      </c>
      <c r="I784" s="106">
        <v>-4973496</v>
      </c>
      <c r="J784" s="106">
        <v>1651591</v>
      </c>
      <c r="K784" s="106">
        <v>0</v>
      </c>
      <c r="L784" s="106">
        <v>0</v>
      </c>
      <c r="M784" s="106">
        <v>0</v>
      </c>
      <c r="N784" s="106">
        <v>1651591</v>
      </c>
    </row>
    <row r="785" spans="1:14" outlineLevel="2" x14ac:dyDescent="0.35">
      <c r="A785" s="108" t="s">
        <v>546</v>
      </c>
      <c r="B785" s="108" t="s">
        <v>206</v>
      </c>
      <c r="C785" s="106">
        <v>7583813</v>
      </c>
      <c r="D785" s="106">
        <v>-142321</v>
      </c>
      <c r="E785" s="106">
        <v>0</v>
      </c>
      <c r="F785" s="106">
        <v>0</v>
      </c>
      <c r="G785" s="106">
        <v>0</v>
      </c>
      <c r="H785" s="106">
        <v>7441492</v>
      </c>
      <c r="I785" s="106">
        <v>-5709338</v>
      </c>
      <c r="J785" s="106">
        <v>1732154</v>
      </c>
      <c r="K785" s="106">
        <v>0</v>
      </c>
      <c r="L785" s="106">
        <v>0</v>
      </c>
      <c r="M785" s="106">
        <v>0</v>
      </c>
      <c r="N785" s="106">
        <v>1732154</v>
      </c>
    </row>
    <row r="786" spans="1:14" outlineLevel="2" x14ac:dyDescent="0.35">
      <c r="A786" s="108" t="s">
        <v>546</v>
      </c>
      <c r="B786" s="108" t="s">
        <v>205</v>
      </c>
      <c r="C786" s="106">
        <v>8162423</v>
      </c>
      <c r="D786" s="106">
        <v>-28964</v>
      </c>
      <c r="E786" s="106">
        <v>0</v>
      </c>
      <c r="F786" s="106">
        <v>0</v>
      </c>
      <c r="G786" s="106">
        <v>0</v>
      </c>
      <c r="H786" s="106">
        <v>8133459</v>
      </c>
      <c r="I786" s="106">
        <v>-7007725</v>
      </c>
      <c r="J786" s="106">
        <v>1125734</v>
      </c>
      <c r="K786" s="106">
        <v>0</v>
      </c>
      <c r="L786" s="106">
        <v>0</v>
      </c>
      <c r="M786" s="106">
        <v>0</v>
      </c>
      <c r="N786" s="106">
        <v>1125734</v>
      </c>
    </row>
    <row r="787" spans="1:14" outlineLevel="2" x14ac:dyDescent="0.35">
      <c r="A787" s="108" t="s">
        <v>546</v>
      </c>
      <c r="B787" s="108" t="s">
        <v>204</v>
      </c>
      <c r="C787" s="106">
        <v>8670360</v>
      </c>
      <c r="D787" s="106">
        <v>-15634</v>
      </c>
      <c r="E787" s="106">
        <v>0</v>
      </c>
      <c r="F787" s="106">
        <v>0</v>
      </c>
      <c r="G787" s="106">
        <v>0</v>
      </c>
      <c r="H787" s="106">
        <v>8654726</v>
      </c>
      <c r="I787" s="106">
        <v>-7222351</v>
      </c>
      <c r="J787" s="106">
        <v>1432375</v>
      </c>
      <c r="K787" s="106">
        <v>1233</v>
      </c>
      <c r="L787" s="106">
        <v>0</v>
      </c>
      <c r="M787" s="106">
        <v>1233</v>
      </c>
      <c r="N787" s="106">
        <v>1431142</v>
      </c>
    </row>
    <row r="788" spans="1:14" outlineLevel="2" x14ac:dyDescent="0.35">
      <c r="A788" s="108" t="s">
        <v>546</v>
      </c>
      <c r="B788" s="108" t="s">
        <v>203</v>
      </c>
      <c r="C788" s="106">
        <v>9308038</v>
      </c>
      <c r="D788" s="106">
        <v>-165295</v>
      </c>
      <c r="E788" s="106">
        <v>0</v>
      </c>
      <c r="F788" s="106">
        <v>0</v>
      </c>
      <c r="G788" s="106">
        <v>0</v>
      </c>
      <c r="H788" s="106">
        <v>9142743</v>
      </c>
      <c r="I788" s="106">
        <v>-7632371</v>
      </c>
      <c r="J788" s="106">
        <v>1510372</v>
      </c>
      <c r="K788" s="106">
        <v>1</v>
      </c>
      <c r="L788" s="106">
        <v>0</v>
      </c>
      <c r="M788" s="106">
        <v>1</v>
      </c>
      <c r="N788" s="106">
        <v>1510371</v>
      </c>
    </row>
    <row r="789" spans="1:14" outlineLevel="1" x14ac:dyDescent="0.35">
      <c r="A789" s="108" t="s">
        <v>546</v>
      </c>
      <c r="B789" s="108" t="s">
        <v>202</v>
      </c>
      <c r="C789" s="106">
        <v>8205651</v>
      </c>
      <c r="D789" s="106">
        <v>-155919</v>
      </c>
      <c r="E789" s="106">
        <v>0</v>
      </c>
      <c r="F789" s="106">
        <v>0</v>
      </c>
      <c r="G789" s="106">
        <v>0</v>
      </c>
      <c r="H789" s="106">
        <v>8049732</v>
      </c>
      <c r="I789" s="106">
        <v>-7094812</v>
      </c>
      <c r="J789" s="106">
        <v>954920</v>
      </c>
      <c r="K789" s="106">
        <v>69622</v>
      </c>
      <c r="L789" s="106">
        <v>-49468</v>
      </c>
      <c r="M789" s="106">
        <v>20154</v>
      </c>
      <c r="N789" s="106">
        <v>934766</v>
      </c>
    </row>
    <row r="790" spans="1:14" ht="15.65" customHeight="1" outlineLevel="1" x14ac:dyDescent="0.35">
      <c r="A790" s="108" t="s">
        <v>546</v>
      </c>
      <c r="B790" s="108" t="s">
        <v>201</v>
      </c>
      <c r="C790" s="106">
        <v>7014395</v>
      </c>
      <c r="D790" s="106">
        <v>-151075</v>
      </c>
      <c r="E790" s="106">
        <v>0</v>
      </c>
      <c r="F790" s="106">
        <v>0</v>
      </c>
      <c r="G790" s="106">
        <v>0</v>
      </c>
      <c r="H790" s="106">
        <v>6863320</v>
      </c>
      <c r="I790" s="106">
        <v>-6312299</v>
      </c>
      <c r="J790" s="106">
        <v>551021</v>
      </c>
      <c r="K790" s="106">
        <v>0</v>
      </c>
      <c r="L790" s="106">
        <v>0</v>
      </c>
      <c r="M790" s="106">
        <v>0</v>
      </c>
      <c r="N790" s="106">
        <v>551021</v>
      </c>
    </row>
    <row r="791" spans="1:14" ht="15" customHeight="1" outlineLevel="1" x14ac:dyDescent="0.35">
      <c r="A791" s="108" t="s">
        <v>546</v>
      </c>
      <c r="B791" s="108" t="s">
        <v>200</v>
      </c>
      <c r="C791" s="106">
        <v>6615392</v>
      </c>
      <c r="D791" s="106">
        <v>-95306</v>
      </c>
      <c r="E791" s="106">
        <v>0</v>
      </c>
      <c r="F791" s="106">
        <v>0</v>
      </c>
      <c r="G791" s="106">
        <v>0</v>
      </c>
      <c r="H791" s="106">
        <v>6520086</v>
      </c>
      <c r="I791" s="106">
        <v>-6520086</v>
      </c>
      <c r="J791" s="106">
        <v>0</v>
      </c>
      <c r="K791" s="106">
        <v>86788</v>
      </c>
      <c r="L791" s="106">
        <v>-11989</v>
      </c>
      <c r="M791" s="106">
        <v>74799</v>
      </c>
      <c r="N791" s="106">
        <v>-74799</v>
      </c>
    </row>
    <row r="792" spans="1:14" outlineLevel="2" x14ac:dyDescent="0.35">
      <c r="A792" s="108" t="s">
        <v>546</v>
      </c>
      <c r="B792" s="108" t="s">
        <v>199</v>
      </c>
      <c r="C792" s="106">
        <v>8317957</v>
      </c>
      <c r="D792" s="106">
        <v>-12713</v>
      </c>
      <c r="E792" s="106">
        <v>0</v>
      </c>
      <c r="F792" s="106">
        <v>0</v>
      </c>
      <c r="G792" s="106">
        <v>0</v>
      </c>
      <c r="H792" s="106">
        <v>8305244</v>
      </c>
      <c r="I792" s="106">
        <v>-8305244</v>
      </c>
      <c r="J792" s="106">
        <v>0</v>
      </c>
      <c r="K792" s="106">
        <v>43849</v>
      </c>
      <c r="L792" s="106">
        <v>-12058</v>
      </c>
      <c r="M792" s="106">
        <v>31791</v>
      </c>
      <c r="N792" s="106">
        <v>-31791</v>
      </c>
    </row>
    <row r="793" spans="1:14" outlineLevel="2" x14ac:dyDescent="0.35">
      <c r="A793" s="108" t="s">
        <v>546</v>
      </c>
      <c r="B793" s="108" t="s">
        <v>198</v>
      </c>
      <c r="C793" s="106">
        <v>7449317</v>
      </c>
      <c r="D793" s="106">
        <v>-291428</v>
      </c>
      <c r="E793" s="106">
        <v>0</v>
      </c>
      <c r="F793" s="106">
        <v>0</v>
      </c>
      <c r="G793" s="106">
        <v>0</v>
      </c>
      <c r="H793" s="106">
        <v>7157889</v>
      </c>
      <c r="I793" s="106">
        <v>-7157889</v>
      </c>
      <c r="J793" s="106">
        <v>0</v>
      </c>
      <c r="K793" s="106">
        <v>210086</v>
      </c>
      <c r="L793" s="106">
        <v>-139673</v>
      </c>
      <c r="M793" s="106">
        <v>70413</v>
      </c>
      <c r="N793" s="106">
        <v>-70413</v>
      </c>
    </row>
    <row r="794" spans="1:14" outlineLevel="2" x14ac:dyDescent="0.35">
      <c r="A794" s="108" t="s">
        <v>546</v>
      </c>
      <c r="B794" s="108" t="s">
        <v>197</v>
      </c>
      <c r="C794" s="106">
        <v>8895734</v>
      </c>
      <c r="D794" s="106">
        <v>-1193985</v>
      </c>
      <c r="E794" s="106">
        <v>0</v>
      </c>
      <c r="F794" s="106">
        <v>0</v>
      </c>
      <c r="G794" s="106">
        <v>0</v>
      </c>
      <c r="H794" s="106">
        <v>7701749</v>
      </c>
      <c r="I794" s="106">
        <v>-7701749</v>
      </c>
      <c r="J794" s="106">
        <v>0</v>
      </c>
      <c r="K794" s="106">
        <v>2062132</v>
      </c>
      <c r="L794" s="106">
        <v>-2062074</v>
      </c>
      <c r="M794" s="106">
        <v>58</v>
      </c>
      <c r="N794" s="106">
        <v>-58</v>
      </c>
    </row>
    <row r="795" spans="1:14" outlineLevel="2" x14ac:dyDescent="0.35">
      <c r="A795" s="108" t="s">
        <v>546</v>
      </c>
      <c r="B795" s="108" t="s">
        <v>196</v>
      </c>
      <c r="C795" s="106">
        <v>9667536</v>
      </c>
      <c r="D795" s="106">
        <v>-1529627</v>
      </c>
      <c r="E795" s="106">
        <v>0</v>
      </c>
      <c r="F795" s="106">
        <v>0</v>
      </c>
      <c r="G795" s="106">
        <v>0</v>
      </c>
      <c r="H795" s="106">
        <v>8137909</v>
      </c>
      <c r="I795" s="106">
        <v>-8137909</v>
      </c>
      <c r="J795" s="106">
        <v>0</v>
      </c>
      <c r="K795" s="106">
        <v>2391214</v>
      </c>
      <c r="L795" s="106">
        <v>-2385214</v>
      </c>
      <c r="M795" s="106">
        <v>6000</v>
      </c>
      <c r="N795" s="106">
        <v>-6000</v>
      </c>
    </row>
    <row r="796" spans="1:14" outlineLevel="2" x14ac:dyDescent="0.35">
      <c r="A796" s="108" t="s">
        <v>546</v>
      </c>
      <c r="B796" s="108" t="s">
        <v>195</v>
      </c>
      <c r="C796" s="106">
        <v>9817325</v>
      </c>
      <c r="D796" s="106">
        <v>-1434456</v>
      </c>
      <c r="E796" s="106">
        <v>0</v>
      </c>
      <c r="F796" s="106">
        <v>0</v>
      </c>
      <c r="G796" s="106">
        <v>0</v>
      </c>
      <c r="H796" s="106">
        <v>8382869</v>
      </c>
      <c r="I796" s="106">
        <v>-8382869</v>
      </c>
      <c r="J796" s="106">
        <v>0</v>
      </c>
      <c r="K796" s="106">
        <v>2611288</v>
      </c>
      <c r="L796" s="106">
        <v>-2611288</v>
      </c>
      <c r="M796" s="106">
        <v>0</v>
      </c>
      <c r="N796" s="106">
        <v>0</v>
      </c>
    </row>
    <row r="797" spans="1:14" outlineLevel="2" x14ac:dyDescent="0.35">
      <c r="A797" s="108" t="s">
        <v>546</v>
      </c>
      <c r="B797" s="108" t="s">
        <v>194</v>
      </c>
      <c r="C797" s="106">
        <v>8077042</v>
      </c>
      <c r="D797" s="106">
        <v>-159566</v>
      </c>
      <c r="E797" s="106">
        <v>0</v>
      </c>
      <c r="F797" s="106">
        <v>0</v>
      </c>
      <c r="G797" s="106">
        <v>0</v>
      </c>
      <c r="H797" s="106">
        <v>7917476</v>
      </c>
      <c r="I797" s="106">
        <v>-7917476</v>
      </c>
      <c r="J797" s="106">
        <v>0</v>
      </c>
      <c r="K797" s="106">
        <v>1115977</v>
      </c>
      <c r="L797" s="106">
        <v>-1115977</v>
      </c>
      <c r="M797" s="106">
        <v>0</v>
      </c>
      <c r="N797" s="106">
        <v>0</v>
      </c>
    </row>
    <row r="798" spans="1:14" outlineLevel="1" x14ac:dyDescent="0.35">
      <c r="A798" s="108" t="s">
        <v>546</v>
      </c>
      <c r="B798" s="108" t="s">
        <v>193</v>
      </c>
      <c r="C798" s="106">
        <v>6124969</v>
      </c>
      <c r="D798" s="106">
        <v>-206024</v>
      </c>
      <c r="E798" s="106">
        <v>0</v>
      </c>
      <c r="F798" s="106">
        <v>0</v>
      </c>
      <c r="G798" s="106">
        <v>0</v>
      </c>
      <c r="H798" s="106">
        <v>5918945</v>
      </c>
      <c r="I798" s="106">
        <v>-5918945</v>
      </c>
      <c r="J798" s="106">
        <v>0</v>
      </c>
      <c r="K798" s="106">
        <v>280016</v>
      </c>
      <c r="L798" s="106">
        <v>-280016</v>
      </c>
      <c r="M798" s="106">
        <v>0</v>
      </c>
      <c r="N798" s="106">
        <v>0</v>
      </c>
    </row>
    <row r="799" spans="1:14" ht="15.65" customHeight="1" outlineLevel="1" x14ac:dyDescent="0.35">
      <c r="A799" s="108" t="s">
        <v>546</v>
      </c>
      <c r="B799" s="108" t="s">
        <v>192</v>
      </c>
      <c r="C799" s="106">
        <v>4012949</v>
      </c>
      <c r="D799" s="106">
        <v>-206281</v>
      </c>
      <c r="E799" s="106">
        <v>0</v>
      </c>
      <c r="F799" s="106">
        <v>0</v>
      </c>
      <c r="G799" s="106">
        <v>0</v>
      </c>
      <c r="H799" s="106">
        <v>3806668</v>
      </c>
      <c r="I799" s="106">
        <v>-3806668</v>
      </c>
      <c r="J799" s="106">
        <v>0</v>
      </c>
      <c r="K799" s="106">
        <v>103168</v>
      </c>
      <c r="L799" s="106">
        <v>-103168</v>
      </c>
      <c r="M799" s="106">
        <v>0</v>
      </c>
      <c r="N799" s="106">
        <v>0</v>
      </c>
    </row>
    <row r="800" spans="1:14" ht="15" customHeight="1" outlineLevel="1" x14ac:dyDescent="0.35">
      <c r="A800" s="108" t="s">
        <v>546</v>
      </c>
      <c r="B800" s="108" t="s">
        <v>191</v>
      </c>
      <c r="C800" s="106">
        <v>3088603</v>
      </c>
      <c r="D800" s="106">
        <v>-163453</v>
      </c>
      <c r="E800" s="106">
        <v>0</v>
      </c>
      <c r="F800" s="106">
        <v>0</v>
      </c>
      <c r="G800" s="106">
        <v>0</v>
      </c>
      <c r="H800" s="106">
        <v>2925150</v>
      </c>
      <c r="I800" s="106">
        <v>-2925150</v>
      </c>
      <c r="J800" s="106">
        <v>0</v>
      </c>
      <c r="K800" s="106">
        <v>110499</v>
      </c>
      <c r="L800" s="106">
        <v>-110499</v>
      </c>
      <c r="M800" s="106">
        <v>0</v>
      </c>
      <c r="N800" s="106">
        <v>0</v>
      </c>
    </row>
    <row r="801" spans="1:14" ht="16" outlineLevel="2" thickBot="1" x14ac:dyDescent="0.4">
      <c r="A801" s="105" t="s">
        <v>425</v>
      </c>
      <c r="B801" s="79" t="s">
        <v>12</v>
      </c>
      <c r="C801" s="103">
        <f>SUBTOTAL(109,Program166[(C)
Program
Costs])</f>
        <v>133633020</v>
      </c>
      <c r="D801" s="103">
        <f>SUBTOTAL(109,Program166[(D)
Prior Period Adjustments])</f>
        <v>-8251931</v>
      </c>
      <c r="E801" s="103">
        <f>SUBTOTAL(109,Program166[(E)
Current Period Desk 
Reviews])</f>
        <v>0</v>
      </c>
      <c r="F801" s="103">
        <f>SUBTOTAL(109,Program166[(F)
Current Period 
Final 
Audits])</f>
        <v>0</v>
      </c>
      <c r="G801" s="103">
        <f>SUBTOTAL(109,Program166[(G)
Current Period 
Other Adjustments])</f>
        <v>0</v>
      </c>
      <c r="H801" s="103">
        <f>SUBTOTAL(109,Program166[(H)
Net Program Costs
Sum (C through G)])</f>
        <v>125381089</v>
      </c>
      <c r="I801" s="103">
        <f>SUBTOTAL(109,Program166[(I)
Payments
 and Offsets])</f>
        <v>-114311230</v>
      </c>
      <c r="J801" s="103">
        <f>SUBTOTAL(109,Program166[(J)
Accounts Payable Balance
(H + I)])</f>
        <v>11069859</v>
      </c>
      <c r="K801" s="103">
        <f>SUBTOTAL(109,Program166[(K)
Established 
Accounts Receivable])</f>
        <v>9085873</v>
      </c>
      <c r="L801" s="103">
        <f>SUBTOTAL(109,Program166[(L)
Recovered
 Accounts Receivable])</f>
        <v>-8881424</v>
      </c>
      <c r="M801" s="103">
        <f>SUBTOTAL(109,Program166[(M)
Accounts Receivable Balance
(K + L)])</f>
        <v>204449</v>
      </c>
      <c r="N801" s="103">
        <f>SUBTOTAL(109,Program166[(N)
Net Balance
(J minus M)])</f>
        <v>10865410</v>
      </c>
    </row>
    <row r="802" spans="1:14" outlineLevel="2" x14ac:dyDescent="0.35">
      <c r="A802" s="116" t="s">
        <v>33</v>
      </c>
      <c r="B802" s="115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</row>
    <row r="803" spans="1:14" ht="77.5" outlineLevel="2" x14ac:dyDescent="0.35">
      <c r="A803" s="113" t="s">
        <v>185</v>
      </c>
      <c r="B803" s="112" t="s">
        <v>184</v>
      </c>
      <c r="C803" s="111" t="s">
        <v>183</v>
      </c>
      <c r="D803" s="111" t="s">
        <v>182</v>
      </c>
      <c r="E803" s="111" t="s">
        <v>181</v>
      </c>
      <c r="F803" s="111" t="s">
        <v>180</v>
      </c>
      <c r="G803" s="111" t="s">
        <v>179</v>
      </c>
      <c r="H803" s="110" t="s">
        <v>674</v>
      </c>
      <c r="I803" s="110" t="s">
        <v>178</v>
      </c>
      <c r="J803" s="110" t="s">
        <v>177</v>
      </c>
      <c r="K803" s="111" t="s">
        <v>176</v>
      </c>
      <c r="L803" s="110" t="s">
        <v>175</v>
      </c>
      <c r="M803" s="110" t="s">
        <v>174</v>
      </c>
      <c r="N803" s="109" t="s">
        <v>173</v>
      </c>
    </row>
    <row r="804" spans="1:14" outlineLevel="2" x14ac:dyDescent="0.35">
      <c r="A804" s="108" t="s">
        <v>545</v>
      </c>
      <c r="B804" s="108" t="s">
        <v>212</v>
      </c>
      <c r="C804" s="106">
        <v>13061</v>
      </c>
      <c r="D804" s="106">
        <v>-13061</v>
      </c>
      <c r="E804" s="106">
        <v>0</v>
      </c>
      <c r="F804" s="106">
        <v>0</v>
      </c>
      <c r="G804" s="106">
        <v>0</v>
      </c>
      <c r="H804" s="106">
        <v>0</v>
      </c>
      <c r="I804" s="106">
        <v>0</v>
      </c>
      <c r="J804" s="106">
        <v>0</v>
      </c>
      <c r="K804" s="106">
        <v>0</v>
      </c>
      <c r="L804" s="106">
        <v>0</v>
      </c>
      <c r="M804" s="106">
        <v>0</v>
      </c>
      <c r="N804" s="106">
        <v>0</v>
      </c>
    </row>
    <row r="805" spans="1:14" outlineLevel="2" x14ac:dyDescent="0.35">
      <c r="A805" s="108" t="s">
        <v>545</v>
      </c>
      <c r="B805" s="108" t="s">
        <v>220</v>
      </c>
      <c r="C805" s="106">
        <v>17181</v>
      </c>
      <c r="D805" s="106">
        <v>-17181</v>
      </c>
      <c r="E805" s="106">
        <v>0</v>
      </c>
      <c r="F805" s="106">
        <v>0</v>
      </c>
      <c r="G805" s="106">
        <v>0</v>
      </c>
      <c r="H805" s="106">
        <v>0</v>
      </c>
      <c r="I805" s="106">
        <v>0</v>
      </c>
      <c r="J805" s="106">
        <v>0</v>
      </c>
      <c r="K805" s="106">
        <v>1000</v>
      </c>
      <c r="L805" s="106">
        <v>-1000</v>
      </c>
      <c r="M805" s="106">
        <v>0</v>
      </c>
      <c r="N805" s="106">
        <v>0</v>
      </c>
    </row>
    <row r="806" spans="1:14" outlineLevel="2" x14ac:dyDescent="0.35">
      <c r="A806" s="108" t="s">
        <v>545</v>
      </c>
      <c r="B806" s="108" t="s">
        <v>219</v>
      </c>
      <c r="C806" s="106">
        <v>621912</v>
      </c>
      <c r="D806" s="106">
        <v>0</v>
      </c>
      <c r="E806" s="106">
        <v>0</v>
      </c>
      <c r="F806" s="106">
        <v>0</v>
      </c>
      <c r="G806" s="106">
        <v>0</v>
      </c>
      <c r="H806" s="106">
        <v>621912</v>
      </c>
      <c r="I806" s="106">
        <v>-14822</v>
      </c>
      <c r="J806" s="106">
        <v>607090</v>
      </c>
      <c r="K806" s="106">
        <v>0</v>
      </c>
      <c r="L806" s="106">
        <v>0</v>
      </c>
      <c r="M806" s="106">
        <v>0</v>
      </c>
      <c r="N806" s="106">
        <v>607090</v>
      </c>
    </row>
    <row r="807" spans="1:14" outlineLevel="2" x14ac:dyDescent="0.35">
      <c r="A807" s="108" t="s">
        <v>545</v>
      </c>
      <c r="B807" s="108" t="s">
        <v>218</v>
      </c>
      <c r="C807" s="106">
        <v>564080</v>
      </c>
      <c r="D807" s="106">
        <v>0</v>
      </c>
      <c r="E807" s="106">
        <v>0</v>
      </c>
      <c r="F807" s="106">
        <v>0</v>
      </c>
      <c r="G807" s="106">
        <v>0</v>
      </c>
      <c r="H807" s="106">
        <v>564080</v>
      </c>
      <c r="I807" s="106">
        <v>-74880</v>
      </c>
      <c r="J807" s="106">
        <v>489200</v>
      </c>
      <c r="K807" s="106">
        <v>0</v>
      </c>
      <c r="L807" s="106">
        <v>0</v>
      </c>
      <c r="M807" s="106">
        <v>0</v>
      </c>
      <c r="N807" s="106">
        <v>489200</v>
      </c>
    </row>
    <row r="808" spans="1:14" outlineLevel="1" x14ac:dyDescent="0.35">
      <c r="A808" s="108" t="s">
        <v>545</v>
      </c>
      <c r="B808" s="108" t="s">
        <v>209</v>
      </c>
      <c r="C808" s="106">
        <v>1375989</v>
      </c>
      <c r="D808" s="106">
        <v>-1061</v>
      </c>
      <c r="E808" s="106">
        <v>0</v>
      </c>
      <c r="F808" s="106">
        <v>0</v>
      </c>
      <c r="G808" s="106">
        <v>0</v>
      </c>
      <c r="H808" s="106">
        <v>1374928</v>
      </c>
      <c r="I808" s="106">
        <v>-476655</v>
      </c>
      <c r="J808" s="106">
        <v>898273</v>
      </c>
      <c r="K808" s="106">
        <v>0</v>
      </c>
      <c r="L808" s="106">
        <v>0</v>
      </c>
      <c r="M808" s="106">
        <v>0</v>
      </c>
      <c r="N808" s="106">
        <v>898273</v>
      </c>
    </row>
    <row r="809" spans="1:14" ht="15.65" customHeight="1" outlineLevel="1" x14ac:dyDescent="0.35">
      <c r="A809" s="108" t="s">
        <v>545</v>
      </c>
      <c r="B809" s="108" t="s">
        <v>208</v>
      </c>
      <c r="C809" s="106">
        <v>6309232</v>
      </c>
      <c r="D809" s="106">
        <v>-36864</v>
      </c>
      <c r="E809" s="106">
        <v>0</v>
      </c>
      <c r="F809" s="106">
        <v>0</v>
      </c>
      <c r="G809" s="106">
        <v>0</v>
      </c>
      <c r="H809" s="106">
        <v>6272368</v>
      </c>
      <c r="I809" s="106">
        <v>-3349640</v>
      </c>
      <c r="J809" s="106">
        <v>2922728</v>
      </c>
      <c r="K809" s="106">
        <v>0</v>
      </c>
      <c r="L809" s="106">
        <v>0</v>
      </c>
      <c r="M809" s="106">
        <v>0</v>
      </c>
      <c r="N809" s="106">
        <v>2922728</v>
      </c>
    </row>
    <row r="810" spans="1:14" ht="15" customHeight="1" outlineLevel="1" x14ac:dyDescent="0.35">
      <c r="A810" s="108" t="s">
        <v>545</v>
      </c>
      <c r="B810" s="108" t="s">
        <v>206</v>
      </c>
      <c r="C810" s="106">
        <v>6704806</v>
      </c>
      <c r="D810" s="106">
        <v>-59442</v>
      </c>
      <c r="E810" s="106">
        <v>0</v>
      </c>
      <c r="F810" s="106">
        <v>0</v>
      </c>
      <c r="G810" s="106">
        <v>0</v>
      </c>
      <c r="H810" s="106">
        <v>6645364</v>
      </c>
      <c r="I810" s="106">
        <v>-4043416</v>
      </c>
      <c r="J810" s="106">
        <v>2601948</v>
      </c>
      <c r="K810" s="106">
        <v>0</v>
      </c>
      <c r="L810" s="106">
        <v>0</v>
      </c>
      <c r="M810" s="106">
        <v>0</v>
      </c>
      <c r="N810" s="106">
        <v>2601948</v>
      </c>
    </row>
    <row r="811" spans="1:14" outlineLevel="2" x14ac:dyDescent="0.35">
      <c r="A811" s="108" t="s">
        <v>545</v>
      </c>
      <c r="B811" s="108" t="s">
        <v>205</v>
      </c>
      <c r="C811" s="106">
        <v>7452300</v>
      </c>
      <c r="D811" s="106">
        <v>-33136</v>
      </c>
      <c r="E811" s="106">
        <v>0</v>
      </c>
      <c r="F811" s="106">
        <v>0</v>
      </c>
      <c r="G811" s="106">
        <v>0</v>
      </c>
      <c r="H811" s="106">
        <v>7419164</v>
      </c>
      <c r="I811" s="106">
        <v>-6754707</v>
      </c>
      <c r="J811" s="106">
        <v>664457</v>
      </c>
      <c r="K811" s="106">
        <v>0</v>
      </c>
      <c r="L811" s="106">
        <v>0</v>
      </c>
      <c r="M811" s="106">
        <v>0</v>
      </c>
      <c r="N811" s="106">
        <v>664457</v>
      </c>
    </row>
    <row r="812" spans="1:14" outlineLevel="2" x14ac:dyDescent="0.35">
      <c r="A812" s="108" t="s">
        <v>545</v>
      </c>
      <c r="B812" s="108" t="s">
        <v>204</v>
      </c>
      <c r="C812" s="106">
        <v>7791561</v>
      </c>
      <c r="D812" s="106">
        <v>-50218</v>
      </c>
      <c r="E812" s="106">
        <v>0</v>
      </c>
      <c r="F812" s="106">
        <v>0</v>
      </c>
      <c r="G812" s="106">
        <v>0</v>
      </c>
      <c r="H812" s="106">
        <v>7741343</v>
      </c>
      <c r="I812" s="106">
        <v>-6923752</v>
      </c>
      <c r="J812" s="106">
        <v>817591</v>
      </c>
      <c r="K812" s="106">
        <v>0</v>
      </c>
      <c r="L812" s="106">
        <v>0</v>
      </c>
      <c r="M812" s="106">
        <v>0</v>
      </c>
      <c r="N812" s="106">
        <v>817591</v>
      </c>
    </row>
    <row r="813" spans="1:14" outlineLevel="2" x14ac:dyDescent="0.35">
      <c r="A813" s="108" t="s">
        <v>545</v>
      </c>
      <c r="B813" s="108" t="s">
        <v>203</v>
      </c>
      <c r="C813" s="106">
        <v>7359742</v>
      </c>
      <c r="D813" s="106">
        <v>-538394</v>
      </c>
      <c r="E813" s="106">
        <v>0</v>
      </c>
      <c r="F813" s="106">
        <v>0</v>
      </c>
      <c r="G813" s="106">
        <v>0</v>
      </c>
      <c r="H813" s="106">
        <v>6821348</v>
      </c>
      <c r="I813" s="106">
        <v>-4845414</v>
      </c>
      <c r="J813" s="106">
        <v>1975934</v>
      </c>
      <c r="K813" s="106">
        <v>0</v>
      </c>
      <c r="L813" s="106">
        <v>0</v>
      </c>
      <c r="M813" s="106">
        <v>0</v>
      </c>
      <c r="N813" s="106">
        <v>1975934</v>
      </c>
    </row>
    <row r="814" spans="1:14" outlineLevel="2" x14ac:dyDescent="0.35">
      <c r="A814" s="108" t="s">
        <v>545</v>
      </c>
      <c r="B814" s="108" t="s">
        <v>202</v>
      </c>
      <c r="C814" s="106">
        <v>7026801</v>
      </c>
      <c r="D814" s="106">
        <v>-552154</v>
      </c>
      <c r="E814" s="106">
        <v>0</v>
      </c>
      <c r="F814" s="106">
        <v>0</v>
      </c>
      <c r="G814" s="106">
        <v>0</v>
      </c>
      <c r="H814" s="106">
        <v>6474647</v>
      </c>
      <c r="I814" s="106">
        <v>-5139413</v>
      </c>
      <c r="J814" s="106">
        <v>1335234</v>
      </c>
      <c r="K814" s="106">
        <v>0</v>
      </c>
      <c r="L814" s="106">
        <v>0</v>
      </c>
      <c r="M814" s="106">
        <v>0</v>
      </c>
      <c r="N814" s="106">
        <v>1335234</v>
      </c>
    </row>
    <row r="815" spans="1:14" outlineLevel="2" x14ac:dyDescent="0.35">
      <c r="A815" s="108" t="s">
        <v>545</v>
      </c>
      <c r="B815" s="108" t="s">
        <v>201</v>
      </c>
      <c r="C815" s="106">
        <v>7131946</v>
      </c>
      <c r="D815" s="106">
        <v>-203893</v>
      </c>
      <c r="E815" s="106">
        <v>0</v>
      </c>
      <c r="F815" s="106">
        <v>0</v>
      </c>
      <c r="G815" s="106">
        <v>0</v>
      </c>
      <c r="H815" s="106">
        <v>6928053</v>
      </c>
      <c r="I815" s="106">
        <v>-5751723</v>
      </c>
      <c r="J815" s="106">
        <v>1176330</v>
      </c>
      <c r="K815" s="106">
        <v>0</v>
      </c>
      <c r="L815" s="106">
        <v>0</v>
      </c>
      <c r="M815" s="106">
        <v>0</v>
      </c>
      <c r="N815" s="106">
        <v>1176330</v>
      </c>
    </row>
    <row r="816" spans="1:14" outlineLevel="2" x14ac:dyDescent="0.35">
      <c r="A816" s="108" t="s">
        <v>545</v>
      </c>
      <c r="B816" s="108" t="s">
        <v>200</v>
      </c>
      <c r="C816" s="106">
        <v>4018956</v>
      </c>
      <c r="D816" s="106">
        <v>-158315</v>
      </c>
      <c r="E816" s="106">
        <v>0</v>
      </c>
      <c r="F816" s="106">
        <v>0</v>
      </c>
      <c r="G816" s="106">
        <v>0</v>
      </c>
      <c r="H816" s="106">
        <v>3860641</v>
      </c>
      <c r="I816" s="106">
        <v>-3406080</v>
      </c>
      <c r="J816" s="106">
        <v>454561</v>
      </c>
      <c r="K816" s="106">
        <v>0</v>
      </c>
      <c r="L816" s="106">
        <v>0</v>
      </c>
      <c r="M816" s="106">
        <v>0</v>
      </c>
      <c r="N816" s="106">
        <v>454561</v>
      </c>
    </row>
    <row r="817" spans="1:14" outlineLevel="2" x14ac:dyDescent="0.35">
      <c r="A817" s="108" t="s">
        <v>545</v>
      </c>
      <c r="B817" s="108" t="s">
        <v>199</v>
      </c>
      <c r="C817" s="106">
        <v>3154329</v>
      </c>
      <c r="D817" s="106">
        <v>-93612</v>
      </c>
      <c r="E817" s="106">
        <v>0</v>
      </c>
      <c r="F817" s="106">
        <v>0</v>
      </c>
      <c r="G817" s="106">
        <v>0</v>
      </c>
      <c r="H817" s="106">
        <v>3060717</v>
      </c>
      <c r="I817" s="106">
        <v>-3007132</v>
      </c>
      <c r="J817" s="106">
        <v>53585</v>
      </c>
      <c r="K817" s="106">
        <v>0</v>
      </c>
      <c r="L817" s="106">
        <v>0</v>
      </c>
      <c r="M817" s="106">
        <v>0</v>
      </c>
      <c r="N817" s="106">
        <v>53585</v>
      </c>
    </row>
    <row r="818" spans="1:14" outlineLevel="2" x14ac:dyDescent="0.35">
      <c r="A818" s="108" t="s">
        <v>545</v>
      </c>
      <c r="B818" s="108" t="s">
        <v>198</v>
      </c>
      <c r="C818" s="106">
        <v>3095396</v>
      </c>
      <c r="D818" s="106">
        <v>-110616</v>
      </c>
      <c r="E818" s="106">
        <v>0</v>
      </c>
      <c r="F818" s="106">
        <v>0</v>
      </c>
      <c r="G818" s="106">
        <v>0</v>
      </c>
      <c r="H818" s="106">
        <v>2984780</v>
      </c>
      <c r="I818" s="106">
        <v>-2976037</v>
      </c>
      <c r="J818" s="106">
        <v>8743</v>
      </c>
      <c r="K818" s="106">
        <v>0</v>
      </c>
      <c r="L818" s="106">
        <v>0</v>
      </c>
      <c r="M818" s="106">
        <v>0</v>
      </c>
      <c r="N818" s="106">
        <v>8743</v>
      </c>
    </row>
    <row r="819" spans="1:14" outlineLevel="2" x14ac:dyDescent="0.35">
      <c r="A819" s="108" t="s">
        <v>545</v>
      </c>
      <c r="B819" s="108" t="s">
        <v>197</v>
      </c>
      <c r="C819" s="106">
        <v>2209782</v>
      </c>
      <c r="D819" s="106">
        <v>-59306</v>
      </c>
      <c r="E819" s="106">
        <v>0</v>
      </c>
      <c r="F819" s="106">
        <v>0</v>
      </c>
      <c r="G819" s="106">
        <v>0</v>
      </c>
      <c r="H819" s="106">
        <v>2150476</v>
      </c>
      <c r="I819" s="106">
        <v>-2145443</v>
      </c>
      <c r="J819" s="106">
        <v>5033</v>
      </c>
      <c r="K819" s="106">
        <v>0</v>
      </c>
      <c r="L819" s="106">
        <v>0</v>
      </c>
      <c r="M819" s="106">
        <v>0</v>
      </c>
      <c r="N819" s="106">
        <v>5033</v>
      </c>
    </row>
    <row r="820" spans="1:14" outlineLevel="2" x14ac:dyDescent="0.35">
      <c r="A820" s="108" t="s">
        <v>545</v>
      </c>
      <c r="B820" s="108" t="s">
        <v>196</v>
      </c>
      <c r="C820" s="106">
        <v>1065729</v>
      </c>
      <c r="D820" s="106">
        <v>-56779</v>
      </c>
      <c r="E820" s="106">
        <v>0</v>
      </c>
      <c r="F820" s="106">
        <v>0</v>
      </c>
      <c r="G820" s="106">
        <v>0</v>
      </c>
      <c r="H820" s="106">
        <v>1008950</v>
      </c>
      <c r="I820" s="106">
        <v>-1008950</v>
      </c>
      <c r="J820" s="106">
        <v>0</v>
      </c>
      <c r="K820" s="106">
        <v>0</v>
      </c>
      <c r="L820" s="106">
        <v>0</v>
      </c>
      <c r="M820" s="106">
        <v>0</v>
      </c>
      <c r="N820" s="106">
        <v>0</v>
      </c>
    </row>
    <row r="821" spans="1:14" ht="16" outlineLevel="2" thickBot="1" x14ac:dyDescent="0.4">
      <c r="A821" s="105" t="s">
        <v>424</v>
      </c>
      <c r="B821" s="79" t="s">
        <v>12</v>
      </c>
      <c r="C821" s="103">
        <f>SUBTOTAL(109,Program268[(C)
Program
Costs])</f>
        <v>65912803</v>
      </c>
      <c r="D821" s="103">
        <f>SUBTOTAL(109,Program268[(D)
Prior Period Adjustments])</f>
        <v>-1984032</v>
      </c>
      <c r="E821" s="103">
        <f>SUBTOTAL(109,Program268[(E)
Current Period Desk 
Reviews])</f>
        <v>0</v>
      </c>
      <c r="F821" s="103">
        <f>SUBTOTAL(109,Program268[(F)
Current Period 
Final 
Audits])</f>
        <v>0</v>
      </c>
      <c r="G821" s="103">
        <f>SUBTOTAL(109,Program268[(G)
Current Period 
Other Adjustments])</f>
        <v>0</v>
      </c>
      <c r="H821" s="103">
        <f>SUBTOTAL(109,Program268[(H)
Net Program Costs
Sum (C through G)])</f>
        <v>63928771</v>
      </c>
      <c r="I821" s="103">
        <f>SUBTOTAL(109,Program268[(I)
Payments
 and Offsets])</f>
        <v>-49918064</v>
      </c>
      <c r="J821" s="103">
        <f>SUBTOTAL(109,Program268[(J)
Accounts Payable Balance
(H + I)])</f>
        <v>14010707</v>
      </c>
      <c r="K821" s="103">
        <f>SUBTOTAL(109,Program268[(K)
Established 
Accounts Receivable])</f>
        <v>1000</v>
      </c>
      <c r="L821" s="103">
        <f>SUBTOTAL(109,Program268[(L)
Recovered
 Accounts Receivable])</f>
        <v>-1000</v>
      </c>
      <c r="M821" s="103">
        <f>SUBTOTAL(109,Program268[(M)
Accounts Receivable Balance
(K + L)])</f>
        <v>0</v>
      </c>
      <c r="N821" s="103">
        <f>SUBTOTAL(109,Program268[(N)
Net Balance
(J minus M)])</f>
        <v>14010707</v>
      </c>
    </row>
    <row r="822" spans="1:14" outlineLevel="2" x14ac:dyDescent="0.35">
      <c r="A822" s="116" t="s">
        <v>33</v>
      </c>
      <c r="B822" s="115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</row>
    <row r="823" spans="1:14" ht="77.5" outlineLevel="2" x14ac:dyDescent="0.35">
      <c r="A823" s="113" t="s">
        <v>185</v>
      </c>
      <c r="B823" s="112" t="s">
        <v>184</v>
      </c>
      <c r="C823" s="111" t="s">
        <v>183</v>
      </c>
      <c r="D823" s="111" t="s">
        <v>182</v>
      </c>
      <c r="E823" s="111" t="s">
        <v>181</v>
      </c>
      <c r="F823" s="111" t="s">
        <v>180</v>
      </c>
      <c r="G823" s="111" t="s">
        <v>179</v>
      </c>
      <c r="H823" s="110" t="s">
        <v>674</v>
      </c>
      <c r="I823" s="110" t="s">
        <v>178</v>
      </c>
      <c r="J823" s="110" t="s">
        <v>177</v>
      </c>
      <c r="K823" s="111" t="s">
        <v>176</v>
      </c>
      <c r="L823" s="110" t="s">
        <v>175</v>
      </c>
      <c r="M823" s="110" t="s">
        <v>174</v>
      </c>
      <c r="N823" s="109" t="s">
        <v>173</v>
      </c>
    </row>
    <row r="824" spans="1:14" outlineLevel="2" x14ac:dyDescent="0.35">
      <c r="A824" s="108" t="s">
        <v>544</v>
      </c>
      <c r="B824" s="108" t="s">
        <v>219</v>
      </c>
      <c r="C824" s="106">
        <v>279843</v>
      </c>
      <c r="D824" s="106">
        <v>-279843</v>
      </c>
      <c r="E824" s="106">
        <v>0</v>
      </c>
      <c r="F824" s="106">
        <v>0</v>
      </c>
      <c r="G824" s="106">
        <v>0</v>
      </c>
      <c r="H824" s="106">
        <v>0</v>
      </c>
      <c r="I824" s="106">
        <v>0</v>
      </c>
      <c r="J824" s="106">
        <v>0</v>
      </c>
      <c r="K824" s="106">
        <v>0</v>
      </c>
      <c r="L824" s="106">
        <v>0</v>
      </c>
      <c r="M824" s="106">
        <v>0</v>
      </c>
      <c r="N824" s="106">
        <v>0</v>
      </c>
    </row>
    <row r="825" spans="1:14" outlineLevel="2" x14ac:dyDescent="0.35">
      <c r="A825" s="108" t="s">
        <v>544</v>
      </c>
      <c r="B825" s="108" t="s">
        <v>218</v>
      </c>
      <c r="C825" s="106">
        <v>326297</v>
      </c>
      <c r="D825" s="106">
        <v>-326297</v>
      </c>
      <c r="E825" s="106">
        <v>0</v>
      </c>
      <c r="F825" s="106">
        <v>0</v>
      </c>
      <c r="G825" s="106">
        <v>0</v>
      </c>
      <c r="H825" s="106">
        <v>0</v>
      </c>
      <c r="I825" s="106">
        <v>0</v>
      </c>
      <c r="J825" s="106">
        <v>0</v>
      </c>
      <c r="K825" s="106">
        <v>0</v>
      </c>
      <c r="L825" s="106">
        <v>0</v>
      </c>
      <c r="M825" s="106">
        <v>0</v>
      </c>
      <c r="N825" s="106">
        <v>0</v>
      </c>
    </row>
    <row r="826" spans="1:14" outlineLevel="2" x14ac:dyDescent="0.35">
      <c r="A826" s="108" t="s">
        <v>544</v>
      </c>
      <c r="B826" s="108" t="s">
        <v>209</v>
      </c>
      <c r="C826" s="106">
        <v>866208</v>
      </c>
      <c r="D826" s="106">
        <v>-14539</v>
      </c>
      <c r="E826" s="106">
        <v>0</v>
      </c>
      <c r="F826" s="106">
        <v>0</v>
      </c>
      <c r="G826" s="106">
        <v>0</v>
      </c>
      <c r="H826" s="106">
        <v>851669</v>
      </c>
      <c r="I826" s="106">
        <v>-696961</v>
      </c>
      <c r="J826" s="106">
        <v>154708</v>
      </c>
      <c r="K826" s="106">
        <v>0</v>
      </c>
      <c r="L826" s="106">
        <v>0</v>
      </c>
      <c r="M826" s="106">
        <v>0</v>
      </c>
      <c r="N826" s="106">
        <v>154708</v>
      </c>
    </row>
    <row r="827" spans="1:14" outlineLevel="2" x14ac:dyDescent="0.35">
      <c r="A827" s="108" t="s">
        <v>544</v>
      </c>
      <c r="B827" s="108" t="s">
        <v>208</v>
      </c>
      <c r="C827" s="106">
        <v>5698923</v>
      </c>
      <c r="D827" s="106">
        <v>-19557</v>
      </c>
      <c r="E827" s="106">
        <v>0</v>
      </c>
      <c r="F827" s="106">
        <v>0</v>
      </c>
      <c r="G827" s="106">
        <v>0</v>
      </c>
      <c r="H827" s="106">
        <v>5679366</v>
      </c>
      <c r="I827" s="106">
        <v>-5265644</v>
      </c>
      <c r="J827" s="106">
        <v>413722</v>
      </c>
      <c r="K827" s="106">
        <v>0</v>
      </c>
      <c r="L827" s="106">
        <v>0</v>
      </c>
      <c r="M827" s="106">
        <v>0</v>
      </c>
      <c r="N827" s="106">
        <v>413722</v>
      </c>
    </row>
    <row r="828" spans="1:14" outlineLevel="2" x14ac:dyDescent="0.35">
      <c r="A828" s="108" t="s">
        <v>544</v>
      </c>
      <c r="B828" s="108" t="s">
        <v>206</v>
      </c>
      <c r="C828" s="106">
        <v>5864955</v>
      </c>
      <c r="D828" s="106">
        <v>-25082</v>
      </c>
      <c r="E828" s="106">
        <v>0</v>
      </c>
      <c r="F828" s="106">
        <v>0</v>
      </c>
      <c r="G828" s="106">
        <v>0</v>
      </c>
      <c r="H828" s="106">
        <v>5839873</v>
      </c>
      <c r="I828" s="106">
        <v>-5536750</v>
      </c>
      <c r="J828" s="106">
        <v>303123</v>
      </c>
      <c r="K828" s="106">
        <v>0</v>
      </c>
      <c r="L828" s="106">
        <v>0</v>
      </c>
      <c r="M828" s="106">
        <v>0</v>
      </c>
      <c r="N828" s="106">
        <v>303123</v>
      </c>
    </row>
    <row r="829" spans="1:14" outlineLevel="2" x14ac:dyDescent="0.35">
      <c r="A829" s="108" t="s">
        <v>544</v>
      </c>
      <c r="B829" s="108" t="s">
        <v>205</v>
      </c>
      <c r="C829" s="106">
        <v>5738497</v>
      </c>
      <c r="D829" s="106">
        <v>-32881</v>
      </c>
      <c r="E829" s="106">
        <v>0</v>
      </c>
      <c r="F829" s="106">
        <v>0</v>
      </c>
      <c r="G829" s="106">
        <v>0</v>
      </c>
      <c r="H829" s="106">
        <v>5705616</v>
      </c>
      <c r="I829" s="106">
        <v>-5667416</v>
      </c>
      <c r="J829" s="106">
        <v>38200</v>
      </c>
      <c r="K829" s="106">
        <v>173</v>
      </c>
      <c r="L829" s="106">
        <v>-173</v>
      </c>
      <c r="M829" s="106">
        <v>0</v>
      </c>
      <c r="N829" s="106">
        <v>38200</v>
      </c>
    </row>
    <row r="830" spans="1:14" outlineLevel="2" x14ac:dyDescent="0.35">
      <c r="A830" s="108" t="s">
        <v>544</v>
      </c>
      <c r="B830" s="108" t="s">
        <v>204</v>
      </c>
      <c r="C830" s="106">
        <v>5778477</v>
      </c>
      <c r="D830" s="106">
        <v>-73436</v>
      </c>
      <c r="E830" s="106">
        <v>0</v>
      </c>
      <c r="F830" s="106">
        <v>0</v>
      </c>
      <c r="G830" s="106">
        <v>0</v>
      </c>
      <c r="H830" s="106">
        <v>5705041</v>
      </c>
      <c r="I830" s="106">
        <v>-5704156</v>
      </c>
      <c r="J830" s="106">
        <v>885</v>
      </c>
      <c r="K830" s="106">
        <v>18091</v>
      </c>
      <c r="L830" s="106">
        <v>-3366</v>
      </c>
      <c r="M830" s="106">
        <v>14725</v>
      </c>
      <c r="N830" s="106">
        <v>-13840</v>
      </c>
    </row>
    <row r="831" spans="1:14" outlineLevel="2" x14ac:dyDescent="0.35">
      <c r="A831" s="108" t="s">
        <v>544</v>
      </c>
      <c r="B831" s="108" t="s">
        <v>203</v>
      </c>
      <c r="C831" s="106">
        <v>5562858</v>
      </c>
      <c r="D831" s="106">
        <v>-35398</v>
      </c>
      <c r="E831" s="106">
        <v>0</v>
      </c>
      <c r="F831" s="106">
        <v>0</v>
      </c>
      <c r="G831" s="106">
        <v>0</v>
      </c>
      <c r="H831" s="106">
        <v>5527460</v>
      </c>
      <c r="I831" s="106">
        <v>-5438722</v>
      </c>
      <c r="J831" s="106">
        <v>88738</v>
      </c>
      <c r="K831" s="106">
        <v>3</v>
      </c>
      <c r="L831" s="106">
        <v>0</v>
      </c>
      <c r="M831" s="106">
        <v>3</v>
      </c>
      <c r="N831" s="106">
        <v>88735</v>
      </c>
    </row>
    <row r="832" spans="1:14" outlineLevel="2" x14ac:dyDescent="0.35">
      <c r="A832" s="108" t="s">
        <v>544</v>
      </c>
      <c r="B832" s="108" t="s">
        <v>202</v>
      </c>
      <c r="C832" s="106">
        <v>5396827</v>
      </c>
      <c r="D832" s="106">
        <v>-23126</v>
      </c>
      <c r="E832" s="106">
        <v>0</v>
      </c>
      <c r="F832" s="106">
        <v>0</v>
      </c>
      <c r="G832" s="106">
        <v>0</v>
      </c>
      <c r="H832" s="106">
        <v>5373701</v>
      </c>
      <c r="I832" s="106">
        <v>-5309206</v>
      </c>
      <c r="J832" s="106">
        <v>64495</v>
      </c>
      <c r="K832" s="106">
        <v>10680</v>
      </c>
      <c r="L832" s="106">
        <v>-8110</v>
      </c>
      <c r="M832" s="106">
        <v>2570</v>
      </c>
      <c r="N832" s="106">
        <v>61925</v>
      </c>
    </row>
    <row r="833" spans="1:14" outlineLevel="2" x14ac:dyDescent="0.35">
      <c r="A833" s="108" t="s">
        <v>544</v>
      </c>
      <c r="B833" s="108" t="s">
        <v>201</v>
      </c>
      <c r="C833" s="106">
        <v>5050576</v>
      </c>
      <c r="D833" s="106">
        <v>-17067</v>
      </c>
      <c r="E833" s="106">
        <v>0</v>
      </c>
      <c r="F833" s="106">
        <v>0</v>
      </c>
      <c r="G833" s="106">
        <v>0</v>
      </c>
      <c r="H833" s="106">
        <v>5033509</v>
      </c>
      <c r="I833" s="106">
        <v>-5003200</v>
      </c>
      <c r="J833" s="106">
        <v>30309</v>
      </c>
      <c r="K833" s="106">
        <v>0</v>
      </c>
      <c r="L833" s="106">
        <v>0</v>
      </c>
      <c r="M833" s="106">
        <v>0</v>
      </c>
      <c r="N833" s="106">
        <v>30309</v>
      </c>
    </row>
    <row r="834" spans="1:14" outlineLevel="2" x14ac:dyDescent="0.35">
      <c r="A834" s="108" t="s">
        <v>544</v>
      </c>
      <c r="B834" s="108" t="s">
        <v>200</v>
      </c>
      <c r="C834" s="106">
        <v>4860278</v>
      </c>
      <c r="D834" s="106">
        <v>-7428</v>
      </c>
      <c r="E834" s="106">
        <v>0</v>
      </c>
      <c r="F834" s="106">
        <v>0</v>
      </c>
      <c r="G834" s="106">
        <v>0</v>
      </c>
      <c r="H834" s="106">
        <v>4852850</v>
      </c>
      <c r="I834" s="106">
        <v>-4852850</v>
      </c>
      <c r="J834" s="106">
        <v>0</v>
      </c>
      <c r="K834" s="106">
        <v>4855</v>
      </c>
      <c r="L834" s="106">
        <v>-3446</v>
      </c>
      <c r="M834" s="106">
        <v>1409</v>
      </c>
      <c r="N834" s="106">
        <v>-1409</v>
      </c>
    </row>
    <row r="835" spans="1:14" outlineLevel="2" x14ac:dyDescent="0.35">
      <c r="A835" s="108" t="s">
        <v>544</v>
      </c>
      <c r="B835" s="108" t="s">
        <v>199</v>
      </c>
      <c r="C835" s="106">
        <v>4755119</v>
      </c>
      <c r="D835" s="106">
        <v>-12765</v>
      </c>
      <c r="E835" s="106">
        <v>0</v>
      </c>
      <c r="F835" s="106">
        <v>0</v>
      </c>
      <c r="G835" s="106">
        <v>0</v>
      </c>
      <c r="H835" s="106">
        <v>4742354</v>
      </c>
      <c r="I835" s="106">
        <v>-4742354</v>
      </c>
      <c r="J835" s="106">
        <v>0</v>
      </c>
      <c r="K835" s="106">
        <v>0</v>
      </c>
      <c r="L835" s="106">
        <v>0</v>
      </c>
      <c r="M835" s="106">
        <v>0</v>
      </c>
      <c r="N835" s="106">
        <v>0</v>
      </c>
    </row>
    <row r="836" spans="1:14" outlineLevel="2" x14ac:dyDescent="0.35">
      <c r="A836" s="108" t="s">
        <v>544</v>
      </c>
      <c r="B836" s="108" t="s">
        <v>198</v>
      </c>
      <c r="C836" s="106">
        <v>4618091</v>
      </c>
      <c r="D836" s="106">
        <v>-7048</v>
      </c>
      <c r="E836" s="106">
        <v>0</v>
      </c>
      <c r="F836" s="106">
        <v>0</v>
      </c>
      <c r="G836" s="106">
        <v>0</v>
      </c>
      <c r="H836" s="106">
        <v>4611043</v>
      </c>
      <c r="I836" s="106">
        <v>-4611043</v>
      </c>
      <c r="J836" s="106">
        <v>0</v>
      </c>
      <c r="K836" s="106">
        <v>0</v>
      </c>
      <c r="L836" s="106">
        <v>0</v>
      </c>
      <c r="M836" s="106">
        <v>0</v>
      </c>
      <c r="N836" s="106">
        <v>0</v>
      </c>
    </row>
    <row r="837" spans="1:14" outlineLevel="2" x14ac:dyDescent="0.35">
      <c r="A837" s="108" t="s">
        <v>544</v>
      </c>
      <c r="B837" s="108" t="s">
        <v>197</v>
      </c>
      <c r="C837" s="106">
        <v>4435452</v>
      </c>
      <c r="D837" s="106">
        <v>-6382</v>
      </c>
      <c r="E837" s="106">
        <v>0</v>
      </c>
      <c r="F837" s="106">
        <v>0</v>
      </c>
      <c r="G837" s="106">
        <v>0</v>
      </c>
      <c r="H837" s="106">
        <v>4429070</v>
      </c>
      <c r="I837" s="106">
        <v>-4429070</v>
      </c>
      <c r="J837" s="106">
        <v>0</v>
      </c>
      <c r="K837" s="106">
        <v>0</v>
      </c>
      <c r="L837" s="106">
        <v>0</v>
      </c>
      <c r="M837" s="106">
        <v>0</v>
      </c>
      <c r="N837" s="106">
        <v>0</v>
      </c>
    </row>
    <row r="838" spans="1:14" outlineLevel="2" x14ac:dyDescent="0.35">
      <c r="A838" s="108" t="s">
        <v>544</v>
      </c>
      <c r="B838" s="108" t="s">
        <v>196</v>
      </c>
      <c r="C838" s="106">
        <v>4321456</v>
      </c>
      <c r="D838" s="106">
        <v>-12073</v>
      </c>
      <c r="E838" s="106">
        <v>0</v>
      </c>
      <c r="F838" s="106">
        <v>0</v>
      </c>
      <c r="G838" s="106">
        <v>0</v>
      </c>
      <c r="H838" s="106">
        <v>4309383</v>
      </c>
      <c r="I838" s="106">
        <v>-4309383</v>
      </c>
      <c r="J838" s="106">
        <v>0</v>
      </c>
      <c r="K838" s="106">
        <v>5903</v>
      </c>
      <c r="L838" s="106">
        <v>-5903</v>
      </c>
      <c r="M838" s="106">
        <v>0</v>
      </c>
      <c r="N838" s="106">
        <v>0</v>
      </c>
    </row>
    <row r="839" spans="1:14" outlineLevel="2" x14ac:dyDescent="0.35">
      <c r="A839" s="108" t="s">
        <v>544</v>
      </c>
      <c r="B839" s="108" t="s">
        <v>195</v>
      </c>
      <c r="C839" s="106">
        <v>4043106</v>
      </c>
      <c r="D839" s="106">
        <v>-5467</v>
      </c>
      <c r="E839" s="106">
        <v>0</v>
      </c>
      <c r="F839" s="106">
        <v>0</v>
      </c>
      <c r="G839" s="106">
        <v>0</v>
      </c>
      <c r="H839" s="106">
        <v>4037639</v>
      </c>
      <c r="I839" s="106">
        <v>-4037639</v>
      </c>
      <c r="J839" s="106">
        <v>0</v>
      </c>
      <c r="K839" s="106">
        <v>0</v>
      </c>
      <c r="L839" s="106">
        <v>0</v>
      </c>
      <c r="M839" s="106">
        <v>0</v>
      </c>
      <c r="N839" s="106">
        <v>0</v>
      </c>
    </row>
    <row r="840" spans="1:14" outlineLevel="2" x14ac:dyDescent="0.35">
      <c r="A840" s="108" t="s">
        <v>544</v>
      </c>
      <c r="B840" s="108" t="s">
        <v>194</v>
      </c>
      <c r="C840" s="106">
        <v>2598394</v>
      </c>
      <c r="D840" s="106">
        <v>-5203</v>
      </c>
      <c r="E840" s="106">
        <v>0</v>
      </c>
      <c r="F840" s="106">
        <v>0</v>
      </c>
      <c r="G840" s="106">
        <v>0</v>
      </c>
      <c r="H840" s="106">
        <v>2593191</v>
      </c>
      <c r="I840" s="106">
        <v>-2593191</v>
      </c>
      <c r="J840" s="106">
        <v>0</v>
      </c>
      <c r="K840" s="106">
        <v>0</v>
      </c>
      <c r="L840" s="106">
        <v>0</v>
      </c>
      <c r="M840" s="106">
        <v>0</v>
      </c>
      <c r="N840" s="106">
        <v>0</v>
      </c>
    </row>
    <row r="841" spans="1:14" outlineLevel="2" x14ac:dyDescent="0.35">
      <c r="A841" s="108" t="s">
        <v>544</v>
      </c>
      <c r="B841" s="108" t="s">
        <v>193</v>
      </c>
      <c r="C841" s="106">
        <v>891081</v>
      </c>
      <c r="D841" s="106">
        <v>-2069</v>
      </c>
      <c r="E841" s="106">
        <v>0</v>
      </c>
      <c r="F841" s="106">
        <v>0</v>
      </c>
      <c r="G841" s="106">
        <v>0</v>
      </c>
      <c r="H841" s="106">
        <v>889012</v>
      </c>
      <c r="I841" s="106">
        <v>-889012</v>
      </c>
      <c r="J841" s="106">
        <v>0</v>
      </c>
      <c r="K841" s="106">
        <v>0</v>
      </c>
      <c r="L841" s="106">
        <v>0</v>
      </c>
      <c r="M841" s="106">
        <v>0</v>
      </c>
      <c r="N841" s="106">
        <v>0</v>
      </c>
    </row>
    <row r="842" spans="1:14" ht="15.65" customHeight="1" outlineLevel="1" thickBot="1" x14ac:dyDescent="0.4">
      <c r="A842" s="105" t="s">
        <v>423</v>
      </c>
      <c r="B842" s="79" t="s">
        <v>12</v>
      </c>
      <c r="C842" s="103">
        <f>SUBTOTAL(109,Program230[(C)
Program
Costs])</f>
        <v>71086438</v>
      </c>
      <c r="D842" s="103">
        <f>SUBTOTAL(109,Program230[(D)
Prior Period Adjustments])</f>
        <v>-905661</v>
      </c>
      <c r="E842" s="103">
        <f>SUBTOTAL(109,Program230[(E)
Current Period Desk 
Reviews])</f>
        <v>0</v>
      </c>
      <c r="F842" s="103">
        <f>SUBTOTAL(109,Program230[(F)
Current Period 
Final 
Audits])</f>
        <v>0</v>
      </c>
      <c r="G842" s="103">
        <f>SUBTOTAL(109,Program230[(G)
Current Period 
Other Adjustments])</f>
        <v>0</v>
      </c>
      <c r="H842" s="103">
        <f>SUBTOTAL(109,Program230[(H)
Net Program Costs
Sum (C through G)])</f>
        <v>70180777</v>
      </c>
      <c r="I842" s="103">
        <f>SUBTOTAL(109,Program230[(I)
Payments
 and Offsets])</f>
        <v>-69086597</v>
      </c>
      <c r="J842" s="103">
        <f>SUBTOTAL(109,Program230[(J)
Accounts Payable Balance
(H + I)])</f>
        <v>1094180</v>
      </c>
      <c r="K842" s="103">
        <f>SUBTOTAL(109,Program230[(K)
Established 
Accounts Receivable])</f>
        <v>39705</v>
      </c>
      <c r="L842" s="103">
        <f>SUBTOTAL(109,Program230[(L)
Recovered
 Accounts Receivable])</f>
        <v>-20998</v>
      </c>
      <c r="M842" s="103">
        <f>SUBTOTAL(109,Program230[(M)
Accounts Receivable Balance
(K + L)])</f>
        <v>18707</v>
      </c>
      <c r="N842" s="103">
        <f>SUBTOTAL(109,Program230[(N)
Net Balance
(J minus M)])</f>
        <v>1075473</v>
      </c>
    </row>
    <row r="843" spans="1:14" ht="15" customHeight="1" outlineLevel="1" x14ac:dyDescent="0.35">
      <c r="A843" s="116" t="s">
        <v>33</v>
      </c>
      <c r="B843" s="115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</row>
    <row r="844" spans="1:14" ht="77.5" outlineLevel="2" x14ac:dyDescent="0.35">
      <c r="A844" s="113" t="s">
        <v>185</v>
      </c>
      <c r="B844" s="112" t="s">
        <v>184</v>
      </c>
      <c r="C844" s="111" t="s">
        <v>183</v>
      </c>
      <c r="D844" s="111" t="s">
        <v>182</v>
      </c>
      <c r="E844" s="111" t="s">
        <v>181</v>
      </c>
      <c r="F844" s="111" t="s">
        <v>180</v>
      </c>
      <c r="G844" s="111" t="s">
        <v>179</v>
      </c>
      <c r="H844" s="110" t="s">
        <v>674</v>
      </c>
      <c r="I844" s="110" t="s">
        <v>178</v>
      </c>
      <c r="J844" s="110" t="s">
        <v>177</v>
      </c>
      <c r="K844" s="111" t="s">
        <v>176</v>
      </c>
      <c r="L844" s="110" t="s">
        <v>175</v>
      </c>
      <c r="M844" s="110" t="s">
        <v>174</v>
      </c>
      <c r="N844" s="109" t="s">
        <v>173</v>
      </c>
    </row>
    <row r="845" spans="1:14" ht="31" outlineLevel="2" x14ac:dyDescent="0.35">
      <c r="A845" s="77" t="s">
        <v>543</v>
      </c>
      <c r="B845" s="108" t="s">
        <v>215</v>
      </c>
      <c r="C845" s="106">
        <v>13387</v>
      </c>
      <c r="D845" s="106">
        <v>0</v>
      </c>
      <c r="E845" s="106">
        <v>0</v>
      </c>
      <c r="F845" s="106">
        <v>0</v>
      </c>
      <c r="G845" s="106">
        <v>0</v>
      </c>
      <c r="H845" s="106">
        <v>13387</v>
      </c>
      <c r="I845" s="106">
        <v>0</v>
      </c>
      <c r="J845" s="106">
        <v>13387</v>
      </c>
      <c r="K845" s="106">
        <v>0</v>
      </c>
      <c r="L845" s="106">
        <v>0</v>
      </c>
      <c r="M845" s="106">
        <v>0</v>
      </c>
      <c r="N845" s="106">
        <v>13387</v>
      </c>
    </row>
    <row r="846" spans="1:14" ht="31" outlineLevel="2" x14ac:dyDescent="0.35">
      <c r="A846" s="77" t="s">
        <v>543</v>
      </c>
      <c r="B846" s="108" t="s">
        <v>214</v>
      </c>
      <c r="C846" s="106">
        <v>21734</v>
      </c>
      <c r="D846" s="106">
        <v>0</v>
      </c>
      <c r="E846" s="106">
        <v>0</v>
      </c>
      <c r="F846" s="106">
        <v>0</v>
      </c>
      <c r="G846" s="106">
        <v>0</v>
      </c>
      <c r="H846" s="106">
        <v>21734</v>
      </c>
      <c r="I846" s="106">
        <v>-1000</v>
      </c>
      <c r="J846" s="106">
        <v>20734</v>
      </c>
      <c r="K846" s="106">
        <v>0</v>
      </c>
      <c r="L846" s="106">
        <v>0</v>
      </c>
      <c r="M846" s="106">
        <v>0</v>
      </c>
      <c r="N846" s="106">
        <v>20734</v>
      </c>
    </row>
    <row r="847" spans="1:14" ht="31" outlineLevel="2" x14ac:dyDescent="0.35">
      <c r="A847" s="77" t="s">
        <v>543</v>
      </c>
      <c r="B847" s="108" t="s">
        <v>212</v>
      </c>
      <c r="C847" s="106">
        <v>21279</v>
      </c>
      <c r="D847" s="106">
        <v>0</v>
      </c>
      <c r="E847" s="106">
        <v>0</v>
      </c>
      <c r="F847" s="106">
        <v>0</v>
      </c>
      <c r="G847" s="106">
        <v>0</v>
      </c>
      <c r="H847" s="106">
        <v>21279</v>
      </c>
      <c r="I847" s="106">
        <v>-2085</v>
      </c>
      <c r="J847" s="106">
        <v>19194</v>
      </c>
      <c r="K847" s="106">
        <v>0</v>
      </c>
      <c r="L847" s="106">
        <v>0</v>
      </c>
      <c r="M847" s="106">
        <v>0</v>
      </c>
      <c r="N847" s="106">
        <v>19194</v>
      </c>
    </row>
    <row r="848" spans="1:14" ht="31" outlineLevel="2" x14ac:dyDescent="0.35">
      <c r="A848" s="77" t="s">
        <v>543</v>
      </c>
      <c r="B848" s="108" t="s">
        <v>220</v>
      </c>
      <c r="C848" s="106">
        <v>204782</v>
      </c>
      <c r="D848" s="106">
        <v>-176935</v>
      </c>
      <c r="E848" s="106">
        <v>0</v>
      </c>
      <c r="F848" s="106">
        <v>0</v>
      </c>
      <c r="G848" s="106">
        <v>0</v>
      </c>
      <c r="H848" s="106">
        <v>27847</v>
      </c>
      <c r="I848" s="106">
        <v>-9502</v>
      </c>
      <c r="J848" s="106">
        <v>18345</v>
      </c>
      <c r="K848" s="106">
        <v>0</v>
      </c>
      <c r="L848" s="106">
        <v>0</v>
      </c>
      <c r="M848" s="106">
        <v>0</v>
      </c>
      <c r="N848" s="106">
        <v>18345</v>
      </c>
    </row>
    <row r="849" spans="1:14" ht="31" outlineLevel="2" x14ac:dyDescent="0.35">
      <c r="A849" s="77" t="s">
        <v>543</v>
      </c>
      <c r="B849" s="108" t="s">
        <v>219</v>
      </c>
      <c r="C849" s="106">
        <v>381930</v>
      </c>
      <c r="D849" s="106">
        <v>-178464</v>
      </c>
      <c r="E849" s="106">
        <v>0</v>
      </c>
      <c r="F849" s="106">
        <v>0</v>
      </c>
      <c r="G849" s="106">
        <v>0</v>
      </c>
      <c r="H849" s="106">
        <v>203466</v>
      </c>
      <c r="I849" s="106">
        <v>-95748</v>
      </c>
      <c r="J849" s="106">
        <v>107718</v>
      </c>
      <c r="K849" s="106">
        <v>0</v>
      </c>
      <c r="L849" s="106">
        <v>0</v>
      </c>
      <c r="M849" s="106">
        <v>0</v>
      </c>
      <c r="N849" s="106">
        <v>107718</v>
      </c>
    </row>
    <row r="850" spans="1:14" ht="31" outlineLevel="2" x14ac:dyDescent="0.35">
      <c r="A850" s="77" t="s">
        <v>543</v>
      </c>
      <c r="B850" s="108" t="s">
        <v>218</v>
      </c>
      <c r="C850" s="106">
        <v>421298</v>
      </c>
      <c r="D850" s="106">
        <v>-177965</v>
      </c>
      <c r="E850" s="106">
        <v>0</v>
      </c>
      <c r="F850" s="106">
        <v>0</v>
      </c>
      <c r="G850" s="106">
        <v>0</v>
      </c>
      <c r="H850" s="106">
        <v>243333</v>
      </c>
      <c r="I850" s="106">
        <v>-139031</v>
      </c>
      <c r="J850" s="106">
        <v>104302</v>
      </c>
      <c r="K850" s="106">
        <v>0</v>
      </c>
      <c r="L850" s="106">
        <v>0</v>
      </c>
      <c r="M850" s="106">
        <v>0</v>
      </c>
      <c r="N850" s="106">
        <v>104302</v>
      </c>
    </row>
    <row r="851" spans="1:14" ht="16" outlineLevel="2" thickBot="1" x14ac:dyDescent="0.4">
      <c r="A851" s="105" t="s">
        <v>422</v>
      </c>
      <c r="B851" s="79" t="s">
        <v>12</v>
      </c>
      <c r="C851" s="103">
        <f>SUBTOTAL(109,Program368[(C)
Program
Costs])</f>
        <v>1064410</v>
      </c>
      <c r="D851" s="103">
        <f>SUBTOTAL(109,Program368[(D)
Prior Period Adjustments])</f>
        <v>-533364</v>
      </c>
      <c r="E851" s="103">
        <f>SUBTOTAL(109,Program368[(E)
Current Period Desk 
Reviews])</f>
        <v>0</v>
      </c>
      <c r="F851" s="103">
        <f>SUBTOTAL(109,Program368[(F)
Current Period 
Final 
Audits])</f>
        <v>0</v>
      </c>
      <c r="G851" s="103">
        <f>SUBTOTAL(109,Program368[(G)
Current Period 
Other Adjustments])</f>
        <v>0</v>
      </c>
      <c r="H851" s="103">
        <f>SUBTOTAL(109,Program368[(H)
Net Program Costs
Sum (C through G)])</f>
        <v>531046</v>
      </c>
      <c r="I851" s="103">
        <f>SUBTOTAL(109,Program368[(I)
Payments
 and Offsets])</f>
        <v>-247366</v>
      </c>
      <c r="J851" s="103">
        <f>SUBTOTAL(109,Program368[(J)
Accounts Payable Balance
(H + I)])</f>
        <v>283680</v>
      </c>
      <c r="K851" s="103">
        <f>SUBTOTAL(109,Program368[(K)
Established 
Accounts Receivable])</f>
        <v>0</v>
      </c>
      <c r="L851" s="103">
        <f>SUBTOTAL(109,Program368[(L)
Recovered
 Accounts Receivable])</f>
        <v>0</v>
      </c>
      <c r="M851" s="103">
        <f>SUBTOTAL(109,Program368[(M)
Accounts Receivable Balance
(K + L)])</f>
        <v>0</v>
      </c>
      <c r="N851" s="103">
        <f>SUBTOTAL(109,Program368[(N)
Net Balance
(J minus M)])</f>
        <v>283680</v>
      </c>
    </row>
    <row r="852" spans="1:14" outlineLevel="2" x14ac:dyDescent="0.35">
      <c r="A852" s="116" t="s">
        <v>33</v>
      </c>
      <c r="B852" s="115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</row>
    <row r="853" spans="1:14" ht="77.5" outlineLevel="2" x14ac:dyDescent="0.35">
      <c r="A853" s="113" t="s">
        <v>185</v>
      </c>
      <c r="B853" s="112" t="s">
        <v>184</v>
      </c>
      <c r="C853" s="111" t="s">
        <v>183</v>
      </c>
      <c r="D853" s="111" t="s">
        <v>182</v>
      </c>
      <c r="E853" s="111" t="s">
        <v>181</v>
      </c>
      <c r="F853" s="111" t="s">
        <v>180</v>
      </c>
      <c r="G853" s="111" t="s">
        <v>179</v>
      </c>
      <c r="H853" s="110" t="s">
        <v>674</v>
      </c>
      <c r="I853" s="110" t="s">
        <v>178</v>
      </c>
      <c r="J853" s="110" t="s">
        <v>177</v>
      </c>
      <c r="K853" s="111" t="s">
        <v>176</v>
      </c>
      <c r="L853" s="110" t="s">
        <v>175</v>
      </c>
      <c r="M853" s="110" t="s">
        <v>174</v>
      </c>
      <c r="N853" s="109" t="s">
        <v>173</v>
      </c>
    </row>
    <row r="854" spans="1:14" outlineLevel="2" x14ac:dyDescent="0.35">
      <c r="A854" s="108" t="s">
        <v>542</v>
      </c>
      <c r="B854" s="108" t="s">
        <v>215</v>
      </c>
      <c r="C854" s="106">
        <v>5721</v>
      </c>
      <c r="D854" s="106">
        <v>0</v>
      </c>
      <c r="E854" s="106">
        <v>-1045</v>
      </c>
      <c r="F854" s="106">
        <v>0</v>
      </c>
      <c r="G854" s="106">
        <v>0</v>
      </c>
      <c r="H854" s="106">
        <v>4676</v>
      </c>
      <c r="I854" s="106">
        <v>0</v>
      </c>
      <c r="J854" s="106">
        <v>4676</v>
      </c>
      <c r="K854" s="106">
        <v>0</v>
      </c>
      <c r="L854" s="106">
        <v>0</v>
      </c>
      <c r="M854" s="106">
        <v>0</v>
      </c>
      <c r="N854" s="106">
        <v>4676</v>
      </c>
    </row>
    <row r="855" spans="1:14" outlineLevel="2" x14ac:dyDescent="0.35">
      <c r="A855" s="108" t="s">
        <v>542</v>
      </c>
      <c r="B855" s="108" t="s">
        <v>214</v>
      </c>
      <c r="C855" s="106">
        <v>15235</v>
      </c>
      <c r="D855" s="106">
        <v>0</v>
      </c>
      <c r="E855" s="106">
        <v>0</v>
      </c>
      <c r="F855" s="106">
        <v>0</v>
      </c>
      <c r="G855" s="106">
        <v>0</v>
      </c>
      <c r="H855" s="106">
        <v>15235</v>
      </c>
      <c r="I855" s="106">
        <v>-1000</v>
      </c>
      <c r="J855" s="106">
        <v>14235</v>
      </c>
      <c r="K855" s="106">
        <v>0</v>
      </c>
      <c r="L855" s="106">
        <v>0</v>
      </c>
      <c r="M855" s="106">
        <v>0</v>
      </c>
      <c r="N855" s="106">
        <v>14235</v>
      </c>
    </row>
    <row r="856" spans="1:14" outlineLevel="2" x14ac:dyDescent="0.35">
      <c r="A856" s="108" t="s">
        <v>542</v>
      </c>
      <c r="B856" s="108" t="s">
        <v>212</v>
      </c>
      <c r="C856" s="106">
        <v>16772</v>
      </c>
      <c r="D856" s="106">
        <v>0</v>
      </c>
      <c r="E856" s="106">
        <v>0</v>
      </c>
      <c r="F856" s="106">
        <v>0</v>
      </c>
      <c r="G856" s="106">
        <v>0</v>
      </c>
      <c r="H856" s="106">
        <v>16772</v>
      </c>
      <c r="I856" s="106">
        <v>-1000</v>
      </c>
      <c r="J856" s="106">
        <v>15772</v>
      </c>
      <c r="K856" s="106">
        <v>0</v>
      </c>
      <c r="L856" s="106">
        <v>0</v>
      </c>
      <c r="M856" s="106">
        <v>0</v>
      </c>
      <c r="N856" s="106">
        <v>15772</v>
      </c>
    </row>
    <row r="857" spans="1:14" outlineLevel="2" x14ac:dyDescent="0.35">
      <c r="A857" s="108" t="s">
        <v>542</v>
      </c>
      <c r="B857" s="108" t="s">
        <v>220</v>
      </c>
      <c r="C857" s="106">
        <v>17459</v>
      </c>
      <c r="D857" s="106">
        <v>-1292</v>
      </c>
      <c r="E857" s="106">
        <v>0</v>
      </c>
      <c r="F857" s="106">
        <v>0</v>
      </c>
      <c r="G857" s="106">
        <v>0</v>
      </c>
      <c r="H857" s="106">
        <v>16167</v>
      </c>
      <c r="I857" s="106">
        <v>-7325</v>
      </c>
      <c r="J857" s="106">
        <v>8842</v>
      </c>
      <c r="K857" s="106">
        <v>0</v>
      </c>
      <c r="L857" s="106">
        <v>0</v>
      </c>
      <c r="M857" s="106">
        <v>0</v>
      </c>
      <c r="N857" s="106">
        <v>8842</v>
      </c>
    </row>
    <row r="858" spans="1:14" outlineLevel="2" x14ac:dyDescent="0.35">
      <c r="A858" s="108" t="s">
        <v>542</v>
      </c>
      <c r="B858" s="108" t="s">
        <v>219</v>
      </c>
      <c r="C858" s="106">
        <v>2667075</v>
      </c>
      <c r="D858" s="106">
        <v>-4061</v>
      </c>
      <c r="E858" s="106">
        <v>0</v>
      </c>
      <c r="F858" s="106">
        <v>0</v>
      </c>
      <c r="G858" s="106">
        <v>0</v>
      </c>
      <c r="H858" s="106">
        <v>2663014</v>
      </c>
      <c r="I858" s="106">
        <v>-2175080</v>
      </c>
      <c r="J858" s="106">
        <v>487934</v>
      </c>
      <c r="K858" s="106">
        <v>0</v>
      </c>
      <c r="L858" s="106">
        <v>0</v>
      </c>
      <c r="M858" s="106">
        <v>0</v>
      </c>
      <c r="N858" s="106">
        <v>487934</v>
      </c>
    </row>
    <row r="859" spans="1:14" outlineLevel="2" x14ac:dyDescent="0.35">
      <c r="A859" s="108" t="s">
        <v>542</v>
      </c>
      <c r="B859" s="108" t="s">
        <v>218</v>
      </c>
      <c r="C859" s="106">
        <v>1214204</v>
      </c>
      <c r="D859" s="106">
        <v>-9613</v>
      </c>
      <c r="E859" s="106">
        <v>0</v>
      </c>
      <c r="F859" s="106">
        <v>0</v>
      </c>
      <c r="G859" s="106">
        <v>0</v>
      </c>
      <c r="H859" s="106">
        <v>1204591</v>
      </c>
      <c r="I859" s="106">
        <v>-971288</v>
      </c>
      <c r="J859" s="106">
        <v>233303</v>
      </c>
      <c r="K859" s="106">
        <v>0</v>
      </c>
      <c r="L859" s="106">
        <v>0</v>
      </c>
      <c r="M859" s="106">
        <v>0</v>
      </c>
      <c r="N859" s="106">
        <v>233303</v>
      </c>
    </row>
    <row r="860" spans="1:14" outlineLevel="2" x14ac:dyDescent="0.35">
      <c r="A860" s="108" t="s">
        <v>542</v>
      </c>
      <c r="B860" s="108" t="s">
        <v>209</v>
      </c>
      <c r="C860" s="106">
        <v>1852328</v>
      </c>
      <c r="D860" s="106">
        <v>-18039</v>
      </c>
      <c r="E860" s="106">
        <v>0</v>
      </c>
      <c r="F860" s="106">
        <v>0</v>
      </c>
      <c r="G860" s="106">
        <v>0</v>
      </c>
      <c r="H860" s="106">
        <v>1834289</v>
      </c>
      <c r="I860" s="106">
        <v>-1568232</v>
      </c>
      <c r="J860" s="106">
        <v>266057</v>
      </c>
      <c r="K860" s="106">
        <v>0</v>
      </c>
      <c r="L860" s="106">
        <v>0</v>
      </c>
      <c r="M860" s="106">
        <v>0</v>
      </c>
      <c r="N860" s="106">
        <v>266057</v>
      </c>
    </row>
    <row r="861" spans="1:14" outlineLevel="2" x14ac:dyDescent="0.35">
      <c r="A861" s="108" t="s">
        <v>542</v>
      </c>
      <c r="B861" s="108" t="s">
        <v>208</v>
      </c>
      <c r="C861" s="106">
        <v>7193698</v>
      </c>
      <c r="D861" s="106">
        <v>-59183</v>
      </c>
      <c r="E861" s="106">
        <v>0</v>
      </c>
      <c r="F861" s="106">
        <v>0</v>
      </c>
      <c r="G861" s="106">
        <v>0</v>
      </c>
      <c r="H861" s="106">
        <v>7134515</v>
      </c>
      <c r="I861" s="106">
        <v>-5397077</v>
      </c>
      <c r="J861" s="106">
        <v>1737438</v>
      </c>
      <c r="K861" s="106">
        <v>0</v>
      </c>
      <c r="L861" s="106">
        <v>0</v>
      </c>
      <c r="M861" s="106">
        <v>0</v>
      </c>
      <c r="N861" s="106">
        <v>1737438</v>
      </c>
    </row>
    <row r="862" spans="1:14" ht="16" outlineLevel="2" thickBot="1" x14ac:dyDescent="0.4">
      <c r="A862" s="105" t="s">
        <v>421</v>
      </c>
      <c r="B862" s="79" t="s">
        <v>12</v>
      </c>
      <c r="C862" s="103">
        <f>SUBTOTAL(109,Program357[(C)
Program
Costs])</f>
        <v>12982492</v>
      </c>
      <c r="D862" s="103">
        <f>SUBTOTAL(109,Program357[(D)
Prior Period Adjustments])</f>
        <v>-92188</v>
      </c>
      <c r="E862" s="103">
        <f>SUBTOTAL(109,Program357[(E)
Current Period Desk 
Reviews])</f>
        <v>-1045</v>
      </c>
      <c r="F862" s="103">
        <f>SUBTOTAL(109,Program357[(F)
Current Period 
Final 
Audits])</f>
        <v>0</v>
      </c>
      <c r="G862" s="103">
        <f>SUBTOTAL(109,Program357[(G)
Current Period 
Other Adjustments])</f>
        <v>0</v>
      </c>
      <c r="H862" s="103">
        <f>SUBTOTAL(109,Program357[(H)
Net Program Costs
Sum (C through G)])</f>
        <v>12889259</v>
      </c>
      <c r="I862" s="103">
        <f>SUBTOTAL(109,Program357[(I)
Payments
 and Offsets])</f>
        <v>-10121002</v>
      </c>
      <c r="J862" s="103">
        <f>SUBTOTAL(109,Program357[(J)
Accounts Payable Balance
(H + I)])</f>
        <v>2768257</v>
      </c>
      <c r="K862" s="103">
        <f>SUBTOTAL(109,Program357[(K)
Established 
Accounts Receivable])</f>
        <v>0</v>
      </c>
      <c r="L862" s="103">
        <f>SUBTOTAL(109,Program357[(L)
Recovered
 Accounts Receivable])</f>
        <v>0</v>
      </c>
      <c r="M862" s="103">
        <f>SUBTOTAL(109,Program357[(M)
Accounts Receivable Balance
(K + L)])</f>
        <v>0</v>
      </c>
      <c r="N862" s="103">
        <f>SUBTOTAL(109,Program357[(N)
Net Balance
(J minus M)])</f>
        <v>2768257</v>
      </c>
    </row>
    <row r="863" spans="1:14" outlineLevel="2" x14ac:dyDescent="0.35">
      <c r="A863" s="116" t="s">
        <v>33</v>
      </c>
      <c r="B863" s="115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</row>
    <row r="864" spans="1:14" ht="77.5" outlineLevel="2" x14ac:dyDescent="0.35">
      <c r="A864" s="113" t="s">
        <v>185</v>
      </c>
      <c r="B864" s="112" t="s">
        <v>184</v>
      </c>
      <c r="C864" s="111" t="s">
        <v>183</v>
      </c>
      <c r="D864" s="111" t="s">
        <v>182</v>
      </c>
      <c r="E864" s="111" t="s">
        <v>181</v>
      </c>
      <c r="F864" s="111" t="s">
        <v>180</v>
      </c>
      <c r="G864" s="111" t="s">
        <v>179</v>
      </c>
      <c r="H864" s="110" t="s">
        <v>674</v>
      </c>
      <c r="I864" s="110" t="s">
        <v>178</v>
      </c>
      <c r="J864" s="110" t="s">
        <v>177</v>
      </c>
      <c r="K864" s="111" t="s">
        <v>176</v>
      </c>
      <c r="L864" s="110" t="s">
        <v>175</v>
      </c>
      <c r="M864" s="110" t="s">
        <v>174</v>
      </c>
      <c r="N864" s="109" t="s">
        <v>173</v>
      </c>
    </row>
    <row r="865" spans="1:14" outlineLevel="2" x14ac:dyDescent="0.35">
      <c r="A865" s="108" t="s">
        <v>541</v>
      </c>
      <c r="B865" s="108" t="s">
        <v>215</v>
      </c>
      <c r="C865" s="106">
        <v>9295</v>
      </c>
      <c r="D865" s="106">
        <v>0</v>
      </c>
      <c r="E865" s="106">
        <v>0</v>
      </c>
      <c r="F865" s="106">
        <v>0</v>
      </c>
      <c r="G865" s="106">
        <v>0</v>
      </c>
      <c r="H865" s="106">
        <v>9295</v>
      </c>
      <c r="I865" s="106">
        <v>0</v>
      </c>
      <c r="J865" s="106">
        <v>9295</v>
      </c>
      <c r="K865" s="106">
        <v>0</v>
      </c>
      <c r="L865" s="106">
        <v>0</v>
      </c>
      <c r="M865" s="106">
        <v>0</v>
      </c>
      <c r="N865" s="106">
        <v>9295</v>
      </c>
    </row>
    <row r="866" spans="1:14" outlineLevel="1" x14ac:dyDescent="0.35">
      <c r="A866" s="108" t="s">
        <v>541</v>
      </c>
      <c r="B866" s="108" t="s">
        <v>214</v>
      </c>
      <c r="C866" s="106">
        <v>18167</v>
      </c>
      <c r="D866" s="106">
        <v>321</v>
      </c>
      <c r="E866" s="106">
        <v>0</v>
      </c>
      <c r="F866" s="106">
        <v>0</v>
      </c>
      <c r="G866" s="106">
        <v>0</v>
      </c>
      <c r="H866" s="106">
        <v>18488</v>
      </c>
      <c r="I866" s="106">
        <v>-1000</v>
      </c>
      <c r="J866" s="106">
        <v>17488</v>
      </c>
      <c r="K866" s="106">
        <v>0</v>
      </c>
      <c r="L866" s="106">
        <v>0</v>
      </c>
      <c r="M866" s="106">
        <v>0</v>
      </c>
      <c r="N866" s="106">
        <v>17488</v>
      </c>
    </row>
    <row r="867" spans="1:14" ht="15.65" customHeight="1" outlineLevel="1" x14ac:dyDescent="0.35">
      <c r="A867" s="108" t="s">
        <v>541</v>
      </c>
      <c r="B867" s="108" t="s">
        <v>212</v>
      </c>
      <c r="C867" s="106">
        <v>23158</v>
      </c>
      <c r="D867" s="106">
        <v>366</v>
      </c>
      <c r="E867" s="106">
        <v>0</v>
      </c>
      <c r="F867" s="106">
        <v>0</v>
      </c>
      <c r="G867" s="106">
        <v>0</v>
      </c>
      <c r="H867" s="106">
        <v>23524</v>
      </c>
      <c r="I867" s="106">
        <v>-5404</v>
      </c>
      <c r="J867" s="106">
        <v>18120</v>
      </c>
      <c r="K867" s="106">
        <v>0</v>
      </c>
      <c r="L867" s="106">
        <v>0</v>
      </c>
      <c r="M867" s="106">
        <v>0</v>
      </c>
      <c r="N867" s="106">
        <v>18120</v>
      </c>
    </row>
    <row r="868" spans="1:14" ht="15" customHeight="1" outlineLevel="1" x14ac:dyDescent="0.35">
      <c r="A868" s="108" t="s">
        <v>541</v>
      </c>
      <c r="B868" s="108" t="s">
        <v>220</v>
      </c>
      <c r="C868" s="106">
        <v>33342</v>
      </c>
      <c r="D868" s="106">
        <v>81</v>
      </c>
      <c r="E868" s="106">
        <v>0</v>
      </c>
      <c r="F868" s="106">
        <v>0</v>
      </c>
      <c r="G868" s="106">
        <v>0</v>
      </c>
      <c r="H868" s="106">
        <v>33423</v>
      </c>
      <c r="I868" s="106">
        <v>-6448</v>
      </c>
      <c r="J868" s="106">
        <v>26975</v>
      </c>
      <c r="K868" s="106">
        <v>0</v>
      </c>
      <c r="L868" s="106">
        <v>0</v>
      </c>
      <c r="M868" s="106">
        <v>0</v>
      </c>
      <c r="N868" s="106">
        <v>26975</v>
      </c>
    </row>
    <row r="869" spans="1:14" outlineLevel="2" x14ac:dyDescent="0.35">
      <c r="A869" s="108" t="s">
        <v>541</v>
      </c>
      <c r="B869" s="108" t="s">
        <v>219</v>
      </c>
      <c r="C869" s="106">
        <v>4825620</v>
      </c>
      <c r="D869" s="106">
        <v>-4597889</v>
      </c>
      <c r="E869" s="106">
        <v>0</v>
      </c>
      <c r="F869" s="106">
        <v>0</v>
      </c>
      <c r="G869" s="106">
        <v>0</v>
      </c>
      <c r="H869" s="106">
        <v>227731</v>
      </c>
      <c r="I869" s="106">
        <v>-87827</v>
      </c>
      <c r="J869" s="106">
        <v>139904</v>
      </c>
      <c r="K869" s="106">
        <v>0</v>
      </c>
      <c r="L869" s="106">
        <v>0</v>
      </c>
      <c r="M869" s="106">
        <v>0</v>
      </c>
      <c r="N869" s="106">
        <v>139904</v>
      </c>
    </row>
    <row r="870" spans="1:14" outlineLevel="2" x14ac:dyDescent="0.35">
      <c r="A870" s="108" t="s">
        <v>541</v>
      </c>
      <c r="B870" s="108" t="s">
        <v>218</v>
      </c>
      <c r="C870" s="106">
        <v>4681527</v>
      </c>
      <c r="D870" s="106">
        <v>-4414890</v>
      </c>
      <c r="E870" s="106">
        <v>0</v>
      </c>
      <c r="F870" s="106">
        <v>0</v>
      </c>
      <c r="G870" s="106">
        <v>0</v>
      </c>
      <c r="H870" s="106">
        <v>266637</v>
      </c>
      <c r="I870" s="106">
        <v>-137331</v>
      </c>
      <c r="J870" s="106">
        <v>129306</v>
      </c>
      <c r="K870" s="106">
        <v>0</v>
      </c>
      <c r="L870" s="106">
        <v>0</v>
      </c>
      <c r="M870" s="106">
        <v>0</v>
      </c>
      <c r="N870" s="106">
        <v>129306</v>
      </c>
    </row>
    <row r="871" spans="1:14" outlineLevel="2" x14ac:dyDescent="0.35">
      <c r="A871" s="108" t="s">
        <v>541</v>
      </c>
      <c r="B871" s="108" t="s">
        <v>209</v>
      </c>
      <c r="C871" s="106">
        <v>4589134</v>
      </c>
      <c r="D871" s="106">
        <v>-3834933</v>
      </c>
      <c r="E871" s="106">
        <v>0</v>
      </c>
      <c r="F871" s="106">
        <v>0</v>
      </c>
      <c r="G871" s="106">
        <v>0</v>
      </c>
      <c r="H871" s="106">
        <v>754201</v>
      </c>
      <c r="I871" s="106">
        <v>-594151</v>
      </c>
      <c r="J871" s="106">
        <v>160050</v>
      </c>
      <c r="K871" s="106">
        <v>0</v>
      </c>
      <c r="L871" s="106">
        <v>0</v>
      </c>
      <c r="M871" s="106">
        <v>0</v>
      </c>
      <c r="N871" s="106">
        <v>160050</v>
      </c>
    </row>
    <row r="872" spans="1:14" outlineLevel="2" x14ac:dyDescent="0.35">
      <c r="A872" s="108" t="s">
        <v>541</v>
      </c>
      <c r="B872" s="108" t="s">
        <v>208</v>
      </c>
      <c r="C872" s="106">
        <v>4552870</v>
      </c>
      <c r="D872" s="106">
        <v>4538</v>
      </c>
      <c r="E872" s="106">
        <v>0</v>
      </c>
      <c r="F872" s="106">
        <v>0</v>
      </c>
      <c r="G872" s="106">
        <v>0</v>
      </c>
      <c r="H872" s="106">
        <v>4557408</v>
      </c>
      <c r="I872" s="106">
        <v>-4089648</v>
      </c>
      <c r="J872" s="106">
        <v>467760</v>
      </c>
      <c r="K872" s="106">
        <v>0</v>
      </c>
      <c r="L872" s="106">
        <v>0</v>
      </c>
      <c r="M872" s="106">
        <v>0</v>
      </c>
      <c r="N872" s="106">
        <v>467760</v>
      </c>
    </row>
    <row r="873" spans="1:14" outlineLevel="2" x14ac:dyDescent="0.35">
      <c r="A873" s="108" t="s">
        <v>541</v>
      </c>
      <c r="B873" s="108" t="s">
        <v>206</v>
      </c>
      <c r="C873" s="106">
        <v>4523685</v>
      </c>
      <c r="D873" s="106">
        <v>0</v>
      </c>
      <c r="E873" s="106">
        <v>0</v>
      </c>
      <c r="F873" s="106">
        <v>0</v>
      </c>
      <c r="G873" s="106">
        <v>0</v>
      </c>
      <c r="H873" s="106">
        <v>4523685</v>
      </c>
      <c r="I873" s="106">
        <v>-4169933</v>
      </c>
      <c r="J873" s="106">
        <v>353752</v>
      </c>
      <c r="K873" s="106">
        <v>0</v>
      </c>
      <c r="L873" s="106">
        <v>0</v>
      </c>
      <c r="M873" s="106">
        <v>0</v>
      </c>
      <c r="N873" s="106">
        <v>353752</v>
      </c>
    </row>
    <row r="874" spans="1:14" outlineLevel="2" x14ac:dyDescent="0.35">
      <c r="A874" s="108" t="s">
        <v>541</v>
      </c>
      <c r="B874" s="108" t="s">
        <v>205</v>
      </c>
      <c r="C874" s="106">
        <v>4624513</v>
      </c>
      <c r="D874" s="106">
        <v>46940</v>
      </c>
      <c r="E874" s="106">
        <v>0</v>
      </c>
      <c r="F874" s="106">
        <v>0</v>
      </c>
      <c r="G874" s="106">
        <v>0</v>
      </c>
      <c r="H874" s="106">
        <v>4671453</v>
      </c>
      <c r="I874" s="106">
        <v>-4619165</v>
      </c>
      <c r="J874" s="106">
        <v>52288</v>
      </c>
      <c r="K874" s="106">
        <v>0</v>
      </c>
      <c r="L874" s="106">
        <v>0</v>
      </c>
      <c r="M874" s="106">
        <v>0</v>
      </c>
      <c r="N874" s="106">
        <v>52288</v>
      </c>
    </row>
    <row r="875" spans="1:14" outlineLevel="2" x14ac:dyDescent="0.35">
      <c r="A875" s="108" t="s">
        <v>541</v>
      </c>
      <c r="B875" s="108" t="s">
        <v>204</v>
      </c>
      <c r="C875" s="106">
        <v>4587289</v>
      </c>
      <c r="D875" s="106">
        <v>78855</v>
      </c>
      <c r="E875" s="106">
        <v>0</v>
      </c>
      <c r="F875" s="106">
        <v>0</v>
      </c>
      <c r="G875" s="106">
        <v>0</v>
      </c>
      <c r="H875" s="106">
        <v>4666144</v>
      </c>
      <c r="I875" s="106">
        <v>-4664857</v>
      </c>
      <c r="J875" s="106">
        <v>1287</v>
      </c>
      <c r="K875" s="106">
        <v>15736</v>
      </c>
      <c r="L875" s="106">
        <v>-1126</v>
      </c>
      <c r="M875" s="106">
        <v>14610</v>
      </c>
      <c r="N875" s="106">
        <v>-13323</v>
      </c>
    </row>
    <row r="876" spans="1:14" outlineLevel="2" x14ac:dyDescent="0.35">
      <c r="A876" s="108" t="s">
        <v>541</v>
      </c>
      <c r="B876" s="108" t="s">
        <v>203</v>
      </c>
      <c r="C876" s="106">
        <v>4331771</v>
      </c>
      <c r="D876" s="106">
        <v>34178</v>
      </c>
      <c r="E876" s="106">
        <v>0</v>
      </c>
      <c r="F876" s="106">
        <v>0</v>
      </c>
      <c r="G876" s="106">
        <v>0</v>
      </c>
      <c r="H876" s="106">
        <v>4365949</v>
      </c>
      <c r="I876" s="106">
        <v>-4220239</v>
      </c>
      <c r="J876" s="106">
        <v>145710</v>
      </c>
      <c r="K876" s="106">
        <v>2</v>
      </c>
      <c r="L876" s="106">
        <v>0</v>
      </c>
      <c r="M876" s="106">
        <v>2</v>
      </c>
      <c r="N876" s="106">
        <v>145708</v>
      </c>
    </row>
    <row r="877" spans="1:14" outlineLevel="2" x14ac:dyDescent="0.35">
      <c r="A877" s="108" t="s">
        <v>541</v>
      </c>
      <c r="B877" s="108" t="s">
        <v>202</v>
      </c>
      <c r="C877" s="106">
        <v>4109726</v>
      </c>
      <c r="D877" s="106">
        <v>41781</v>
      </c>
      <c r="E877" s="106">
        <v>0</v>
      </c>
      <c r="F877" s="106">
        <v>0</v>
      </c>
      <c r="G877" s="106">
        <v>0</v>
      </c>
      <c r="H877" s="106">
        <v>4151507</v>
      </c>
      <c r="I877" s="106">
        <v>-4077222</v>
      </c>
      <c r="J877" s="106">
        <v>74285</v>
      </c>
      <c r="K877" s="106">
        <v>1352</v>
      </c>
      <c r="L877" s="106">
        <v>-912</v>
      </c>
      <c r="M877" s="106">
        <v>440</v>
      </c>
      <c r="N877" s="106">
        <v>73845</v>
      </c>
    </row>
    <row r="878" spans="1:14" outlineLevel="2" x14ac:dyDescent="0.35">
      <c r="A878" s="108" t="s">
        <v>541</v>
      </c>
      <c r="B878" s="108" t="s">
        <v>201</v>
      </c>
      <c r="C878" s="106">
        <v>3932249</v>
      </c>
      <c r="D878" s="106">
        <v>8317</v>
      </c>
      <c r="E878" s="106">
        <v>0</v>
      </c>
      <c r="F878" s="106">
        <v>0</v>
      </c>
      <c r="G878" s="106">
        <v>0</v>
      </c>
      <c r="H878" s="106">
        <v>3940566</v>
      </c>
      <c r="I878" s="106">
        <v>-3912544</v>
      </c>
      <c r="J878" s="106">
        <v>28022</v>
      </c>
      <c r="K878" s="106">
        <v>0</v>
      </c>
      <c r="L878" s="106">
        <v>0</v>
      </c>
      <c r="M878" s="106">
        <v>0</v>
      </c>
      <c r="N878" s="106">
        <v>28022</v>
      </c>
    </row>
    <row r="879" spans="1:14" outlineLevel="2" x14ac:dyDescent="0.35">
      <c r="A879" s="108" t="s">
        <v>541</v>
      </c>
      <c r="B879" s="108" t="s">
        <v>200</v>
      </c>
      <c r="C879" s="106">
        <v>3770599</v>
      </c>
      <c r="D879" s="106">
        <v>-20095</v>
      </c>
      <c r="E879" s="106">
        <v>0</v>
      </c>
      <c r="F879" s="106">
        <v>0</v>
      </c>
      <c r="G879" s="106">
        <v>0</v>
      </c>
      <c r="H879" s="106">
        <v>3750504</v>
      </c>
      <c r="I879" s="106">
        <v>-3750504</v>
      </c>
      <c r="J879" s="106">
        <v>0</v>
      </c>
      <c r="K879" s="106">
        <v>7395</v>
      </c>
      <c r="L879" s="106">
        <v>-5028</v>
      </c>
      <c r="M879" s="106">
        <v>2367</v>
      </c>
      <c r="N879" s="106">
        <v>-2367</v>
      </c>
    </row>
    <row r="880" spans="1:14" outlineLevel="2" x14ac:dyDescent="0.35">
      <c r="A880" s="108" t="s">
        <v>541</v>
      </c>
      <c r="B880" s="108" t="s">
        <v>199</v>
      </c>
      <c r="C880" s="106">
        <v>3704740</v>
      </c>
      <c r="D880" s="106">
        <v>7065</v>
      </c>
      <c r="E880" s="106">
        <v>0</v>
      </c>
      <c r="F880" s="106">
        <v>0</v>
      </c>
      <c r="G880" s="106">
        <v>0</v>
      </c>
      <c r="H880" s="106">
        <v>3711805</v>
      </c>
      <c r="I880" s="106">
        <v>-3711805</v>
      </c>
      <c r="J880" s="106">
        <v>0</v>
      </c>
      <c r="K880" s="106">
        <v>3393</v>
      </c>
      <c r="L880" s="106">
        <v>-3393</v>
      </c>
      <c r="M880" s="106">
        <v>0</v>
      </c>
      <c r="N880" s="106">
        <v>0</v>
      </c>
    </row>
    <row r="881" spans="1:14" outlineLevel="1" x14ac:dyDescent="0.35">
      <c r="A881" s="108" t="s">
        <v>541</v>
      </c>
      <c r="B881" s="108" t="s">
        <v>198</v>
      </c>
      <c r="C881" s="106">
        <v>3626223</v>
      </c>
      <c r="D881" s="106">
        <v>-65200</v>
      </c>
      <c r="E881" s="106">
        <v>0</v>
      </c>
      <c r="F881" s="106">
        <v>0</v>
      </c>
      <c r="G881" s="106">
        <v>0</v>
      </c>
      <c r="H881" s="106">
        <v>3561023</v>
      </c>
      <c r="I881" s="106">
        <v>-3561023</v>
      </c>
      <c r="J881" s="106">
        <v>0</v>
      </c>
      <c r="K881" s="106">
        <v>6886</v>
      </c>
      <c r="L881" s="106">
        <v>-6886</v>
      </c>
      <c r="M881" s="106">
        <v>0</v>
      </c>
      <c r="N881" s="106">
        <v>0</v>
      </c>
    </row>
    <row r="882" spans="1:14" ht="15.65" customHeight="1" outlineLevel="1" x14ac:dyDescent="0.35">
      <c r="A882" s="108" t="s">
        <v>541</v>
      </c>
      <c r="B882" s="108" t="s">
        <v>197</v>
      </c>
      <c r="C882" s="106">
        <v>3601253</v>
      </c>
      <c r="D882" s="106">
        <v>45137</v>
      </c>
      <c r="E882" s="106">
        <v>0</v>
      </c>
      <c r="F882" s="106">
        <v>0</v>
      </c>
      <c r="G882" s="106">
        <v>0</v>
      </c>
      <c r="H882" s="106">
        <v>3646390</v>
      </c>
      <c r="I882" s="106">
        <v>-3646390</v>
      </c>
      <c r="J882" s="106">
        <v>0</v>
      </c>
      <c r="K882" s="106">
        <v>6654</v>
      </c>
      <c r="L882" s="106">
        <v>-6654</v>
      </c>
      <c r="M882" s="106">
        <v>0</v>
      </c>
      <c r="N882" s="106">
        <v>0</v>
      </c>
    </row>
    <row r="883" spans="1:14" ht="15" customHeight="1" outlineLevel="1" x14ac:dyDescent="0.35">
      <c r="A883" s="108" t="s">
        <v>541</v>
      </c>
      <c r="B883" s="108" t="s">
        <v>196</v>
      </c>
      <c r="C883" s="106">
        <v>3405045</v>
      </c>
      <c r="D883" s="106">
        <v>-8237</v>
      </c>
      <c r="E883" s="106">
        <v>0</v>
      </c>
      <c r="F883" s="106">
        <v>0</v>
      </c>
      <c r="G883" s="106">
        <v>0</v>
      </c>
      <c r="H883" s="106">
        <v>3396808</v>
      </c>
      <c r="I883" s="106">
        <v>-3396808</v>
      </c>
      <c r="J883" s="106">
        <v>0</v>
      </c>
      <c r="K883" s="106">
        <v>111844</v>
      </c>
      <c r="L883" s="106">
        <v>-111844</v>
      </c>
      <c r="M883" s="106">
        <v>0</v>
      </c>
      <c r="N883" s="106">
        <v>0</v>
      </c>
    </row>
    <row r="884" spans="1:14" outlineLevel="2" x14ac:dyDescent="0.35">
      <c r="A884" s="108" t="s">
        <v>541</v>
      </c>
      <c r="B884" s="108" t="s">
        <v>195</v>
      </c>
      <c r="C884" s="106">
        <v>3327127</v>
      </c>
      <c r="D884" s="106">
        <v>-30529</v>
      </c>
      <c r="E884" s="106">
        <v>0</v>
      </c>
      <c r="F884" s="106">
        <v>0</v>
      </c>
      <c r="G884" s="106">
        <v>0</v>
      </c>
      <c r="H884" s="106">
        <v>3296598</v>
      </c>
      <c r="I884" s="106">
        <v>-3296598</v>
      </c>
      <c r="J884" s="106">
        <v>0</v>
      </c>
      <c r="K884" s="106">
        <v>28395</v>
      </c>
      <c r="L884" s="106">
        <v>-28395</v>
      </c>
      <c r="M884" s="106">
        <v>0</v>
      </c>
      <c r="N884" s="106">
        <v>0</v>
      </c>
    </row>
    <row r="885" spans="1:14" outlineLevel="2" x14ac:dyDescent="0.35">
      <c r="A885" s="108" t="s">
        <v>541</v>
      </c>
      <c r="B885" s="108" t="s">
        <v>194</v>
      </c>
      <c r="C885" s="106">
        <v>3358704</v>
      </c>
      <c r="D885" s="106">
        <v>-21684</v>
      </c>
      <c r="E885" s="106">
        <v>0</v>
      </c>
      <c r="F885" s="106">
        <v>0</v>
      </c>
      <c r="G885" s="106">
        <v>0</v>
      </c>
      <c r="H885" s="106">
        <v>3337020</v>
      </c>
      <c r="I885" s="106">
        <v>-3337020</v>
      </c>
      <c r="J885" s="106">
        <v>0</v>
      </c>
      <c r="K885" s="106">
        <v>8507</v>
      </c>
      <c r="L885" s="106">
        <v>-8507</v>
      </c>
      <c r="M885" s="106">
        <v>0</v>
      </c>
      <c r="N885" s="106">
        <v>0</v>
      </c>
    </row>
    <row r="886" spans="1:14" outlineLevel="2" x14ac:dyDescent="0.35">
      <c r="A886" s="108" t="s">
        <v>541</v>
      </c>
      <c r="B886" s="108" t="s">
        <v>193</v>
      </c>
      <c r="C886" s="106">
        <v>3254479</v>
      </c>
      <c r="D886" s="106">
        <v>-701</v>
      </c>
      <c r="E886" s="106">
        <v>0</v>
      </c>
      <c r="F886" s="106">
        <v>0</v>
      </c>
      <c r="G886" s="106">
        <v>0</v>
      </c>
      <c r="H886" s="106">
        <v>3253778</v>
      </c>
      <c r="I886" s="106">
        <v>-3253778</v>
      </c>
      <c r="J886" s="106">
        <v>0</v>
      </c>
      <c r="K886" s="106">
        <v>23176</v>
      </c>
      <c r="L886" s="106">
        <v>-23176</v>
      </c>
      <c r="M886" s="106">
        <v>0</v>
      </c>
      <c r="N886" s="106">
        <v>0</v>
      </c>
    </row>
    <row r="887" spans="1:14" outlineLevel="2" x14ac:dyDescent="0.35">
      <c r="A887" s="108" t="s">
        <v>541</v>
      </c>
      <c r="B887" s="108" t="s">
        <v>192</v>
      </c>
      <c r="C887" s="106">
        <v>3111259</v>
      </c>
      <c r="D887" s="106">
        <v>-20174</v>
      </c>
      <c r="E887" s="106">
        <v>0</v>
      </c>
      <c r="F887" s="106">
        <v>0</v>
      </c>
      <c r="G887" s="106">
        <v>0</v>
      </c>
      <c r="H887" s="106">
        <v>3091085</v>
      </c>
      <c r="I887" s="106">
        <v>-3091085</v>
      </c>
      <c r="J887" s="106">
        <v>0</v>
      </c>
      <c r="K887" s="106">
        <v>10472</v>
      </c>
      <c r="L887" s="106">
        <v>-10472</v>
      </c>
      <c r="M887" s="106">
        <v>0</v>
      </c>
      <c r="N887" s="106">
        <v>0</v>
      </c>
    </row>
    <row r="888" spans="1:14" outlineLevel="2" x14ac:dyDescent="0.35">
      <c r="A888" s="108" t="s">
        <v>541</v>
      </c>
      <c r="B888" s="108" t="s">
        <v>191</v>
      </c>
      <c r="C888" s="106">
        <v>2920660</v>
      </c>
      <c r="D888" s="106">
        <v>-2095</v>
      </c>
      <c r="E888" s="106">
        <v>0</v>
      </c>
      <c r="F888" s="106">
        <v>0</v>
      </c>
      <c r="G888" s="106">
        <v>0</v>
      </c>
      <c r="H888" s="106">
        <v>2918565</v>
      </c>
      <c r="I888" s="106">
        <v>-2918565</v>
      </c>
      <c r="J888" s="106">
        <v>0</v>
      </c>
      <c r="K888" s="106">
        <v>9348</v>
      </c>
      <c r="L888" s="106">
        <v>-9348</v>
      </c>
      <c r="M888" s="106">
        <v>0</v>
      </c>
      <c r="N888" s="106">
        <v>0</v>
      </c>
    </row>
    <row r="889" spans="1:14" outlineLevel="2" x14ac:dyDescent="0.35">
      <c r="A889" s="108" t="s">
        <v>541</v>
      </c>
      <c r="B889" s="108" t="s">
        <v>190</v>
      </c>
      <c r="C889" s="106">
        <v>2811538.080000001</v>
      </c>
      <c r="D889" s="106">
        <v>-12501.19</v>
      </c>
      <c r="E889" s="106">
        <v>0</v>
      </c>
      <c r="F889" s="106">
        <v>0</v>
      </c>
      <c r="G889" s="106">
        <v>0</v>
      </c>
      <c r="H889" s="106">
        <v>2799036.8900000011</v>
      </c>
      <c r="I889" s="106">
        <v>-2799036.8900000006</v>
      </c>
      <c r="J889" s="106">
        <v>0</v>
      </c>
      <c r="K889" s="106">
        <v>200000</v>
      </c>
      <c r="L889" s="106">
        <v>-200000</v>
      </c>
      <c r="M889" s="106">
        <v>0</v>
      </c>
      <c r="N889" s="106">
        <v>0</v>
      </c>
    </row>
    <row r="890" spans="1:14" outlineLevel="2" x14ac:dyDescent="0.35">
      <c r="A890" s="108" t="s">
        <v>541</v>
      </c>
      <c r="B890" s="108" t="s">
        <v>189</v>
      </c>
      <c r="C890" s="106">
        <v>1309526</v>
      </c>
      <c r="D890" s="106">
        <v>0</v>
      </c>
      <c r="E890" s="106">
        <v>0</v>
      </c>
      <c r="F890" s="106">
        <v>0</v>
      </c>
      <c r="G890" s="106">
        <v>0</v>
      </c>
      <c r="H890" s="106">
        <v>1309526</v>
      </c>
      <c r="I890" s="106">
        <v>-1309526</v>
      </c>
      <c r="J890" s="106">
        <v>0</v>
      </c>
      <c r="K890" s="106">
        <v>264</v>
      </c>
      <c r="L890" s="106">
        <v>-264</v>
      </c>
      <c r="M890" s="106">
        <v>0</v>
      </c>
      <c r="N890" s="106">
        <v>0</v>
      </c>
    </row>
    <row r="891" spans="1:14" outlineLevel="2" x14ac:dyDescent="0.35">
      <c r="A891" s="108" t="s">
        <v>541</v>
      </c>
      <c r="B891" s="108" t="s">
        <v>188</v>
      </c>
      <c r="C891" s="106">
        <v>92453</v>
      </c>
      <c r="D891" s="106">
        <v>-1292</v>
      </c>
      <c r="E891" s="106">
        <v>0</v>
      </c>
      <c r="F891" s="106">
        <v>0</v>
      </c>
      <c r="G891" s="106">
        <v>0</v>
      </c>
      <c r="H891" s="106">
        <v>91161</v>
      </c>
      <c r="I891" s="106">
        <v>-91161</v>
      </c>
      <c r="J891" s="106">
        <v>0</v>
      </c>
      <c r="K891" s="106">
        <v>0</v>
      </c>
      <c r="L891" s="106">
        <v>0</v>
      </c>
      <c r="M891" s="106">
        <v>0</v>
      </c>
      <c r="N891" s="106">
        <v>0</v>
      </c>
    </row>
    <row r="892" spans="1:14" outlineLevel="2" x14ac:dyDescent="0.35">
      <c r="A892" s="108" t="s">
        <v>541</v>
      </c>
      <c r="B892" s="108" t="s">
        <v>186</v>
      </c>
      <c r="C892" s="106">
        <v>2358281</v>
      </c>
      <c r="D892" s="106">
        <v>-4837</v>
      </c>
      <c r="E892" s="106">
        <v>0</v>
      </c>
      <c r="F892" s="106">
        <v>0</v>
      </c>
      <c r="G892" s="106">
        <v>0</v>
      </c>
      <c r="H892" s="106">
        <v>2353444</v>
      </c>
      <c r="I892" s="106">
        <v>-2353444</v>
      </c>
      <c r="J892" s="106">
        <v>0</v>
      </c>
      <c r="K892" s="106">
        <v>45558</v>
      </c>
      <c r="L892" s="106">
        <v>-45558</v>
      </c>
      <c r="M892" s="106">
        <v>0</v>
      </c>
      <c r="N892" s="106">
        <v>0</v>
      </c>
    </row>
    <row r="893" spans="1:14" outlineLevel="2" x14ac:dyDescent="0.35">
      <c r="A893" s="108" t="s">
        <v>541</v>
      </c>
      <c r="B893" s="108" t="s">
        <v>227</v>
      </c>
      <c r="C893" s="106">
        <v>0</v>
      </c>
      <c r="D893" s="106">
        <v>0</v>
      </c>
      <c r="E893" s="106">
        <v>0</v>
      </c>
      <c r="F893" s="106">
        <v>0</v>
      </c>
      <c r="G893" s="106">
        <v>0</v>
      </c>
      <c r="H893" s="106">
        <v>0</v>
      </c>
      <c r="I893" s="106">
        <v>0</v>
      </c>
      <c r="J893" s="106">
        <v>0</v>
      </c>
      <c r="K893" s="106">
        <v>929</v>
      </c>
      <c r="L893" s="106">
        <v>-929</v>
      </c>
      <c r="M893" s="106">
        <v>0</v>
      </c>
      <c r="N893" s="106">
        <v>0</v>
      </c>
    </row>
    <row r="894" spans="1:14" outlineLevel="2" x14ac:dyDescent="0.35">
      <c r="A894" s="108" t="s">
        <v>541</v>
      </c>
      <c r="B894" s="108" t="s">
        <v>226</v>
      </c>
      <c r="C894" s="106">
        <v>0</v>
      </c>
      <c r="D894" s="106">
        <v>0</v>
      </c>
      <c r="E894" s="106">
        <v>0</v>
      </c>
      <c r="F894" s="106">
        <v>0</v>
      </c>
      <c r="G894" s="106">
        <v>0</v>
      </c>
      <c r="H894" s="106">
        <v>0</v>
      </c>
      <c r="I894" s="106">
        <v>0</v>
      </c>
      <c r="J894" s="106">
        <v>0</v>
      </c>
      <c r="K894" s="106">
        <v>338</v>
      </c>
      <c r="L894" s="106">
        <v>-338</v>
      </c>
      <c r="M894" s="106">
        <v>0</v>
      </c>
      <c r="N894" s="106">
        <v>0</v>
      </c>
    </row>
    <row r="895" spans="1:14" outlineLevel="2" x14ac:dyDescent="0.35">
      <c r="A895" s="108" t="s">
        <v>541</v>
      </c>
      <c r="B895" s="108" t="s">
        <v>225</v>
      </c>
      <c r="C895" s="106">
        <v>0</v>
      </c>
      <c r="D895" s="106">
        <v>0</v>
      </c>
      <c r="E895" s="106">
        <v>0</v>
      </c>
      <c r="F895" s="106">
        <v>0</v>
      </c>
      <c r="G895" s="106">
        <v>0</v>
      </c>
      <c r="H895" s="106">
        <v>0</v>
      </c>
      <c r="I895" s="106">
        <v>0</v>
      </c>
      <c r="J895" s="106">
        <v>0</v>
      </c>
      <c r="K895" s="106">
        <v>1204</v>
      </c>
      <c r="L895" s="106">
        <v>-1204</v>
      </c>
      <c r="M895" s="106">
        <v>0</v>
      </c>
      <c r="N895" s="106">
        <v>0</v>
      </c>
    </row>
    <row r="896" spans="1:14" outlineLevel="2" x14ac:dyDescent="0.35">
      <c r="A896" s="108" t="s">
        <v>541</v>
      </c>
      <c r="B896" s="108" t="s">
        <v>257</v>
      </c>
      <c r="C896" s="106">
        <v>0</v>
      </c>
      <c r="D896" s="106">
        <v>0</v>
      </c>
      <c r="E896" s="106">
        <v>0</v>
      </c>
      <c r="F896" s="106">
        <v>0</v>
      </c>
      <c r="G896" s="106">
        <v>0</v>
      </c>
      <c r="H896" s="106">
        <v>0</v>
      </c>
      <c r="I896" s="106">
        <v>0</v>
      </c>
      <c r="J896" s="106">
        <v>0</v>
      </c>
      <c r="K896" s="106">
        <v>127</v>
      </c>
      <c r="L896" s="106">
        <v>-127</v>
      </c>
      <c r="M896" s="106">
        <v>0</v>
      </c>
      <c r="N896" s="106">
        <v>0</v>
      </c>
    </row>
    <row r="897" spans="1:14" ht="16" outlineLevel="2" thickBot="1" x14ac:dyDescent="0.4">
      <c r="A897" s="105" t="s">
        <v>420</v>
      </c>
      <c r="B897" s="79" t="s">
        <v>12</v>
      </c>
      <c r="C897" s="103">
        <f>SUBTOTAL(109,Program32[(C)
Program
Costs])</f>
        <v>85494233.079999998</v>
      </c>
      <c r="D897" s="103">
        <f>SUBTOTAL(109,Program32[(D)
Prior Period Adjustments])</f>
        <v>-12767478.189999999</v>
      </c>
      <c r="E897" s="103">
        <f>SUBTOTAL(109,Program32[(E)
Current Period Desk 
Reviews])</f>
        <v>0</v>
      </c>
      <c r="F897" s="103">
        <f>SUBTOTAL(109,Program32[(F)
Current Period 
Final 
Audits])</f>
        <v>0</v>
      </c>
      <c r="G897" s="103">
        <f>SUBTOTAL(109,Program32[(G)
Current Period 
Other Adjustments])</f>
        <v>0</v>
      </c>
      <c r="H897" s="103">
        <f>SUBTOTAL(109,Program32[(H)
Net Program Costs
Sum (C through G)])</f>
        <v>72726754.890000001</v>
      </c>
      <c r="I897" s="103">
        <f>SUBTOTAL(109,Program32[(I)
Payments
 and Offsets])</f>
        <v>-71102512.890000001</v>
      </c>
      <c r="J897" s="103">
        <f>SUBTOTAL(109,Program32[(J)
Accounts Payable Balance
(H + I)])</f>
        <v>1624242</v>
      </c>
      <c r="K897" s="103">
        <f>SUBTOTAL(109,Program32[(K)
Established 
Accounts Receivable])</f>
        <v>481580</v>
      </c>
      <c r="L897" s="103">
        <f>SUBTOTAL(109,Program32[(L)
Recovered
 Accounts Receivable])</f>
        <v>-464161</v>
      </c>
      <c r="M897" s="103">
        <f>SUBTOTAL(109,Program32[(M)
Accounts Receivable Balance
(K + L)])</f>
        <v>17419</v>
      </c>
      <c r="N897" s="103">
        <f>SUBTOTAL(109,Program32[(N)
Net Balance
(J minus M)])</f>
        <v>1606823</v>
      </c>
    </row>
    <row r="898" spans="1:14" outlineLevel="2" x14ac:dyDescent="0.35">
      <c r="A898" s="116" t="s">
        <v>33</v>
      </c>
      <c r="B898" s="115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</row>
    <row r="899" spans="1:14" ht="77.5" outlineLevel="2" x14ac:dyDescent="0.35">
      <c r="A899" s="113" t="s">
        <v>185</v>
      </c>
      <c r="B899" s="112" t="s">
        <v>184</v>
      </c>
      <c r="C899" s="111" t="s">
        <v>183</v>
      </c>
      <c r="D899" s="111" t="s">
        <v>182</v>
      </c>
      <c r="E899" s="111" t="s">
        <v>181</v>
      </c>
      <c r="F899" s="111" t="s">
        <v>180</v>
      </c>
      <c r="G899" s="111" t="s">
        <v>179</v>
      </c>
      <c r="H899" s="110" t="s">
        <v>674</v>
      </c>
      <c r="I899" s="110" t="s">
        <v>178</v>
      </c>
      <c r="J899" s="110" t="s">
        <v>177</v>
      </c>
      <c r="K899" s="111" t="s">
        <v>176</v>
      </c>
      <c r="L899" s="110" t="s">
        <v>175</v>
      </c>
      <c r="M899" s="110" t="s">
        <v>174</v>
      </c>
      <c r="N899" s="109" t="s">
        <v>173</v>
      </c>
    </row>
    <row r="900" spans="1:14" outlineLevel="2" x14ac:dyDescent="0.35">
      <c r="A900" s="108" t="s">
        <v>540</v>
      </c>
      <c r="B900" s="108" t="s">
        <v>220</v>
      </c>
      <c r="C900" s="106">
        <v>2021</v>
      </c>
      <c r="D900" s="106">
        <v>0</v>
      </c>
      <c r="E900" s="106">
        <v>0</v>
      </c>
      <c r="F900" s="106">
        <v>0</v>
      </c>
      <c r="G900" s="106">
        <v>0</v>
      </c>
      <c r="H900" s="106">
        <v>2021</v>
      </c>
      <c r="I900" s="106">
        <v>-2021</v>
      </c>
      <c r="J900" s="106">
        <v>0</v>
      </c>
      <c r="K900" s="106">
        <v>0</v>
      </c>
      <c r="L900" s="106">
        <v>0</v>
      </c>
      <c r="M900" s="106">
        <v>0</v>
      </c>
      <c r="N900" s="106">
        <v>0</v>
      </c>
    </row>
    <row r="901" spans="1:14" outlineLevel="2" x14ac:dyDescent="0.35">
      <c r="A901" s="108" t="s">
        <v>540</v>
      </c>
      <c r="B901" s="108" t="s">
        <v>219</v>
      </c>
      <c r="C901" s="106">
        <v>8713</v>
      </c>
      <c r="D901" s="106">
        <v>0</v>
      </c>
      <c r="E901" s="106">
        <v>0</v>
      </c>
      <c r="F901" s="106">
        <v>0</v>
      </c>
      <c r="G901" s="106">
        <v>0</v>
      </c>
      <c r="H901" s="106">
        <v>8713</v>
      </c>
      <c r="I901" s="106">
        <v>-1000</v>
      </c>
      <c r="J901" s="106">
        <v>7713</v>
      </c>
      <c r="K901" s="106">
        <v>0</v>
      </c>
      <c r="L901" s="106">
        <v>0</v>
      </c>
      <c r="M901" s="106">
        <v>0</v>
      </c>
      <c r="N901" s="106">
        <v>7713</v>
      </c>
    </row>
    <row r="902" spans="1:14" outlineLevel="2" x14ac:dyDescent="0.35">
      <c r="A902" s="108" t="s">
        <v>540</v>
      </c>
      <c r="B902" s="108" t="s">
        <v>218</v>
      </c>
      <c r="C902" s="106">
        <v>5963</v>
      </c>
      <c r="D902" s="106">
        <v>0</v>
      </c>
      <c r="E902" s="106">
        <v>0</v>
      </c>
      <c r="F902" s="106">
        <v>0</v>
      </c>
      <c r="G902" s="106">
        <v>0</v>
      </c>
      <c r="H902" s="106">
        <v>5963</v>
      </c>
      <c r="I902" s="106">
        <v>-2158</v>
      </c>
      <c r="J902" s="106">
        <v>3805</v>
      </c>
      <c r="K902" s="106">
        <v>0</v>
      </c>
      <c r="L902" s="106">
        <v>0</v>
      </c>
      <c r="M902" s="106">
        <v>0</v>
      </c>
      <c r="N902" s="106">
        <v>3805</v>
      </c>
    </row>
    <row r="903" spans="1:14" outlineLevel="2" x14ac:dyDescent="0.35">
      <c r="A903" s="108" t="s">
        <v>540</v>
      </c>
      <c r="B903" s="108" t="s">
        <v>209</v>
      </c>
      <c r="C903" s="106">
        <v>14148</v>
      </c>
      <c r="D903" s="106">
        <v>0</v>
      </c>
      <c r="E903" s="106">
        <v>0</v>
      </c>
      <c r="F903" s="106">
        <v>0</v>
      </c>
      <c r="G903" s="106">
        <v>0</v>
      </c>
      <c r="H903" s="106">
        <v>14148</v>
      </c>
      <c r="I903" s="106">
        <v>-3224</v>
      </c>
      <c r="J903" s="106">
        <v>10924</v>
      </c>
      <c r="K903" s="106">
        <v>0</v>
      </c>
      <c r="L903" s="106">
        <v>0</v>
      </c>
      <c r="M903" s="106">
        <v>0</v>
      </c>
      <c r="N903" s="106">
        <v>10924</v>
      </c>
    </row>
    <row r="904" spans="1:14" outlineLevel="2" x14ac:dyDescent="0.35">
      <c r="A904" s="108" t="s">
        <v>540</v>
      </c>
      <c r="B904" s="108" t="s">
        <v>208</v>
      </c>
      <c r="C904" s="106">
        <v>287714</v>
      </c>
      <c r="D904" s="106">
        <v>-69160</v>
      </c>
      <c r="E904" s="106">
        <v>0</v>
      </c>
      <c r="F904" s="106">
        <v>0</v>
      </c>
      <c r="G904" s="106">
        <v>0</v>
      </c>
      <c r="H904" s="106">
        <v>218554</v>
      </c>
      <c r="I904" s="106">
        <v>-3127</v>
      </c>
      <c r="J904" s="106">
        <v>215427</v>
      </c>
      <c r="K904" s="106">
        <v>0</v>
      </c>
      <c r="L904" s="106">
        <v>0</v>
      </c>
      <c r="M904" s="106">
        <v>0</v>
      </c>
      <c r="N904" s="106">
        <v>215427</v>
      </c>
    </row>
    <row r="905" spans="1:14" outlineLevel="2" x14ac:dyDescent="0.35">
      <c r="A905" s="108" t="s">
        <v>540</v>
      </c>
      <c r="B905" s="108" t="s">
        <v>206</v>
      </c>
      <c r="C905" s="106">
        <v>421667</v>
      </c>
      <c r="D905" s="106">
        <v>-231254</v>
      </c>
      <c r="E905" s="106">
        <v>0</v>
      </c>
      <c r="F905" s="106">
        <v>0</v>
      </c>
      <c r="G905" s="106">
        <v>0</v>
      </c>
      <c r="H905" s="106">
        <v>190413</v>
      </c>
      <c r="I905" s="106">
        <v>-5416</v>
      </c>
      <c r="J905" s="106">
        <v>184997</v>
      </c>
      <c r="K905" s="106">
        <v>0</v>
      </c>
      <c r="L905" s="106">
        <v>0</v>
      </c>
      <c r="M905" s="106">
        <v>0</v>
      </c>
      <c r="N905" s="106">
        <v>184997</v>
      </c>
    </row>
    <row r="906" spans="1:14" outlineLevel="2" x14ac:dyDescent="0.35">
      <c r="A906" s="108" t="s">
        <v>540</v>
      </c>
      <c r="B906" s="108" t="s">
        <v>205</v>
      </c>
      <c r="C906" s="106">
        <v>448120</v>
      </c>
      <c r="D906" s="106">
        <v>-248251</v>
      </c>
      <c r="E906" s="106">
        <v>0</v>
      </c>
      <c r="F906" s="106">
        <v>0</v>
      </c>
      <c r="G906" s="106">
        <v>0</v>
      </c>
      <c r="H906" s="106">
        <v>199869</v>
      </c>
      <c r="I906" s="106">
        <v>-7800</v>
      </c>
      <c r="J906" s="106">
        <v>192069</v>
      </c>
      <c r="K906" s="106">
        <v>0</v>
      </c>
      <c r="L906" s="106">
        <v>0</v>
      </c>
      <c r="M906" s="106">
        <v>0</v>
      </c>
      <c r="N906" s="106">
        <v>192069</v>
      </c>
    </row>
    <row r="907" spans="1:14" outlineLevel="2" x14ac:dyDescent="0.35">
      <c r="A907" s="108" t="s">
        <v>540</v>
      </c>
      <c r="B907" s="108" t="s">
        <v>204</v>
      </c>
      <c r="C907" s="106">
        <v>363201</v>
      </c>
      <c r="D907" s="106">
        <v>-242148</v>
      </c>
      <c r="E907" s="106">
        <v>0</v>
      </c>
      <c r="F907" s="106">
        <v>0</v>
      </c>
      <c r="G907" s="106">
        <v>0</v>
      </c>
      <c r="H907" s="106">
        <v>121053</v>
      </c>
      <c r="I907" s="106">
        <v>-5779</v>
      </c>
      <c r="J907" s="106">
        <v>115274</v>
      </c>
      <c r="K907" s="106">
        <v>0</v>
      </c>
      <c r="L907" s="106">
        <v>0</v>
      </c>
      <c r="M907" s="106">
        <v>0</v>
      </c>
      <c r="N907" s="106">
        <v>115274</v>
      </c>
    </row>
    <row r="908" spans="1:14" outlineLevel="2" x14ac:dyDescent="0.35">
      <c r="A908" s="108" t="s">
        <v>540</v>
      </c>
      <c r="B908" s="108" t="s">
        <v>203</v>
      </c>
      <c r="C908" s="106">
        <v>267572</v>
      </c>
      <c r="D908" s="106">
        <v>-232521</v>
      </c>
      <c r="E908" s="106">
        <v>0</v>
      </c>
      <c r="F908" s="106">
        <v>0</v>
      </c>
      <c r="G908" s="106">
        <v>0</v>
      </c>
      <c r="H908" s="106">
        <v>35051</v>
      </c>
      <c r="I908" s="106">
        <v>-9658</v>
      </c>
      <c r="J908" s="106">
        <v>25393</v>
      </c>
      <c r="K908" s="106">
        <v>0</v>
      </c>
      <c r="L908" s="106">
        <v>0</v>
      </c>
      <c r="M908" s="106">
        <v>0</v>
      </c>
      <c r="N908" s="106">
        <v>25393</v>
      </c>
    </row>
    <row r="909" spans="1:14" outlineLevel="1" x14ac:dyDescent="0.35">
      <c r="A909" s="108" t="s">
        <v>540</v>
      </c>
      <c r="B909" s="108" t="s">
        <v>202</v>
      </c>
      <c r="C909" s="106">
        <v>224134</v>
      </c>
      <c r="D909" s="106">
        <v>-207010</v>
      </c>
      <c r="E909" s="106">
        <v>0</v>
      </c>
      <c r="F909" s="106">
        <v>0</v>
      </c>
      <c r="G909" s="106">
        <v>0</v>
      </c>
      <c r="H909" s="106">
        <v>17124</v>
      </c>
      <c r="I909" s="106">
        <v>-6568</v>
      </c>
      <c r="J909" s="106">
        <v>10556</v>
      </c>
      <c r="K909" s="106">
        <v>0</v>
      </c>
      <c r="L909" s="106">
        <v>0</v>
      </c>
      <c r="M909" s="106">
        <v>0</v>
      </c>
      <c r="N909" s="106">
        <v>10556</v>
      </c>
    </row>
    <row r="910" spans="1:14" ht="15.65" customHeight="1" outlineLevel="1" x14ac:dyDescent="0.35">
      <c r="A910" s="108" t="s">
        <v>540</v>
      </c>
      <c r="B910" s="108" t="s">
        <v>201</v>
      </c>
      <c r="C910" s="106">
        <v>187472</v>
      </c>
      <c r="D910" s="106">
        <v>-172674</v>
      </c>
      <c r="E910" s="106">
        <v>0</v>
      </c>
      <c r="F910" s="106">
        <v>0</v>
      </c>
      <c r="G910" s="106">
        <v>0</v>
      </c>
      <c r="H910" s="106">
        <v>14798</v>
      </c>
      <c r="I910" s="106">
        <v>-11934</v>
      </c>
      <c r="J910" s="106">
        <v>2864</v>
      </c>
      <c r="K910" s="106">
        <v>0</v>
      </c>
      <c r="L910" s="106">
        <v>0</v>
      </c>
      <c r="M910" s="106">
        <v>0</v>
      </c>
      <c r="N910" s="106">
        <v>2864</v>
      </c>
    </row>
    <row r="911" spans="1:14" ht="15" customHeight="1" outlineLevel="1" x14ac:dyDescent="0.35">
      <c r="A911" s="108" t="s">
        <v>540</v>
      </c>
      <c r="B911" s="108" t="s">
        <v>200</v>
      </c>
      <c r="C911" s="106">
        <v>143450</v>
      </c>
      <c r="D911" s="106">
        <v>-135408</v>
      </c>
      <c r="E911" s="106">
        <v>0</v>
      </c>
      <c r="F911" s="106">
        <v>0</v>
      </c>
      <c r="G911" s="106">
        <v>0</v>
      </c>
      <c r="H911" s="106">
        <v>8042</v>
      </c>
      <c r="I911" s="106">
        <v>-8042</v>
      </c>
      <c r="J911" s="106">
        <v>0</v>
      </c>
      <c r="K911" s="106">
        <v>0</v>
      </c>
      <c r="L911" s="106">
        <v>0</v>
      </c>
      <c r="M911" s="106">
        <v>0</v>
      </c>
      <c r="N911" s="106">
        <v>0</v>
      </c>
    </row>
    <row r="912" spans="1:14" outlineLevel="2" x14ac:dyDescent="0.35">
      <c r="A912" s="108" t="s">
        <v>540</v>
      </c>
      <c r="B912" s="108" t="s">
        <v>199</v>
      </c>
      <c r="C912" s="106">
        <v>669524</v>
      </c>
      <c r="D912" s="106">
        <v>-251</v>
      </c>
      <c r="E912" s="106">
        <v>0</v>
      </c>
      <c r="F912" s="106">
        <v>0</v>
      </c>
      <c r="G912" s="106">
        <v>0</v>
      </c>
      <c r="H912" s="106">
        <v>669273</v>
      </c>
      <c r="I912" s="106">
        <v>-669273</v>
      </c>
      <c r="J912" s="106">
        <v>0</v>
      </c>
      <c r="K912" s="106">
        <v>0</v>
      </c>
      <c r="L912" s="106">
        <v>0</v>
      </c>
      <c r="M912" s="106">
        <v>0</v>
      </c>
      <c r="N912" s="106">
        <v>0</v>
      </c>
    </row>
    <row r="913" spans="1:14" outlineLevel="2" x14ac:dyDescent="0.35">
      <c r="A913" s="108" t="s">
        <v>540</v>
      </c>
      <c r="B913" s="108" t="s">
        <v>198</v>
      </c>
      <c r="C913" s="106">
        <v>1779478</v>
      </c>
      <c r="D913" s="106">
        <v>-3483</v>
      </c>
      <c r="E913" s="106">
        <v>0</v>
      </c>
      <c r="F913" s="106">
        <v>0</v>
      </c>
      <c r="G913" s="106">
        <v>0</v>
      </c>
      <c r="H913" s="106">
        <v>1775995</v>
      </c>
      <c r="I913" s="106">
        <v>-1775995</v>
      </c>
      <c r="J913" s="106">
        <v>0</v>
      </c>
      <c r="K913" s="106">
        <v>0</v>
      </c>
      <c r="L913" s="106">
        <v>0</v>
      </c>
      <c r="M913" s="106">
        <v>0</v>
      </c>
      <c r="N913" s="106">
        <v>0</v>
      </c>
    </row>
    <row r="914" spans="1:14" outlineLevel="2" x14ac:dyDescent="0.35">
      <c r="A914" s="108" t="s">
        <v>540</v>
      </c>
      <c r="B914" s="108" t="s">
        <v>197</v>
      </c>
      <c r="C914" s="106">
        <v>1992356</v>
      </c>
      <c r="D914" s="106">
        <v>-184367</v>
      </c>
      <c r="E914" s="106">
        <v>0</v>
      </c>
      <c r="F914" s="106">
        <v>0</v>
      </c>
      <c r="G914" s="106">
        <v>0</v>
      </c>
      <c r="H914" s="106">
        <v>1807989</v>
      </c>
      <c r="I914" s="106">
        <v>-1807989</v>
      </c>
      <c r="J914" s="106">
        <v>0</v>
      </c>
      <c r="K914" s="106">
        <v>767144</v>
      </c>
      <c r="L914" s="106">
        <v>-766547</v>
      </c>
      <c r="M914" s="106">
        <v>597</v>
      </c>
      <c r="N914" s="106">
        <v>-597</v>
      </c>
    </row>
    <row r="915" spans="1:14" outlineLevel="2" x14ac:dyDescent="0.35">
      <c r="A915" s="108" t="s">
        <v>540</v>
      </c>
      <c r="B915" s="108" t="s">
        <v>196</v>
      </c>
      <c r="C915" s="106">
        <v>2247024</v>
      </c>
      <c r="D915" s="106">
        <v>-35570</v>
      </c>
      <c r="E915" s="106">
        <v>0</v>
      </c>
      <c r="F915" s="106">
        <v>0</v>
      </c>
      <c r="G915" s="106">
        <v>0</v>
      </c>
      <c r="H915" s="106">
        <v>2211454</v>
      </c>
      <c r="I915" s="106">
        <v>-2211454</v>
      </c>
      <c r="J915" s="106">
        <v>0</v>
      </c>
      <c r="K915" s="106">
        <v>406318</v>
      </c>
      <c r="L915" s="106">
        <v>-406318</v>
      </c>
      <c r="M915" s="106">
        <v>0</v>
      </c>
      <c r="N915" s="106">
        <v>0</v>
      </c>
    </row>
    <row r="916" spans="1:14" outlineLevel="2" x14ac:dyDescent="0.35">
      <c r="A916" s="108" t="s">
        <v>540</v>
      </c>
      <c r="B916" s="108" t="s">
        <v>195</v>
      </c>
      <c r="C916" s="106">
        <v>2031948</v>
      </c>
      <c r="D916" s="106">
        <v>-29798</v>
      </c>
      <c r="E916" s="106">
        <v>0</v>
      </c>
      <c r="F916" s="106">
        <v>0</v>
      </c>
      <c r="G916" s="106">
        <v>0</v>
      </c>
      <c r="H916" s="106">
        <v>2002150</v>
      </c>
      <c r="I916" s="106">
        <v>-2002150</v>
      </c>
      <c r="J916" s="106">
        <v>0</v>
      </c>
      <c r="K916" s="106">
        <v>150175</v>
      </c>
      <c r="L916" s="106">
        <v>-150175</v>
      </c>
      <c r="M916" s="106">
        <v>0</v>
      </c>
      <c r="N916" s="106">
        <v>0</v>
      </c>
    </row>
    <row r="917" spans="1:14" outlineLevel="2" x14ac:dyDescent="0.35">
      <c r="A917" s="108" t="s">
        <v>540</v>
      </c>
      <c r="B917" s="108" t="s">
        <v>194</v>
      </c>
      <c r="C917" s="106">
        <v>1720428</v>
      </c>
      <c r="D917" s="106">
        <v>-9195</v>
      </c>
      <c r="E917" s="106">
        <v>0</v>
      </c>
      <c r="F917" s="106">
        <v>0</v>
      </c>
      <c r="G917" s="106">
        <v>0</v>
      </c>
      <c r="H917" s="106">
        <v>1711233</v>
      </c>
      <c r="I917" s="106">
        <v>-1711233</v>
      </c>
      <c r="J917" s="106">
        <v>0</v>
      </c>
      <c r="K917" s="106">
        <v>347065</v>
      </c>
      <c r="L917" s="106">
        <v>-347065</v>
      </c>
      <c r="M917" s="106">
        <v>0</v>
      </c>
      <c r="N917" s="106">
        <v>0</v>
      </c>
    </row>
    <row r="918" spans="1:14" outlineLevel="2" x14ac:dyDescent="0.35">
      <c r="A918" s="108" t="s">
        <v>540</v>
      </c>
      <c r="B918" s="108" t="s">
        <v>193</v>
      </c>
      <c r="C918" s="106">
        <v>1785911</v>
      </c>
      <c r="D918" s="106">
        <v>-6032</v>
      </c>
      <c r="E918" s="106">
        <v>0</v>
      </c>
      <c r="F918" s="106">
        <v>0</v>
      </c>
      <c r="G918" s="106">
        <v>0</v>
      </c>
      <c r="H918" s="106">
        <v>1779879</v>
      </c>
      <c r="I918" s="106">
        <v>-1779879</v>
      </c>
      <c r="J918" s="106">
        <v>0</v>
      </c>
      <c r="K918" s="106">
        <v>249145</v>
      </c>
      <c r="L918" s="106">
        <v>-248887</v>
      </c>
      <c r="M918" s="106">
        <v>258</v>
      </c>
      <c r="N918" s="106">
        <v>-258</v>
      </c>
    </row>
    <row r="919" spans="1:14" outlineLevel="2" x14ac:dyDescent="0.35">
      <c r="A919" s="108" t="s">
        <v>540</v>
      </c>
      <c r="B919" s="108" t="s">
        <v>192</v>
      </c>
      <c r="C919" s="106">
        <v>1803466</v>
      </c>
      <c r="D919" s="106">
        <v>-1026</v>
      </c>
      <c r="E919" s="106">
        <v>0</v>
      </c>
      <c r="F919" s="106">
        <v>0</v>
      </c>
      <c r="G919" s="106">
        <v>0</v>
      </c>
      <c r="H919" s="106">
        <v>1802440</v>
      </c>
      <c r="I919" s="106">
        <v>-1802440</v>
      </c>
      <c r="J919" s="106">
        <v>0</v>
      </c>
      <c r="K919" s="106">
        <v>97252</v>
      </c>
      <c r="L919" s="106">
        <v>-97252</v>
      </c>
      <c r="M919" s="106">
        <v>0</v>
      </c>
      <c r="N919" s="106">
        <v>0</v>
      </c>
    </row>
    <row r="920" spans="1:14" outlineLevel="2" x14ac:dyDescent="0.35">
      <c r="A920" s="108" t="s">
        <v>540</v>
      </c>
      <c r="B920" s="108" t="s">
        <v>191</v>
      </c>
      <c r="C920" s="106">
        <v>1558469</v>
      </c>
      <c r="D920" s="106">
        <v>-16440</v>
      </c>
      <c r="E920" s="106">
        <v>0</v>
      </c>
      <c r="F920" s="106">
        <v>0</v>
      </c>
      <c r="G920" s="106">
        <v>0</v>
      </c>
      <c r="H920" s="106">
        <v>1542029</v>
      </c>
      <c r="I920" s="106">
        <v>-1542029</v>
      </c>
      <c r="J920" s="106">
        <v>0</v>
      </c>
      <c r="K920" s="106">
        <v>19552</v>
      </c>
      <c r="L920" s="106">
        <v>-19552</v>
      </c>
      <c r="M920" s="106">
        <v>0</v>
      </c>
      <c r="N920" s="106">
        <v>0</v>
      </c>
    </row>
    <row r="921" spans="1:14" outlineLevel="1" x14ac:dyDescent="0.35">
      <c r="A921" s="108" t="s">
        <v>540</v>
      </c>
      <c r="B921" s="108" t="s">
        <v>190</v>
      </c>
      <c r="C921" s="106">
        <v>1335244</v>
      </c>
      <c r="D921" s="106">
        <v>-14863</v>
      </c>
      <c r="E921" s="106">
        <v>0</v>
      </c>
      <c r="F921" s="106">
        <v>0</v>
      </c>
      <c r="G921" s="106">
        <v>0</v>
      </c>
      <c r="H921" s="106">
        <v>1320381</v>
      </c>
      <c r="I921" s="106">
        <v>-1320381</v>
      </c>
      <c r="J921" s="106">
        <v>0</v>
      </c>
      <c r="K921" s="106">
        <v>19639</v>
      </c>
      <c r="L921" s="106">
        <v>-19639</v>
      </c>
      <c r="M921" s="106">
        <v>0</v>
      </c>
      <c r="N921" s="106">
        <v>0</v>
      </c>
    </row>
    <row r="922" spans="1:14" ht="15.65" customHeight="1" outlineLevel="1" x14ac:dyDescent="0.35">
      <c r="A922" s="108" t="s">
        <v>540</v>
      </c>
      <c r="B922" s="108" t="s">
        <v>189</v>
      </c>
      <c r="C922" s="106">
        <v>1253996</v>
      </c>
      <c r="D922" s="106">
        <v>-13368</v>
      </c>
      <c r="E922" s="106">
        <v>0</v>
      </c>
      <c r="F922" s="106">
        <v>0</v>
      </c>
      <c r="G922" s="106">
        <v>0</v>
      </c>
      <c r="H922" s="106">
        <v>1240628</v>
      </c>
      <c r="I922" s="106">
        <v>-1240628</v>
      </c>
      <c r="J922" s="106">
        <v>0</v>
      </c>
      <c r="K922" s="106">
        <v>47961</v>
      </c>
      <c r="L922" s="106">
        <v>-47961</v>
      </c>
      <c r="M922" s="106">
        <v>0</v>
      </c>
      <c r="N922" s="106">
        <v>0</v>
      </c>
    </row>
    <row r="923" spans="1:14" ht="15" customHeight="1" outlineLevel="1" x14ac:dyDescent="0.35">
      <c r="A923" s="108" t="s">
        <v>540</v>
      </c>
      <c r="B923" s="108" t="s">
        <v>188</v>
      </c>
      <c r="C923" s="106">
        <v>1003777</v>
      </c>
      <c r="D923" s="106">
        <v>-10578</v>
      </c>
      <c r="E923" s="106">
        <v>0</v>
      </c>
      <c r="F923" s="106">
        <v>0</v>
      </c>
      <c r="G923" s="106">
        <v>0</v>
      </c>
      <c r="H923" s="106">
        <v>993199</v>
      </c>
      <c r="I923" s="106">
        <v>-993199</v>
      </c>
      <c r="J923" s="106">
        <v>0</v>
      </c>
      <c r="K923" s="106">
        <v>19169</v>
      </c>
      <c r="L923" s="106">
        <v>-19169</v>
      </c>
      <c r="M923" s="106">
        <v>0</v>
      </c>
      <c r="N923" s="106">
        <v>0</v>
      </c>
    </row>
    <row r="924" spans="1:14" ht="16" outlineLevel="2" thickBot="1" x14ac:dyDescent="0.4">
      <c r="A924" s="105" t="s">
        <v>419</v>
      </c>
      <c r="B924" s="79" t="s">
        <v>12</v>
      </c>
      <c r="C924" s="103">
        <f>SUBTOTAL(109,Program148[(C)
Program
Costs])</f>
        <v>21555796</v>
      </c>
      <c r="D924" s="103">
        <f>SUBTOTAL(109,Program148[(D)
Prior Period Adjustments])</f>
        <v>-1863397</v>
      </c>
      <c r="E924" s="103">
        <f>SUBTOTAL(109,Program148[(E)
Current Period Desk 
Reviews])</f>
        <v>0</v>
      </c>
      <c r="F924" s="103">
        <f>SUBTOTAL(109,Program148[(F)
Current Period 
Final 
Audits])</f>
        <v>0</v>
      </c>
      <c r="G924" s="103">
        <f>SUBTOTAL(109,Program148[(G)
Current Period 
Other Adjustments])</f>
        <v>0</v>
      </c>
      <c r="H924" s="103">
        <f>SUBTOTAL(109,Program148[(H)
Net Program Costs
Sum (C through G)])</f>
        <v>19692399</v>
      </c>
      <c r="I924" s="103">
        <f>SUBTOTAL(109,Program148[(I)
Payments
 and Offsets])</f>
        <v>-18923377</v>
      </c>
      <c r="J924" s="103">
        <f>SUBTOTAL(109,Program148[(J)
Accounts Payable Balance
(H + I)])</f>
        <v>769022</v>
      </c>
      <c r="K924" s="103">
        <f>SUBTOTAL(109,Program148[(K)
Established 
Accounts Receivable])</f>
        <v>2123420</v>
      </c>
      <c r="L924" s="103">
        <f>SUBTOTAL(109,Program148[(L)
Recovered
 Accounts Receivable])</f>
        <v>-2122565</v>
      </c>
      <c r="M924" s="103">
        <f>SUBTOTAL(109,Program148[(M)
Accounts Receivable Balance
(K + L)])</f>
        <v>855</v>
      </c>
      <c r="N924" s="103">
        <f>SUBTOTAL(109,Program148[(N)
Net Balance
(J minus M)])</f>
        <v>768167</v>
      </c>
    </row>
    <row r="925" spans="1:14" outlineLevel="2" x14ac:dyDescent="0.35">
      <c r="A925" s="116" t="s">
        <v>33</v>
      </c>
      <c r="B925" s="115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</row>
    <row r="926" spans="1:14" ht="77.5" outlineLevel="2" x14ac:dyDescent="0.35">
      <c r="A926" s="113" t="s">
        <v>185</v>
      </c>
      <c r="B926" s="112" t="s">
        <v>184</v>
      </c>
      <c r="C926" s="111" t="s">
        <v>183</v>
      </c>
      <c r="D926" s="111" t="s">
        <v>182</v>
      </c>
      <c r="E926" s="111" t="s">
        <v>181</v>
      </c>
      <c r="F926" s="111" t="s">
        <v>180</v>
      </c>
      <c r="G926" s="111" t="s">
        <v>179</v>
      </c>
      <c r="H926" s="110" t="s">
        <v>674</v>
      </c>
      <c r="I926" s="110" t="s">
        <v>178</v>
      </c>
      <c r="J926" s="110" t="s">
        <v>177</v>
      </c>
      <c r="K926" s="111" t="s">
        <v>176</v>
      </c>
      <c r="L926" s="110" t="s">
        <v>175</v>
      </c>
      <c r="M926" s="110" t="s">
        <v>174</v>
      </c>
      <c r="N926" s="109" t="s">
        <v>173</v>
      </c>
    </row>
    <row r="927" spans="1:14" ht="31" outlineLevel="2" x14ac:dyDescent="0.35">
      <c r="A927" s="77" t="s">
        <v>539</v>
      </c>
      <c r="B927" s="108" t="s">
        <v>199</v>
      </c>
      <c r="C927" s="106">
        <v>601123</v>
      </c>
      <c r="D927" s="106">
        <v>-280</v>
      </c>
      <c r="E927" s="106">
        <v>0</v>
      </c>
      <c r="F927" s="106">
        <v>0</v>
      </c>
      <c r="G927" s="106">
        <v>0</v>
      </c>
      <c r="H927" s="106">
        <v>600843</v>
      </c>
      <c r="I927" s="106">
        <v>-600843</v>
      </c>
      <c r="J927" s="106">
        <v>0</v>
      </c>
      <c r="K927" s="106">
        <v>0</v>
      </c>
      <c r="L927" s="106">
        <v>0</v>
      </c>
      <c r="M927" s="106">
        <v>0</v>
      </c>
      <c r="N927" s="106">
        <v>0</v>
      </c>
    </row>
    <row r="928" spans="1:14" ht="31" outlineLevel="2" x14ac:dyDescent="0.35">
      <c r="A928" s="77" t="s">
        <v>539</v>
      </c>
      <c r="B928" s="108" t="s">
        <v>198</v>
      </c>
      <c r="C928" s="106">
        <v>1565610</v>
      </c>
      <c r="D928" s="106">
        <v>-2452</v>
      </c>
      <c r="E928" s="106">
        <v>0</v>
      </c>
      <c r="F928" s="106">
        <v>0</v>
      </c>
      <c r="G928" s="106">
        <v>0</v>
      </c>
      <c r="H928" s="106">
        <v>1563158</v>
      </c>
      <c r="I928" s="106">
        <v>-1563158</v>
      </c>
      <c r="J928" s="106">
        <v>0</v>
      </c>
      <c r="K928" s="106">
        <v>0</v>
      </c>
      <c r="L928" s="106">
        <v>0</v>
      </c>
      <c r="M928" s="106">
        <v>0</v>
      </c>
      <c r="N928" s="106">
        <v>0</v>
      </c>
    </row>
    <row r="929" spans="1:14" ht="31" outlineLevel="2" x14ac:dyDescent="0.35">
      <c r="A929" s="77" t="s">
        <v>539</v>
      </c>
      <c r="B929" s="108" t="s">
        <v>197</v>
      </c>
      <c r="C929" s="106">
        <v>1578068</v>
      </c>
      <c r="D929" s="106">
        <v>-99505</v>
      </c>
      <c r="E929" s="106">
        <v>0</v>
      </c>
      <c r="F929" s="106">
        <v>0</v>
      </c>
      <c r="G929" s="106">
        <v>0</v>
      </c>
      <c r="H929" s="106">
        <v>1478563</v>
      </c>
      <c r="I929" s="106">
        <v>-1478563</v>
      </c>
      <c r="J929" s="106">
        <v>0</v>
      </c>
      <c r="K929" s="106">
        <v>424523</v>
      </c>
      <c r="L929" s="106">
        <v>-424523</v>
      </c>
      <c r="M929" s="106">
        <v>0</v>
      </c>
      <c r="N929" s="106">
        <v>0</v>
      </c>
    </row>
    <row r="930" spans="1:14" ht="31" outlineLevel="2" x14ac:dyDescent="0.35">
      <c r="A930" s="77" t="s">
        <v>539</v>
      </c>
      <c r="B930" s="108" t="s">
        <v>196</v>
      </c>
      <c r="C930" s="106">
        <v>1747993</v>
      </c>
      <c r="D930" s="106">
        <v>-29418</v>
      </c>
      <c r="E930" s="106">
        <v>0</v>
      </c>
      <c r="F930" s="106">
        <v>0</v>
      </c>
      <c r="G930" s="106">
        <v>0</v>
      </c>
      <c r="H930" s="106">
        <v>1718575</v>
      </c>
      <c r="I930" s="106">
        <v>-1718575</v>
      </c>
      <c r="J930" s="106">
        <v>0</v>
      </c>
      <c r="K930" s="106">
        <v>198056</v>
      </c>
      <c r="L930" s="106">
        <v>-198056</v>
      </c>
      <c r="M930" s="106">
        <v>0</v>
      </c>
      <c r="N930" s="106">
        <v>0</v>
      </c>
    </row>
    <row r="931" spans="1:14" ht="31" outlineLevel="2" x14ac:dyDescent="0.35">
      <c r="A931" s="77" t="s">
        <v>539</v>
      </c>
      <c r="B931" s="108" t="s">
        <v>195</v>
      </c>
      <c r="C931" s="106">
        <v>1503572</v>
      </c>
      <c r="D931" s="106">
        <v>-21079</v>
      </c>
      <c r="E931" s="106">
        <v>0</v>
      </c>
      <c r="F931" s="106">
        <v>0</v>
      </c>
      <c r="G931" s="106">
        <v>0</v>
      </c>
      <c r="H931" s="106">
        <v>1482493</v>
      </c>
      <c r="I931" s="106">
        <v>-1482493</v>
      </c>
      <c r="J931" s="106">
        <v>0</v>
      </c>
      <c r="K931" s="106">
        <v>174322</v>
      </c>
      <c r="L931" s="106">
        <v>-174322</v>
      </c>
      <c r="M931" s="106">
        <v>0</v>
      </c>
      <c r="N931" s="106">
        <v>0</v>
      </c>
    </row>
    <row r="932" spans="1:14" ht="31" outlineLevel="2" x14ac:dyDescent="0.35">
      <c r="A932" s="77" t="s">
        <v>539</v>
      </c>
      <c r="B932" s="108" t="s">
        <v>194</v>
      </c>
      <c r="C932" s="106">
        <v>1125795</v>
      </c>
      <c r="D932" s="106">
        <v>-7322</v>
      </c>
      <c r="E932" s="106">
        <v>0</v>
      </c>
      <c r="F932" s="106">
        <v>0</v>
      </c>
      <c r="G932" s="106">
        <v>0</v>
      </c>
      <c r="H932" s="106">
        <v>1118473</v>
      </c>
      <c r="I932" s="106">
        <v>-1118473</v>
      </c>
      <c r="J932" s="106">
        <v>0</v>
      </c>
      <c r="K932" s="106">
        <v>220476</v>
      </c>
      <c r="L932" s="106">
        <v>-220476</v>
      </c>
      <c r="M932" s="106">
        <v>0</v>
      </c>
      <c r="N932" s="106">
        <v>0</v>
      </c>
    </row>
    <row r="933" spans="1:14" ht="31" outlineLevel="2" x14ac:dyDescent="0.35">
      <c r="A933" s="77" t="s">
        <v>539</v>
      </c>
      <c r="B933" s="108" t="s">
        <v>193</v>
      </c>
      <c r="C933" s="106">
        <v>1097856</v>
      </c>
      <c r="D933" s="106">
        <v>-6331</v>
      </c>
      <c r="E933" s="106">
        <v>0</v>
      </c>
      <c r="F933" s="106">
        <v>0</v>
      </c>
      <c r="G933" s="106">
        <v>0</v>
      </c>
      <c r="H933" s="106">
        <v>1091525</v>
      </c>
      <c r="I933" s="106">
        <v>-1091525</v>
      </c>
      <c r="J933" s="106">
        <v>0</v>
      </c>
      <c r="K933" s="106">
        <v>437671</v>
      </c>
      <c r="L933" s="106">
        <v>-436936</v>
      </c>
      <c r="M933" s="106">
        <v>735</v>
      </c>
      <c r="N933" s="106">
        <v>-735</v>
      </c>
    </row>
    <row r="934" spans="1:14" ht="31" outlineLevel="2" x14ac:dyDescent="0.35">
      <c r="A934" s="77" t="s">
        <v>539</v>
      </c>
      <c r="B934" s="108" t="s">
        <v>192</v>
      </c>
      <c r="C934" s="106">
        <v>1043556</v>
      </c>
      <c r="D934" s="106">
        <v>-152643</v>
      </c>
      <c r="E934" s="106">
        <v>0</v>
      </c>
      <c r="F934" s="106">
        <v>0</v>
      </c>
      <c r="G934" s="106">
        <v>0</v>
      </c>
      <c r="H934" s="106">
        <v>890913</v>
      </c>
      <c r="I934" s="106">
        <v>-890913</v>
      </c>
      <c r="J934" s="106">
        <v>0</v>
      </c>
      <c r="K934" s="106">
        <v>111023</v>
      </c>
      <c r="L934" s="106">
        <v>-111023</v>
      </c>
      <c r="M934" s="106">
        <v>0</v>
      </c>
      <c r="N934" s="106">
        <v>0</v>
      </c>
    </row>
    <row r="935" spans="1:14" ht="31" outlineLevel="2" x14ac:dyDescent="0.35">
      <c r="A935" s="77" t="s">
        <v>539</v>
      </c>
      <c r="B935" s="108" t="s">
        <v>191</v>
      </c>
      <c r="C935" s="106">
        <v>892502</v>
      </c>
      <c r="D935" s="106">
        <v>-73309</v>
      </c>
      <c r="E935" s="106">
        <v>0</v>
      </c>
      <c r="F935" s="106">
        <v>0</v>
      </c>
      <c r="G935" s="106">
        <v>0</v>
      </c>
      <c r="H935" s="106">
        <v>819193</v>
      </c>
      <c r="I935" s="106">
        <v>-819193</v>
      </c>
      <c r="J935" s="106">
        <v>0</v>
      </c>
      <c r="K935" s="106">
        <v>51427</v>
      </c>
      <c r="L935" s="106">
        <v>-51427</v>
      </c>
      <c r="M935" s="106">
        <v>0</v>
      </c>
      <c r="N935" s="106">
        <v>0</v>
      </c>
    </row>
    <row r="936" spans="1:14" ht="31" outlineLevel="2" x14ac:dyDescent="0.35">
      <c r="A936" s="77" t="s">
        <v>539</v>
      </c>
      <c r="B936" s="108" t="s">
        <v>190</v>
      </c>
      <c r="C936" s="106">
        <v>744921</v>
      </c>
      <c r="D936" s="106">
        <v>-43514</v>
      </c>
      <c r="E936" s="106">
        <v>0</v>
      </c>
      <c r="F936" s="106">
        <v>0</v>
      </c>
      <c r="G936" s="106">
        <v>0</v>
      </c>
      <c r="H936" s="106">
        <v>701407</v>
      </c>
      <c r="I936" s="106">
        <v>-701407</v>
      </c>
      <c r="J936" s="106">
        <v>0</v>
      </c>
      <c r="K936" s="106">
        <v>35268</v>
      </c>
      <c r="L936" s="106">
        <v>-35268</v>
      </c>
      <c r="M936" s="106">
        <v>0</v>
      </c>
      <c r="N936" s="106">
        <v>0</v>
      </c>
    </row>
    <row r="937" spans="1:14" ht="31" outlineLevel="2" x14ac:dyDescent="0.35">
      <c r="A937" s="77" t="s">
        <v>539</v>
      </c>
      <c r="B937" s="108" t="s">
        <v>189</v>
      </c>
      <c r="C937" s="106">
        <v>695102</v>
      </c>
      <c r="D937" s="106">
        <v>-60817</v>
      </c>
      <c r="E937" s="106">
        <v>0</v>
      </c>
      <c r="F937" s="106">
        <v>0</v>
      </c>
      <c r="G937" s="106">
        <v>0</v>
      </c>
      <c r="H937" s="106">
        <v>634285</v>
      </c>
      <c r="I937" s="106">
        <v>-634285</v>
      </c>
      <c r="J937" s="106">
        <v>0</v>
      </c>
      <c r="K937" s="106">
        <v>48327</v>
      </c>
      <c r="L937" s="106">
        <v>-48327</v>
      </c>
      <c r="M937" s="106">
        <v>0</v>
      </c>
      <c r="N937" s="106">
        <v>0</v>
      </c>
    </row>
    <row r="938" spans="1:14" ht="31" outlineLevel="2" x14ac:dyDescent="0.35">
      <c r="A938" s="77" t="s">
        <v>539</v>
      </c>
      <c r="B938" s="108" t="s">
        <v>188</v>
      </c>
      <c r="C938" s="106">
        <v>564614</v>
      </c>
      <c r="D938" s="106">
        <v>-12463</v>
      </c>
      <c r="E938" s="106">
        <v>0</v>
      </c>
      <c r="F938" s="106">
        <v>0</v>
      </c>
      <c r="G938" s="106">
        <v>0</v>
      </c>
      <c r="H938" s="106">
        <v>552151</v>
      </c>
      <c r="I938" s="106">
        <v>-552151</v>
      </c>
      <c r="J938" s="106">
        <v>0</v>
      </c>
      <c r="K938" s="106">
        <v>7616</v>
      </c>
      <c r="L938" s="106">
        <v>-7616</v>
      </c>
      <c r="M938" s="106">
        <v>0</v>
      </c>
      <c r="N938" s="106">
        <v>0</v>
      </c>
    </row>
    <row r="939" spans="1:14" ht="16" outlineLevel="2" thickBot="1" x14ac:dyDescent="0.4">
      <c r="A939" s="105" t="s">
        <v>418</v>
      </c>
      <c r="B939" s="79" t="s">
        <v>12</v>
      </c>
      <c r="C939" s="103">
        <f>SUBTOTAL(109,Program149[(C)
Program
Costs])</f>
        <v>13160712</v>
      </c>
      <c r="D939" s="103">
        <f>SUBTOTAL(109,Program149[(D)
Prior Period Adjustments])</f>
        <v>-509133</v>
      </c>
      <c r="E939" s="103">
        <f>SUBTOTAL(109,Program149[(E)
Current Period Desk 
Reviews])</f>
        <v>0</v>
      </c>
      <c r="F939" s="103">
        <f>SUBTOTAL(109,Program149[(F)
Current Period 
Final 
Audits])</f>
        <v>0</v>
      </c>
      <c r="G939" s="103">
        <f>SUBTOTAL(109,Program149[(G)
Current Period 
Other Adjustments])</f>
        <v>0</v>
      </c>
      <c r="H939" s="103">
        <f>SUBTOTAL(109,Program149[(H)
Net Program Costs
Sum (C through G)])</f>
        <v>12651579</v>
      </c>
      <c r="I939" s="103">
        <f>SUBTOTAL(109,Program149[(I)
Payments
 and Offsets])</f>
        <v>-12651579</v>
      </c>
      <c r="J939" s="103">
        <f>SUBTOTAL(109,Program149[(J)
Accounts Payable Balance
(H + I)])</f>
        <v>0</v>
      </c>
      <c r="K939" s="103">
        <f>SUBTOTAL(109,Program149[(K)
Established 
Accounts Receivable])</f>
        <v>1708709</v>
      </c>
      <c r="L939" s="103">
        <f>SUBTOTAL(109,Program149[(L)
Recovered
 Accounts Receivable])</f>
        <v>-1707974</v>
      </c>
      <c r="M939" s="103">
        <f>SUBTOTAL(109,Program149[(M)
Accounts Receivable Balance
(K + L)])</f>
        <v>735</v>
      </c>
      <c r="N939" s="103">
        <f>SUBTOTAL(109,Program149[(N)
Net Balance
(J minus M)])</f>
        <v>-735</v>
      </c>
    </row>
    <row r="940" spans="1:14" outlineLevel="2" x14ac:dyDescent="0.35">
      <c r="A940" s="116" t="s">
        <v>33</v>
      </c>
      <c r="B940" s="115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</row>
    <row r="941" spans="1:14" ht="77.5" outlineLevel="2" x14ac:dyDescent="0.35">
      <c r="A941" s="113" t="s">
        <v>185</v>
      </c>
      <c r="B941" s="112" t="s">
        <v>184</v>
      </c>
      <c r="C941" s="111" t="s">
        <v>183</v>
      </c>
      <c r="D941" s="111" t="s">
        <v>182</v>
      </c>
      <c r="E941" s="111" t="s">
        <v>181</v>
      </c>
      <c r="F941" s="111" t="s">
        <v>180</v>
      </c>
      <c r="G941" s="111" t="s">
        <v>179</v>
      </c>
      <c r="H941" s="110" t="s">
        <v>674</v>
      </c>
      <c r="I941" s="110" t="s">
        <v>178</v>
      </c>
      <c r="J941" s="110" t="s">
        <v>177</v>
      </c>
      <c r="K941" s="111" t="s">
        <v>176</v>
      </c>
      <c r="L941" s="110" t="s">
        <v>175</v>
      </c>
      <c r="M941" s="110" t="s">
        <v>174</v>
      </c>
      <c r="N941" s="109" t="s">
        <v>173</v>
      </c>
    </row>
    <row r="942" spans="1:14" outlineLevel="2" x14ac:dyDescent="0.35">
      <c r="A942" s="108" t="s">
        <v>538</v>
      </c>
      <c r="B942" s="108" t="s">
        <v>215</v>
      </c>
      <c r="C942" s="106">
        <v>8800</v>
      </c>
      <c r="D942" s="106">
        <v>0</v>
      </c>
      <c r="E942" s="106">
        <v>0</v>
      </c>
      <c r="F942" s="106">
        <v>0</v>
      </c>
      <c r="G942" s="106">
        <v>0</v>
      </c>
      <c r="H942" s="106">
        <v>8800</v>
      </c>
      <c r="I942" s="106">
        <v>0</v>
      </c>
      <c r="J942" s="106">
        <v>8800</v>
      </c>
      <c r="K942" s="106">
        <v>0</v>
      </c>
      <c r="L942" s="106">
        <v>0</v>
      </c>
      <c r="M942" s="106">
        <v>0</v>
      </c>
      <c r="N942" s="106">
        <v>8800</v>
      </c>
    </row>
    <row r="943" spans="1:14" outlineLevel="2" x14ac:dyDescent="0.35">
      <c r="A943" s="108" t="s">
        <v>538</v>
      </c>
      <c r="B943" s="108" t="s">
        <v>214</v>
      </c>
      <c r="C943" s="106">
        <v>7120</v>
      </c>
      <c r="D943" s="106">
        <v>0</v>
      </c>
      <c r="E943" s="106">
        <v>0</v>
      </c>
      <c r="F943" s="106">
        <v>0</v>
      </c>
      <c r="G943" s="106">
        <v>0</v>
      </c>
      <c r="H943" s="106">
        <v>7120</v>
      </c>
      <c r="I943" s="106">
        <v>-1000</v>
      </c>
      <c r="J943" s="106">
        <v>6120</v>
      </c>
      <c r="K943" s="106">
        <v>0</v>
      </c>
      <c r="L943" s="106">
        <v>0</v>
      </c>
      <c r="M943" s="106">
        <v>0</v>
      </c>
      <c r="N943" s="106">
        <v>6120</v>
      </c>
    </row>
    <row r="944" spans="1:14" outlineLevel="2" x14ac:dyDescent="0.35">
      <c r="A944" s="108" t="s">
        <v>538</v>
      </c>
      <c r="B944" s="108" t="s">
        <v>212</v>
      </c>
      <c r="C944" s="106">
        <v>3284</v>
      </c>
      <c r="D944" s="106">
        <v>0</v>
      </c>
      <c r="E944" s="106">
        <v>0</v>
      </c>
      <c r="F944" s="106">
        <v>0</v>
      </c>
      <c r="G944" s="106">
        <v>0</v>
      </c>
      <c r="H944" s="106">
        <v>3284</v>
      </c>
      <c r="I944" s="106">
        <v>-1000</v>
      </c>
      <c r="J944" s="106">
        <v>2284</v>
      </c>
      <c r="K944" s="106">
        <v>0</v>
      </c>
      <c r="L944" s="106">
        <v>0</v>
      </c>
      <c r="M944" s="106">
        <v>0</v>
      </c>
      <c r="N944" s="106">
        <v>2284</v>
      </c>
    </row>
    <row r="945" spans="1:14" outlineLevel="2" x14ac:dyDescent="0.35">
      <c r="A945" s="108" t="s">
        <v>538</v>
      </c>
      <c r="B945" s="108" t="s">
        <v>220</v>
      </c>
      <c r="C945" s="106">
        <v>13759</v>
      </c>
      <c r="D945" s="106">
        <v>0</v>
      </c>
      <c r="E945" s="106">
        <v>0</v>
      </c>
      <c r="F945" s="106">
        <v>0</v>
      </c>
      <c r="G945" s="106">
        <v>0</v>
      </c>
      <c r="H945" s="106">
        <v>13759</v>
      </c>
      <c r="I945" s="106">
        <v>-1000</v>
      </c>
      <c r="J945" s="106">
        <v>12759</v>
      </c>
      <c r="K945" s="106">
        <v>0</v>
      </c>
      <c r="L945" s="106">
        <v>0</v>
      </c>
      <c r="M945" s="106">
        <v>0</v>
      </c>
      <c r="N945" s="106">
        <v>12759</v>
      </c>
    </row>
    <row r="946" spans="1:14" outlineLevel="1" x14ac:dyDescent="0.35">
      <c r="A946" s="108" t="s">
        <v>538</v>
      </c>
      <c r="B946" s="108" t="s">
        <v>219</v>
      </c>
      <c r="C946" s="106">
        <v>137810</v>
      </c>
      <c r="D946" s="106">
        <v>0</v>
      </c>
      <c r="E946" s="106">
        <v>0</v>
      </c>
      <c r="F946" s="106">
        <v>0</v>
      </c>
      <c r="G946" s="106">
        <v>0</v>
      </c>
      <c r="H946" s="106">
        <v>137810</v>
      </c>
      <c r="I946" s="106">
        <v>-36419</v>
      </c>
      <c r="J946" s="106">
        <v>101391</v>
      </c>
      <c r="K946" s="106">
        <v>0</v>
      </c>
      <c r="L946" s="106">
        <v>0</v>
      </c>
      <c r="M946" s="106">
        <v>0</v>
      </c>
      <c r="N946" s="106">
        <v>101391</v>
      </c>
    </row>
    <row r="947" spans="1:14" ht="15.65" customHeight="1" outlineLevel="1" x14ac:dyDescent="0.35">
      <c r="A947" s="108" t="s">
        <v>538</v>
      </c>
      <c r="B947" s="108" t="s">
        <v>218</v>
      </c>
      <c r="C947" s="106">
        <v>140532</v>
      </c>
      <c r="D947" s="106">
        <v>0</v>
      </c>
      <c r="E947" s="106">
        <v>0</v>
      </c>
      <c r="F947" s="106">
        <v>0</v>
      </c>
      <c r="G947" s="106">
        <v>0</v>
      </c>
      <c r="H947" s="106">
        <v>140532</v>
      </c>
      <c r="I947" s="106">
        <v>-62155</v>
      </c>
      <c r="J947" s="106">
        <v>78377</v>
      </c>
      <c r="K947" s="106">
        <v>0</v>
      </c>
      <c r="L947" s="106">
        <v>0</v>
      </c>
      <c r="M947" s="106">
        <v>0</v>
      </c>
      <c r="N947" s="106">
        <v>78377</v>
      </c>
    </row>
    <row r="948" spans="1:14" ht="15" customHeight="1" outlineLevel="1" x14ac:dyDescent="0.35">
      <c r="A948" s="108" t="s">
        <v>538</v>
      </c>
      <c r="B948" s="108" t="s">
        <v>209</v>
      </c>
      <c r="C948" s="106">
        <v>670268</v>
      </c>
      <c r="D948" s="106">
        <v>-14949</v>
      </c>
      <c r="E948" s="106">
        <v>0</v>
      </c>
      <c r="F948" s="106">
        <v>0</v>
      </c>
      <c r="G948" s="106">
        <v>0</v>
      </c>
      <c r="H948" s="106">
        <v>655319</v>
      </c>
      <c r="I948" s="106">
        <v>-407291</v>
      </c>
      <c r="J948" s="106">
        <v>248028</v>
      </c>
      <c r="K948" s="106">
        <v>0</v>
      </c>
      <c r="L948" s="106">
        <v>0</v>
      </c>
      <c r="M948" s="106">
        <v>0</v>
      </c>
      <c r="N948" s="106">
        <v>248028</v>
      </c>
    </row>
    <row r="949" spans="1:14" outlineLevel="2" x14ac:dyDescent="0.35">
      <c r="A949" s="108" t="s">
        <v>538</v>
      </c>
      <c r="B949" s="108" t="s">
        <v>208</v>
      </c>
      <c r="C949" s="106">
        <v>3698995</v>
      </c>
      <c r="D949" s="106">
        <v>-13503</v>
      </c>
      <c r="E949" s="106">
        <v>0</v>
      </c>
      <c r="F949" s="106">
        <v>0</v>
      </c>
      <c r="G949" s="106">
        <v>0</v>
      </c>
      <c r="H949" s="106">
        <v>3685492</v>
      </c>
      <c r="I949" s="106">
        <v>-3016024</v>
      </c>
      <c r="J949" s="106">
        <v>669468</v>
      </c>
      <c r="K949" s="106">
        <v>0</v>
      </c>
      <c r="L949" s="106">
        <v>0</v>
      </c>
      <c r="M949" s="106">
        <v>0</v>
      </c>
      <c r="N949" s="106">
        <v>669468</v>
      </c>
    </row>
    <row r="950" spans="1:14" outlineLevel="2" x14ac:dyDescent="0.35">
      <c r="A950" s="108" t="s">
        <v>538</v>
      </c>
      <c r="B950" s="108" t="s">
        <v>206</v>
      </c>
      <c r="C950" s="106">
        <v>4632484</v>
      </c>
      <c r="D950" s="106">
        <v>-14699</v>
      </c>
      <c r="E950" s="106">
        <v>0</v>
      </c>
      <c r="F950" s="106">
        <v>0</v>
      </c>
      <c r="G950" s="106">
        <v>0</v>
      </c>
      <c r="H950" s="106">
        <v>4617785</v>
      </c>
      <c r="I950" s="106">
        <v>-3861580</v>
      </c>
      <c r="J950" s="106">
        <v>756205</v>
      </c>
      <c r="K950" s="106">
        <v>0</v>
      </c>
      <c r="L950" s="106">
        <v>0</v>
      </c>
      <c r="M950" s="106">
        <v>0</v>
      </c>
      <c r="N950" s="106">
        <v>756205</v>
      </c>
    </row>
    <row r="951" spans="1:14" outlineLevel="2" x14ac:dyDescent="0.35">
      <c r="A951" s="108" t="s">
        <v>538</v>
      </c>
      <c r="B951" s="108" t="s">
        <v>205</v>
      </c>
      <c r="C951" s="106">
        <v>4429508</v>
      </c>
      <c r="D951" s="106">
        <v>-35055</v>
      </c>
      <c r="E951" s="106">
        <v>0</v>
      </c>
      <c r="F951" s="106">
        <v>0</v>
      </c>
      <c r="G951" s="106">
        <v>0</v>
      </c>
      <c r="H951" s="106">
        <v>4394453</v>
      </c>
      <c r="I951" s="106">
        <v>-4276983</v>
      </c>
      <c r="J951" s="106">
        <v>117470</v>
      </c>
      <c r="K951" s="106">
        <v>0</v>
      </c>
      <c r="L951" s="106">
        <v>0</v>
      </c>
      <c r="M951" s="106">
        <v>0</v>
      </c>
      <c r="N951" s="106">
        <v>117470</v>
      </c>
    </row>
    <row r="952" spans="1:14" outlineLevel="2" x14ac:dyDescent="0.35">
      <c r="A952" s="108" t="s">
        <v>538</v>
      </c>
      <c r="B952" s="108" t="s">
        <v>204</v>
      </c>
      <c r="C952" s="106">
        <v>4494197</v>
      </c>
      <c r="D952" s="106">
        <v>-58422</v>
      </c>
      <c r="E952" s="106">
        <v>0</v>
      </c>
      <c r="F952" s="106">
        <v>0</v>
      </c>
      <c r="G952" s="106">
        <v>0</v>
      </c>
      <c r="H952" s="106">
        <v>4435775</v>
      </c>
      <c r="I952" s="106">
        <v>-4210760</v>
      </c>
      <c r="J952" s="106">
        <v>225015</v>
      </c>
      <c r="K952" s="106">
        <v>12323</v>
      </c>
      <c r="L952" s="106">
        <v>-8157</v>
      </c>
      <c r="M952" s="106">
        <v>4166</v>
      </c>
      <c r="N952" s="106">
        <v>220849</v>
      </c>
    </row>
    <row r="953" spans="1:14" outlineLevel="2" x14ac:dyDescent="0.35">
      <c r="A953" s="108" t="s">
        <v>538</v>
      </c>
      <c r="B953" s="108" t="s">
        <v>203</v>
      </c>
      <c r="C953" s="106">
        <v>4330411</v>
      </c>
      <c r="D953" s="106">
        <v>-92025</v>
      </c>
      <c r="E953" s="106">
        <v>0</v>
      </c>
      <c r="F953" s="106">
        <v>0</v>
      </c>
      <c r="G953" s="106">
        <v>0</v>
      </c>
      <c r="H953" s="106">
        <v>4238386</v>
      </c>
      <c r="I953" s="106">
        <v>-3825740</v>
      </c>
      <c r="J953" s="106">
        <v>412646</v>
      </c>
      <c r="K953" s="106">
        <v>0</v>
      </c>
      <c r="L953" s="106">
        <v>0</v>
      </c>
      <c r="M953" s="106">
        <v>0</v>
      </c>
      <c r="N953" s="106">
        <v>412646</v>
      </c>
    </row>
    <row r="954" spans="1:14" outlineLevel="2" x14ac:dyDescent="0.35">
      <c r="A954" s="108" t="s">
        <v>538</v>
      </c>
      <c r="B954" s="108" t="s">
        <v>202</v>
      </c>
      <c r="C954" s="106">
        <v>4599463</v>
      </c>
      <c r="D954" s="106">
        <v>-89653</v>
      </c>
      <c r="E954" s="106">
        <v>0</v>
      </c>
      <c r="F954" s="106">
        <v>0</v>
      </c>
      <c r="G954" s="106">
        <v>0</v>
      </c>
      <c r="H954" s="106">
        <v>4509810</v>
      </c>
      <c r="I954" s="106">
        <v>-4361183</v>
      </c>
      <c r="J954" s="106">
        <v>148627</v>
      </c>
      <c r="K954" s="106">
        <v>65813</v>
      </c>
      <c r="L954" s="106">
        <v>-59790</v>
      </c>
      <c r="M954" s="106">
        <v>6023</v>
      </c>
      <c r="N954" s="106">
        <v>142604</v>
      </c>
    </row>
    <row r="955" spans="1:14" outlineLevel="1" x14ac:dyDescent="0.35">
      <c r="A955" s="108" t="s">
        <v>538</v>
      </c>
      <c r="B955" s="108" t="s">
        <v>201</v>
      </c>
      <c r="C955" s="106">
        <v>4752865</v>
      </c>
      <c r="D955" s="106">
        <v>-16712</v>
      </c>
      <c r="E955" s="106">
        <v>0</v>
      </c>
      <c r="F955" s="106">
        <v>0</v>
      </c>
      <c r="G955" s="106">
        <v>0</v>
      </c>
      <c r="H955" s="106">
        <v>4736153</v>
      </c>
      <c r="I955" s="106">
        <v>-4678559</v>
      </c>
      <c r="J955" s="106">
        <v>57594</v>
      </c>
      <c r="K955" s="106">
        <v>1319463</v>
      </c>
      <c r="L955" s="106">
        <v>-1295960</v>
      </c>
      <c r="M955" s="106">
        <v>23503</v>
      </c>
      <c r="N955" s="106">
        <v>34091</v>
      </c>
    </row>
    <row r="956" spans="1:14" ht="15.65" customHeight="1" outlineLevel="1" x14ac:dyDescent="0.35">
      <c r="A956" s="108" t="s">
        <v>538</v>
      </c>
      <c r="B956" s="108" t="s">
        <v>200</v>
      </c>
      <c r="C956" s="106">
        <v>4266539</v>
      </c>
      <c r="D956" s="106">
        <v>-7199</v>
      </c>
      <c r="E956" s="106">
        <v>0</v>
      </c>
      <c r="F956" s="106">
        <v>0</v>
      </c>
      <c r="G956" s="106">
        <v>0</v>
      </c>
      <c r="H956" s="106">
        <v>4259340</v>
      </c>
      <c r="I956" s="106">
        <v>-4259340</v>
      </c>
      <c r="J956" s="106">
        <v>0</v>
      </c>
      <c r="K956" s="106">
        <v>0</v>
      </c>
      <c r="L956" s="106">
        <v>0</v>
      </c>
      <c r="M956" s="106">
        <v>0</v>
      </c>
      <c r="N956" s="106">
        <v>0</v>
      </c>
    </row>
    <row r="957" spans="1:14" ht="15" customHeight="1" outlineLevel="1" x14ac:dyDescent="0.35">
      <c r="A957" s="108" t="s">
        <v>538</v>
      </c>
      <c r="B957" s="108" t="s">
        <v>199</v>
      </c>
      <c r="C957" s="106">
        <v>5052147</v>
      </c>
      <c r="D957" s="106">
        <v>-10835</v>
      </c>
      <c r="E957" s="106">
        <v>0</v>
      </c>
      <c r="F957" s="106">
        <v>0</v>
      </c>
      <c r="G957" s="106">
        <v>0</v>
      </c>
      <c r="H957" s="106">
        <v>5041312</v>
      </c>
      <c r="I957" s="106">
        <v>-5041312</v>
      </c>
      <c r="J957" s="106">
        <v>0</v>
      </c>
      <c r="K957" s="106">
        <v>0</v>
      </c>
      <c r="L957" s="106">
        <v>0</v>
      </c>
      <c r="M957" s="106">
        <v>0</v>
      </c>
      <c r="N957" s="106">
        <v>0</v>
      </c>
    </row>
    <row r="958" spans="1:14" outlineLevel="2" x14ac:dyDescent="0.35">
      <c r="A958" s="108" t="s">
        <v>538</v>
      </c>
      <c r="B958" s="108" t="s">
        <v>198</v>
      </c>
      <c r="C958" s="106">
        <v>7430311</v>
      </c>
      <c r="D958" s="106">
        <v>-194521</v>
      </c>
      <c r="E958" s="106">
        <v>0</v>
      </c>
      <c r="F958" s="106">
        <v>0</v>
      </c>
      <c r="G958" s="106">
        <v>0</v>
      </c>
      <c r="H958" s="106">
        <v>7235790</v>
      </c>
      <c r="I958" s="106">
        <v>-7235790</v>
      </c>
      <c r="J958" s="106">
        <v>0</v>
      </c>
      <c r="K958" s="106">
        <v>204853</v>
      </c>
      <c r="L958" s="106">
        <v>-204853</v>
      </c>
      <c r="M958" s="106">
        <v>0</v>
      </c>
      <c r="N958" s="106">
        <v>0</v>
      </c>
    </row>
    <row r="959" spans="1:14" outlineLevel="2" x14ac:dyDescent="0.35">
      <c r="A959" s="108" t="s">
        <v>538</v>
      </c>
      <c r="B959" s="108" t="s">
        <v>197</v>
      </c>
      <c r="C959" s="106">
        <v>8876775</v>
      </c>
      <c r="D959" s="106">
        <v>-588849</v>
      </c>
      <c r="E959" s="106">
        <v>0</v>
      </c>
      <c r="F959" s="106">
        <v>0</v>
      </c>
      <c r="G959" s="106">
        <v>0</v>
      </c>
      <c r="H959" s="106">
        <v>8287926</v>
      </c>
      <c r="I959" s="106">
        <v>-8287926</v>
      </c>
      <c r="J959" s="106">
        <v>0</v>
      </c>
      <c r="K959" s="106">
        <v>1426115</v>
      </c>
      <c r="L959" s="106">
        <v>-1425358</v>
      </c>
      <c r="M959" s="106">
        <v>757</v>
      </c>
      <c r="N959" s="106">
        <v>-757</v>
      </c>
    </row>
    <row r="960" spans="1:14" outlineLevel="2" x14ac:dyDescent="0.35">
      <c r="A960" s="108" t="s">
        <v>538</v>
      </c>
      <c r="B960" s="108" t="s">
        <v>196</v>
      </c>
      <c r="C960" s="106">
        <v>10807342</v>
      </c>
      <c r="D960" s="106">
        <v>-1000072</v>
      </c>
      <c r="E960" s="106">
        <v>0</v>
      </c>
      <c r="F960" s="106">
        <v>0</v>
      </c>
      <c r="G960" s="106">
        <v>0</v>
      </c>
      <c r="H960" s="106">
        <v>9807270</v>
      </c>
      <c r="I960" s="106">
        <v>-9807270</v>
      </c>
      <c r="J960" s="106">
        <v>0</v>
      </c>
      <c r="K960" s="106">
        <v>1636613</v>
      </c>
      <c r="L960" s="106">
        <v>-1636463</v>
      </c>
      <c r="M960" s="106">
        <v>150</v>
      </c>
      <c r="N960" s="106">
        <v>-150</v>
      </c>
    </row>
    <row r="961" spans="1:14" outlineLevel="2" x14ac:dyDescent="0.35">
      <c r="A961" s="108" t="s">
        <v>538</v>
      </c>
      <c r="B961" s="108" t="s">
        <v>195</v>
      </c>
      <c r="C961" s="106">
        <v>10997836</v>
      </c>
      <c r="D961" s="106">
        <v>-176558</v>
      </c>
      <c r="E961" s="106">
        <v>0</v>
      </c>
      <c r="F961" s="106">
        <v>0</v>
      </c>
      <c r="G961" s="106">
        <v>0</v>
      </c>
      <c r="H961" s="106">
        <v>10821278</v>
      </c>
      <c r="I961" s="106">
        <v>-10821278</v>
      </c>
      <c r="J961" s="106">
        <v>0</v>
      </c>
      <c r="K961" s="106">
        <v>593229</v>
      </c>
      <c r="L961" s="106">
        <v>-593229</v>
      </c>
      <c r="M961" s="106">
        <v>0</v>
      </c>
      <c r="N961" s="106">
        <v>0</v>
      </c>
    </row>
    <row r="962" spans="1:14" outlineLevel="2" x14ac:dyDescent="0.35">
      <c r="A962" s="108" t="s">
        <v>538</v>
      </c>
      <c r="B962" s="108" t="s">
        <v>194</v>
      </c>
      <c r="C962" s="106">
        <v>7058063</v>
      </c>
      <c r="D962" s="106">
        <v>-26448</v>
      </c>
      <c r="E962" s="106">
        <v>0</v>
      </c>
      <c r="F962" s="106">
        <v>0</v>
      </c>
      <c r="G962" s="106">
        <v>0</v>
      </c>
      <c r="H962" s="106">
        <v>7031615</v>
      </c>
      <c r="I962" s="106">
        <v>-7031615</v>
      </c>
      <c r="J962" s="106">
        <v>0</v>
      </c>
      <c r="K962" s="106">
        <v>1141856</v>
      </c>
      <c r="L962" s="106">
        <v>-1141856</v>
      </c>
      <c r="M962" s="106">
        <v>0</v>
      </c>
      <c r="N962" s="106">
        <v>0</v>
      </c>
    </row>
    <row r="963" spans="1:14" outlineLevel="2" x14ac:dyDescent="0.35">
      <c r="A963" s="108" t="s">
        <v>538</v>
      </c>
      <c r="B963" s="108" t="s">
        <v>193</v>
      </c>
      <c r="C963" s="106">
        <v>6009155</v>
      </c>
      <c r="D963" s="106">
        <v>1896</v>
      </c>
      <c r="E963" s="106">
        <v>0</v>
      </c>
      <c r="F963" s="106">
        <v>0</v>
      </c>
      <c r="G963" s="106">
        <v>0</v>
      </c>
      <c r="H963" s="106">
        <v>6011051</v>
      </c>
      <c r="I963" s="106">
        <v>-6011051</v>
      </c>
      <c r="J963" s="106">
        <v>0</v>
      </c>
      <c r="K963" s="106">
        <v>423593</v>
      </c>
      <c r="L963" s="106">
        <v>-423593</v>
      </c>
      <c r="M963" s="106">
        <v>0</v>
      </c>
      <c r="N963" s="106">
        <v>0</v>
      </c>
    </row>
    <row r="964" spans="1:14" outlineLevel="2" x14ac:dyDescent="0.35">
      <c r="A964" s="108" t="s">
        <v>538</v>
      </c>
      <c r="B964" s="108" t="s">
        <v>192</v>
      </c>
      <c r="C964" s="106">
        <v>5088011</v>
      </c>
      <c r="D964" s="106">
        <v>-6123</v>
      </c>
      <c r="E964" s="106">
        <v>0</v>
      </c>
      <c r="F964" s="106">
        <v>0</v>
      </c>
      <c r="G964" s="106">
        <v>0</v>
      </c>
      <c r="H964" s="106">
        <v>5081888</v>
      </c>
      <c r="I964" s="106">
        <v>-5081888</v>
      </c>
      <c r="J964" s="106">
        <v>0</v>
      </c>
      <c r="K964" s="106">
        <v>291561</v>
      </c>
      <c r="L964" s="106">
        <v>-291561</v>
      </c>
      <c r="M964" s="106">
        <v>0</v>
      </c>
      <c r="N964" s="106">
        <v>0</v>
      </c>
    </row>
    <row r="965" spans="1:14" outlineLevel="2" x14ac:dyDescent="0.35">
      <c r="A965" s="108" t="s">
        <v>538</v>
      </c>
      <c r="B965" s="108" t="s">
        <v>191</v>
      </c>
      <c r="C965" s="106">
        <v>4222625</v>
      </c>
      <c r="D965" s="106">
        <v>-1028609</v>
      </c>
      <c r="E965" s="106">
        <v>0</v>
      </c>
      <c r="F965" s="106">
        <v>0</v>
      </c>
      <c r="G965" s="106">
        <v>0</v>
      </c>
      <c r="H965" s="106">
        <v>3194016</v>
      </c>
      <c r="I965" s="106">
        <v>-3194016</v>
      </c>
      <c r="J965" s="106">
        <v>0</v>
      </c>
      <c r="K965" s="106">
        <v>246277</v>
      </c>
      <c r="L965" s="106">
        <v>-246277</v>
      </c>
      <c r="M965" s="106">
        <v>0</v>
      </c>
      <c r="N965" s="106">
        <v>0</v>
      </c>
    </row>
    <row r="966" spans="1:14" outlineLevel="2" x14ac:dyDescent="0.35">
      <c r="A966" s="108" t="s">
        <v>538</v>
      </c>
      <c r="B966" s="108" t="s">
        <v>190</v>
      </c>
      <c r="C966" s="106">
        <v>3831288</v>
      </c>
      <c r="D966" s="106">
        <v>-749995</v>
      </c>
      <c r="E966" s="106">
        <v>0</v>
      </c>
      <c r="F966" s="106">
        <v>0</v>
      </c>
      <c r="G966" s="106">
        <v>0</v>
      </c>
      <c r="H966" s="106">
        <v>3081293</v>
      </c>
      <c r="I966" s="106">
        <v>-3081293</v>
      </c>
      <c r="J966" s="106">
        <v>0</v>
      </c>
      <c r="K966" s="106">
        <v>130914</v>
      </c>
      <c r="L966" s="106">
        <v>-130914</v>
      </c>
      <c r="M966" s="106">
        <v>0</v>
      </c>
      <c r="N966" s="106">
        <v>0</v>
      </c>
    </row>
    <row r="967" spans="1:14" outlineLevel="2" x14ac:dyDescent="0.35">
      <c r="A967" s="108" t="s">
        <v>538</v>
      </c>
      <c r="B967" s="108" t="s">
        <v>189</v>
      </c>
      <c r="C967" s="106">
        <v>2993998</v>
      </c>
      <c r="D967" s="106">
        <v>-690363</v>
      </c>
      <c r="E967" s="106">
        <v>0</v>
      </c>
      <c r="F967" s="106">
        <v>0</v>
      </c>
      <c r="G967" s="106">
        <v>0</v>
      </c>
      <c r="H967" s="106">
        <v>2303635</v>
      </c>
      <c r="I967" s="106">
        <v>-2303635</v>
      </c>
      <c r="J967" s="106">
        <v>0</v>
      </c>
      <c r="K967" s="106">
        <v>103458</v>
      </c>
      <c r="L967" s="106">
        <v>-103458</v>
      </c>
      <c r="M967" s="106">
        <v>0</v>
      </c>
      <c r="N967" s="106">
        <v>0</v>
      </c>
    </row>
    <row r="968" spans="1:14" ht="16" outlineLevel="2" thickBot="1" x14ac:dyDescent="0.4">
      <c r="A968" s="105" t="s">
        <v>417</v>
      </c>
      <c r="B968" s="79" t="s">
        <v>12</v>
      </c>
      <c r="C968" s="103">
        <f>SUBTOTAL(109,Program153[(C)
Program
Costs])</f>
        <v>108553586</v>
      </c>
      <c r="D968" s="103">
        <f>SUBTOTAL(109,Program153[(D)
Prior Period Adjustments])</f>
        <v>-4812694</v>
      </c>
      <c r="E968" s="103">
        <f>SUBTOTAL(109,Program153[(E)
Current Period Desk 
Reviews])</f>
        <v>0</v>
      </c>
      <c r="F968" s="103">
        <f>SUBTOTAL(109,Program153[(F)
Current Period 
Final 
Audits])</f>
        <v>0</v>
      </c>
      <c r="G968" s="103">
        <f>SUBTOTAL(109,Program153[(G)
Current Period 
Other Adjustments])</f>
        <v>0</v>
      </c>
      <c r="H968" s="103">
        <f>SUBTOTAL(109,Program153[(H)
Net Program Costs
Sum (C through G)])</f>
        <v>103740892</v>
      </c>
      <c r="I968" s="103">
        <f>SUBTOTAL(109,Program153[(I)
Payments
 and Offsets])</f>
        <v>-100896108</v>
      </c>
      <c r="J968" s="103">
        <f>SUBTOTAL(109,Program153[(J)
Accounts Payable Balance
(H + I)])</f>
        <v>2844784</v>
      </c>
      <c r="K968" s="103">
        <f>SUBTOTAL(109,Program153[(K)
Established 
Accounts Receivable])</f>
        <v>7596068</v>
      </c>
      <c r="L968" s="103">
        <f>SUBTOTAL(109,Program153[(L)
Recovered
 Accounts Receivable])</f>
        <v>-7561469</v>
      </c>
      <c r="M968" s="103">
        <f>SUBTOTAL(109,Program153[(M)
Accounts Receivable Balance
(K + L)])</f>
        <v>34599</v>
      </c>
      <c r="N968" s="103">
        <f>SUBTOTAL(109,Program153[(N)
Net Balance
(J minus M)])</f>
        <v>2810185</v>
      </c>
    </row>
    <row r="969" spans="1:14" outlineLevel="2" x14ac:dyDescent="0.35">
      <c r="A969" s="116" t="s">
        <v>33</v>
      </c>
      <c r="B969" s="115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</row>
    <row r="970" spans="1:14" ht="77.5" outlineLevel="2" x14ac:dyDescent="0.35">
      <c r="A970" s="113" t="s">
        <v>185</v>
      </c>
      <c r="B970" s="112" t="s">
        <v>184</v>
      </c>
      <c r="C970" s="111" t="s">
        <v>183</v>
      </c>
      <c r="D970" s="111" t="s">
        <v>182</v>
      </c>
      <c r="E970" s="111" t="s">
        <v>181</v>
      </c>
      <c r="F970" s="111" t="s">
        <v>180</v>
      </c>
      <c r="G970" s="111" t="s">
        <v>179</v>
      </c>
      <c r="H970" s="110" t="s">
        <v>674</v>
      </c>
      <c r="I970" s="110" t="s">
        <v>178</v>
      </c>
      <c r="J970" s="110" t="s">
        <v>177</v>
      </c>
      <c r="K970" s="111" t="s">
        <v>176</v>
      </c>
      <c r="L970" s="110" t="s">
        <v>175</v>
      </c>
      <c r="M970" s="110" t="s">
        <v>174</v>
      </c>
      <c r="N970" s="109" t="s">
        <v>173</v>
      </c>
    </row>
    <row r="971" spans="1:14" outlineLevel="1" x14ac:dyDescent="0.35">
      <c r="A971" s="108" t="s">
        <v>537</v>
      </c>
      <c r="B971" s="108" t="s">
        <v>199</v>
      </c>
      <c r="C971" s="106">
        <v>336886</v>
      </c>
      <c r="D971" s="106">
        <v>0</v>
      </c>
      <c r="E971" s="106">
        <v>0</v>
      </c>
      <c r="F971" s="106">
        <v>0</v>
      </c>
      <c r="G971" s="106">
        <v>0</v>
      </c>
      <c r="H971" s="106">
        <v>336886</v>
      </c>
      <c r="I971" s="106">
        <v>-336886</v>
      </c>
      <c r="J971" s="106">
        <v>0</v>
      </c>
      <c r="K971" s="106">
        <v>0</v>
      </c>
      <c r="L971" s="106">
        <v>0</v>
      </c>
      <c r="M971" s="106">
        <v>0</v>
      </c>
      <c r="N971" s="106">
        <v>0</v>
      </c>
    </row>
    <row r="972" spans="1:14" ht="15.65" customHeight="1" outlineLevel="1" x14ac:dyDescent="0.35">
      <c r="A972" s="108" t="s">
        <v>537</v>
      </c>
      <c r="B972" s="108" t="s">
        <v>198</v>
      </c>
      <c r="C972" s="106">
        <v>428848</v>
      </c>
      <c r="D972" s="106">
        <v>-381</v>
      </c>
      <c r="E972" s="106">
        <v>0</v>
      </c>
      <c r="F972" s="106">
        <v>0</v>
      </c>
      <c r="G972" s="106">
        <v>0</v>
      </c>
      <c r="H972" s="106">
        <v>428467</v>
      </c>
      <c r="I972" s="106">
        <v>-428467</v>
      </c>
      <c r="J972" s="106">
        <v>0</v>
      </c>
      <c r="K972" s="106">
        <v>0</v>
      </c>
      <c r="L972" s="106">
        <v>0</v>
      </c>
      <c r="M972" s="106">
        <v>0</v>
      </c>
      <c r="N972" s="106">
        <v>0</v>
      </c>
    </row>
    <row r="973" spans="1:14" ht="15" customHeight="1" outlineLevel="1" x14ac:dyDescent="0.35">
      <c r="A973" s="108" t="s">
        <v>537</v>
      </c>
      <c r="B973" s="108" t="s">
        <v>197</v>
      </c>
      <c r="C973" s="106">
        <v>302411</v>
      </c>
      <c r="D973" s="106">
        <v>-45298</v>
      </c>
      <c r="E973" s="106">
        <v>0</v>
      </c>
      <c r="F973" s="106">
        <v>0</v>
      </c>
      <c r="G973" s="106">
        <v>0</v>
      </c>
      <c r="H973" s="106">
        <v>257113</v>
      </c>
      <c r="I973" s="106">
        <v>-257113</v>
      </c>
      <c r="J973" s="106">
        <v>0</v>
      </c>
      <c r="K973" s="106">
        <v>75436</v>
      </c>
      <c r="L973" s="106">
        <v>-75436</v>
      </c>
      <c r="M973" s="106">
        <v>0</v>
      </c>
      <c r="N973" s="106">
        <v>0</v>
      </c>
    </row>
    <row r="974" spans="1:14" outlineLevel="2" x14ac:dyDescent="0.35">
      <c r="A974" s="108" t="s">
        <v>537</v>
      </c>
      <c r="B974" s="108" t="s">
        <v>196</v>
      </c>
      <c r="C974" s="106">
        <v>256543</v>
      </c>
      <c r="D974" s="106">
        <v>-24663</v>
      </c>
      <c r="E974" s="106">
        <v>0</v>
      </c>
      <c r="F974" s="106">
        <v>0</v>
      </c>
      <c r="G974" s="106">
        <v>0</v>
      </c>
      <c r="H974" s="106">
        <v>231880</v>
      </c>
      <c r="I974" s="106">
        <v>-231880</v>
      </c>
      <c r="J974" s="106">
        <v>0</v>
      </c>
      <c r="K974" s="106">
        <v>56171</v>
      </c>
      <c r="L974" s="106">
        <v>-54892</v>
      </c>
      <c r="M974" s="106">
        <v>1279</v>
      </c>
      <c r="N974" s="106">
        <v>-1279</v>
      </c>
    </row>
    <row r="975" spans="1:14" outlineLevel="2" x14ac:dyDescent="0.35">
      <c r="A975" s="108" t="s">
        <v>537</v>
      </c>
      <c r="B975" s="108" t="s">
        <v>195</v>
      </c>
      <c r="C975" s="106">
        <v>304537</v>
      </c>
      <c r="D975" s="106">
        <v>-927</v>
      </c>
      <c r="E975" s="106">
        <v>0</v>
      </c>
      <c r="F975" s="106">
        <v>0</v>
      </c>
      <c r="G975" s="106">
        <v>0</v>
      </c>
      <c r="H975" s="106">
        <v>303610</v>
      </c>
      <c r="I975" s="106">
        <v>-303610</v>
      </c>
      <c r="J975" s="106">
        <v>0</v>
      </c>
      <c r="K975" s="106">
        <v>26692</v>
      </c>
      <c r="L975" s="106">
        <v>-26692</v>
      </c>
      <c r="M975" s="106">
        <v>0</v>
      </c>
      <c r="N975" s="106">
        <v>0</v>
      </c>
    </row>
    <row r="976" spans="1:14" outlineLevel="2" x14ac:dyDescent="0.35">
      <c r="A976" s="108" t="s">
        <v>537</v>
      </c>
      <c r="B976" s="108" t="s">
        <v>194</v>
      </c>
      <c r="C976" s="106">
        <v>216580</v>
      </c>
      <c r="D976" s="106">
        <v>-635</v>
      </c>
      <c r="E976" s="106">
        <v>0</v>
      </c>
      <c r="F976" s="106">
        <v>0</v>
      </c>
      <c r="G976" s="106">
        <v>0</v>
      </c>
      <c r="H976" s="106">
        <v>215945</v>
      </c>
      <c r="I976" s="106">
        <v>-215945</v>
      </c>
      <c r="J976" s="106">
        <v>0</v>
      </c>
      <c r="K976" s="106">
        <v>31792</v>
      </c>
      <c r="L976" s="106">
        <v>-31792</v>
      </c>
      <c r="M976" s="106">
        <v>0</v>
      </c>
      <c r="N976" s="106">
        <v>0</v>
      </c>
    </row>
    <row r="977" spans="1:14" outlineLevel="2" x14ac:dyDescent="0.35">
      <c r="A977" s="108" t="s">
        <v>537</v>
      </c>
      <c r="B977" s="108" t="s">
        <v>193</v>
      </c>
      <c r="C977" s="106">
        <v>177414</v>
      </c>
      <c r="D977" s="106">
        <v>-2281</v>
      </c>
      <c r="E977" s="106">
        <v>0</v>
      </c>
      <c r="F977" s="106">
        <v>0</v>
      </c>
      <c r="G977" s="106">
        <v>0</v>
      </c>
      <c r="H977" s="106">
        <v>175133</v>
      </c>
      <c r="I977" s="106">
        <v>-175133</v>
      </c>
      <c r="J977" s="106">
        <v>0</v>
      </c>
      <c r="K977" s="106">
        <v>7617</v>
      </c>
      <c r="L977" s="106">
        <v>-7617</v>
      </c>
      <c r="M977" s="106">
        <v>0</v>
      </c>
      <c r="N977" s="106">
        <v>0</v>
      </c>
    </row>
    <row r="978" spans="1:14" outlineLevel="1" x14ac:dyDescent="0.35">
      <c r="A978" s="108" t="s">
        <v>537</v>
      </c>
      <c r="B978" s="108" t="s">
        <v>192</v>
      </c>
      <c r="C978" s="106">
        <v>294161</v>
      </c>
      <c r="D978" s="106">
        <v>-163316</v>
      </c>
      <c r="E978" s="106">
        <v>0</v>
      </c>
      <c r="F978" s="106">
        <v>0</v>
      </c>
      <c r="G978" s="106">
        <v>0</v>
      </c>
      <c r="H978" s="106">
        <v>130845</v>
      </c>
      <c r="I978" s="106">
        <v>-130845</v>
      </c>
      <c r="J978" s="106">
        <v>0</v>
      </c>
      <c r="K978" s="106">
        <v>0</v>
      </c>
      <c r="L978" s="106">
        <v>0</v>
      </c>
      <c r="M978" s="106">
        <v>0</v>
      </c>
      <c r="N978" s="106">
        <v>0</v>
      </c>
    </row>
    <row r="979" spans="1:14" ht="15.65" customHeight="1" outlineLevel="1" x14ac:dyDescent="0.35">
      <c r="A979" s="108" t="s">
        <v>537</v>
      </c>
      <c r="B979" s="108" t="s">
        <v>191</v>
      </c>
      <c r="C979" s="106">
        <v>103134</v>
      </c>
      <c r="D979" s="106">
        <v>-52365</v>
      </c>
      <c r="E979" s="106">
        <v>0</v>
      </c>
      <c r="F979" s="106">
        <v>0</v>
      </c>
      <c r="G979" s="106">
        <v>0</v>
      </c>
      <c r="H979" s="106">
        <v>50769</v>
      </c>
      <c r="I979" s="106">
        <v>-50769</v>
      </c>
      <c r="J979" s="106">
        <v>0</v>
      </c>
      <c r="K979" s="106">
        <v>0</v>
      </c>
      <c r="L979" s="106">
        <v>0</v>
      </c>
      <c r="M979" s="106">
        <v>0</v>
      </c>
      <c r="N979" s="106">
        <v>0</v>
      </c>
    </row>
    <row r="980" spans="1:14" ht="16" outlineLevel="2" thickBot="1" x14ac:dyDescent="0.4">
      <c r="A980" s="105" t="s">
        <v>416</v>
      </c>
      <c r="B980" s="79" t="s">
        <v>12</v>
      </c>
      <c r="C980" s="103">
        <f>SUBTOTAL(109,Program169[(C)
Program
Costs])</f>
        <v>2420514</v>
      </c>
      <c r="D980" s="103">
        <f>SUBTOTAL(109,Program169[(D)
Prior Period Adjustments])</f>
        <v>-289866</v>
      </c>
      <c r="E980" s="103">
        <f>SUBTOTAL(109,Program169[(E)
Current Period Desk 
Reviews])</f>
        <v>0</v>
      </c>
      <c r="F980" s="103">
        <f>SUBTOTAL(109,Program169[(F)
Current Period 
Final 
Audits])</f>
        <v>0</v>
      </c>
      <c r="G980" s="103">
        <f>SUBTOTAL(109,Program169[(G)
Current Period 
Other Adjustments])</f>
        <v>0</v>
      </c>
      <c r="H980" s="103">
        <f>SUBTOTAL(109,Program169[(H)
Net Program Costs
Sum (C through G)])</f>
        <v>2130648</v>
      </c>
      <c r="I980" s="103">
        <f>SUBTOTAL(109,Program169[(I)
Payments
 and Offsets])</f>
        <v>-2130648</v>
      </c>
      <c r="J980" s="103">
        <f>SUBTOTAL(109,Program169[(J)
Accounts Payable Balance
(H + I)])</f>
        <v>0</v>
      </c>
      <c r="K980" s="103">
        <f>SUBTOTAL(109,Program169[(K)
Established 
Accounts Receivable])</f>
        <v>197708</v>
      </c>
      <c r="L980" s="103">
        <f>SUBTOTAL(109,Program169[(L)
Recovered
 Accounts Receivable])</f>
        <v>-196429</v>
      </c>
      <c r="M980" s="103">
        <f>SUBTOTAL(109,Program169[(M)
Accounts Receivable Balance
(K + L)])</f>
        <v>1279</v>
      </c>
      <c r="N980" s="103">
        <f>SUBTOTAL(109,Program169[(N)
Net Balance
(J minus M)])</f>
        <v>-1279</v>
      </c>
    </row>
    <row r="981" spans="1:14" outlineLevel="2" x14ac:dyDescent="0.35">
      <c r="A981" s="116" t="s">
        <v>33</v>
      </c>
      <c r="B981" s="115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</row>
    <row r="982" spans="1:14" ht="77.5" outlineLevel="2" x14ac:dyDescent="0.35">
      <c r="A982" s="113" t="s">
        <v>185</v>
      </c>
      <c r="B982" s="112" t="s">
        <v>184</v>
      </c>
      <c r="C982" s="111" t="s">
        <v>183</v>
      </c>
      <c r="D982" s="111" t="s">
        <v>182</v>
      </c>
      <c r="E982" s="111" t="s">
        <v>181</v>
      </c>
      <c r="F982" s="111" t="s">
        <v>180</v>
      </c>
      <c r="G982" s="111" t="s">
        <v>179</v>
      </c>
      <c r="H982" s="110" t="s">
        <v>674</v>
      </c>
      <c r="I982" s="110" t="s">
        <v>178</v>
      </c>
      <c r="J982" s="110" t="s">
        <v>177</v>
      </c>
      <c r="K982" s="111" t="s">
        <v>176</v>
      </c>
      <c r="L982" s="110" t="s">
        <v>175</v>
      </c>
      <c r="M982" s="110" t="s">
        <v>174</v>
      </c>
      <c r="N982" s="109" t="s">
        <v>173</v>
      </c>
    </row>
    <row r="983" spans="1:14" outlineLevel="2" x14ac:dyDescent="0.35">
      <c r="A983" s="108" t="s">
        <v>536</v>
      </c>
      <c r="B983" s="108" t="s">
        <v>215</v>
      </c>
      <c r="C983" s="106">
        <v>2350</v>
      </c>
      <c r="D983" s="106">
        <v>0</v>
      </c>
      <c r="E983" s="106">
        <v>0</v>
      </c>
      <c r="F983" s="106">
        <v>0</v>
      </c>
      <c r="G983" s="106">
        <v>0</v>
      </c>
      <c r="H983" s="106">
        <v>2350</v>
      </c>
      <c r="I983" s="106">
        <v>0</v>
      </c>
      <c r="J983" s="106">
        <v>2350</v>
      </c>
      <c r="K983" s="106">
        <v>0</v>
      </c>
      <c r="L983" s="106">
        <v>0</v>
      </c>
      <c r="M983" s="106">
        <v>0</v>
      </c>
      <c r="N983" s="106">
        <v>2350</v>
      </c>
    </row>
    <row r="984" spans="1:14" outlineLevel="2" x14ac:dyDescent="0.35">
      <c r="A984" s="108" t="s">
        <v>536</v>
      </c>
      <c r="B984" s="108" t="s">
        <v>214</v>
      </c>
      <c r="C984" s="106">
        <v>3677</v>
      </c>
      <c r="D984" s="106">
        <v>0</v>
      </c>
      <c r="E984" s="106">
        <v>0</v>
      </c>
      <c r="F984" s="106">
        <v>0</v>
      </c>
      <c r="G984" s="106">
        <v>0</v>
      </c>
      <c r="H984" s="106">
        <v>3677</v>
      </c>
      <c r="I984" s="106">
        <v>-1000</v>
      </c>
      <c r="J984" s="106">
        <v>2677</v>
      </c>
      <c r="K984" s="106">
        <v>0</v>
      </c>
      <c r="L984" s="106">
        <v>0</v>
      </c>
      <c r="M984" s="106">
        <v>0</v>
      </c>
      <c r="N984" s="106">
        <v>2677</v>
      </c>
    </row>
    <row r="985" spans="1:14" outlineLevel="2" x14ac:dyDescent="0.35">
      <c r="A985" s="108" t="s">
        <v>536</v>
      </c>
      <c r="B985" s="108" t="s">
        <v>220</v>
      </c>
      <c r="C985" s="106">
        <v>3353</v>
      </c>
      <c r="D985" s="106">
        <v>0</v>
      </c>
      <c r="E985" s="106">
        <v>0</v>
      </c>
      <c r="F985" s="106">
        <v>0</v>
      </c>
      <c r="G985" s="106">
        <v>0</v>
      </c>
      <c r="H985" s="106">
        <v>3353</v>
      </c>
      <c r="I985" s="106">
        <v>-1000</v>
      </c>
      <c r="J985" s="106">
        <v>2353</v>
      </c>
      <c r="K985" s="106">
        <v>0</v>
      </c>
      <c r="L985" s="106">
        <v>0</v>
      </c>
      <c r="M985" s="106">
        <v>0</v>
      </c>
      <c r="N985" s="106">
        <v>2353</v>
      </c>
    </row>
    <row r="986" spans="1:14" outlineLevel="2" x14ac:dyDescent="0.35">
      <c r="A986" s="108" t="s">
        <v>536</v>
      </c>
      <c r="B986" s="108" t="s">
        <v>219</v>
      </c>
      <c r="C986" s="106">
        <v>222555</v>
      </c>
      <c r="D986" s="106">
        <v>0</v>
      </c>
      <c r="E986" s="106">
        <v>0</v>
      </c>
      <c r="F986" s="106">
        <v>0</v>
      </c>
      <c r="G986" s="106">
        <v>0</v>
      </c>
      <c r="H986" s="106">
        <v>222555</v>
      </c>
      <c r="I986" s="106">
        <v>-2931</v>
      </c>
      <c r="J986" s="106">
        <v>219624</v>
      </c>
      <c r="K986" s="106">
        <v>0</v>
      </c>
      <c r="L986" s="106">
        <v>0</v>
      </c>
      <c r="M986" s="106">
        <v>0</v>
      </c>
      <c r="N986" s="106">
        <v>219624</v>
      </c>
    </row>
    <row r="987" spans="1:14" outlineLevel="2" x14ac:dyDescent="0.35">
      <c r="A987" s="108" t="s">
        <v>536</v>
      </c>
      <c r="B987" s="108" t="s">
        <v>218</v>
      </c>
      <c r="C987" s="106">
        <v>247195</v>
      </c>
      <c r="D987" s="106">
        <v>0</v>
      </c>
      <c r="E987" s="106">
        <v>0</v>
      </c>
      <c r="F987" s="106">
        <v>0</v>
      </c>
      <c r="G987" s="106">
        <v>0</v>
      </c>
      <c r="H987" s="106">
        <v>247195</v>
      </c>
      <c r="I987" s="106">
        <v>-2026</v>
      </c>
      <c r="J987" s="106">
        <v>245169</v>
      </c>
      <c r="K987" s="106">
        <v>0</v>
      </c>
      <c r="L987" s="106">
        <v>0</v>
      </c>
      <c r="M987" s="106">
        <v>0</v>
      </c>
      <c r="N987" s="106">
        <v>245169</v>
      </c>
    </row>
    <row r="988" spans="1:14" outlineLevel="2" x14ac:dyDescent="0.35">
      <c r="A988" s="108" t="s">
        <v>536</v>
      </c>
      <c r="B988" s="108" t="s">
        <v>209</v>
      </c>
      <c r="C988" s="106">
        <v>491903</v>
      </c>
      <c r="D988" s="106">
        <v>0</v>
      </c>
      <c r="E988" s="106">
        <v>0</v>
      </c>
      <c r="F988" s="106">
        <v>0</v>
      </c>
      <c r="G988" s="106">
        <v>0</v>
      </c>
      <c r="H988" s="106">
        <v>491903</v>
      </c>
      <c r="I988" s="106">
        <v>-7255</v>
      </c>
      <c r="J988" s="106">
        <v>484648</v>
      </c>
      <c r="K988" s="106">
        <v>0</v>
      </c>
      <c r="L988" s="106">
        <v>0</v>
      </c>
      <c r="M988" s="106">
        <v>0</v>
      </c>
      <c r="N988" s="106">
        <v>484648</v>
      </c>
    </row>
    <row r="989" spans="1:14" outlineLevel="2" x14ac:dyDescent="0.35">
      <c r="A989" s="108" t="s">
        <v>536</v>
      </c>
      <c r="B989" s="108" t="s">
        <v>208</v>
      </c>
      <c r="C989" s="106">
        <v>848630</v>
      </c>
      <c r="D989" s="106">
        <v>-3035</v>
      </c>
      <c r="E989" s="106">
        <v>0</v>
      </c>
      <c r="F989" s="106">
        <v>0</v>
      </c>
      <c r="G989" s="106">
        <v>0</v>
      </c>
      <c r="H989" s="106">
        <v>845595</v>
      </c>
      <c r="I989" s="106">
        <v>-217384</v>
      </c>
      <c r="J989" s="106">
        <v>628211</v>
      </c>
      <c r="K989" s="106">
        <v>0</v>
      </c>
      <c r="L989" s="106">
        <v>0</v>
      </c>
      <c r="M989" s="106">
        <v>0</v>
      </c>
      <c r="N989" s="106">
        <v>628211</v>
      </c>
    </row>
    <row r="990" spans="1:14" outlineLevel="2" x14ac:dyDescent="0.35">
      <c r="A990" s="108" t="s">
        <v>536</v>
      </c>
      <c r="B990" s="108" t="s">
        <v>206</v>
      </c>
      <c r="C990" s="106">
        <v>990328</v>
      </c>
      <c r="D990" s="106">
        <v>-2457</v>
      </c>
      <c r="E990" s="106">
        <v>0</v>
      </c>
      <c r="F990" s="106">
        <v>0</v>
      </c>
      <c r="G990" s="106">
        <v>0</v>
      </c>
      <c r="H990" s="106">
        <v>987871</v>
      </c>
      <c r="I990" s="106">
        <v>-268064</v>
      </c>
      <c r="J990" s="106">
        <v>719807</v>
      </c>
      <c r="K990" s="106">
        <v>0</v>
      </c>
      <c r="L990" s="106">
        <v>0</v>
      </c>
      <c r="M990" s="106">
        <v>0</v>
      </c>
      <c r="N990" s="106">
        <v>719807</v>
      </c>
    </row>
    <row r="991" spans="1:14" outlineLevel="2" x14ac:dyDescent="0.35">
      <c r="A991" s="108" t="s">
        <v>536</v>
      </c>
      <c r="B991" s="108" t="s">
        <v>205</v>
      </c>
      <c r="C991" s="106">
        <v>1075026</v>
      </c>
      <c r="D991" s="106">
        <v>-3145</v>
      </c>
      <c r="E991" s="106">
        <v>0</v>
      </c>
      <c r="F991" s="106">
        <v>0</v>
      </c>
      <c r="G991" s="106">
        <v>0</v>
      </c>
      <c r="H991" s="106">
        <v>1071881</v>
      </c>
      <c r="I991" s="106">
        <v>-1019256</v>
      </c>
      <c r="J991" s="106">
        <v>52625</v>
      </c>
      <c r="K991" s="106">
        <v>0</v>
      </c>
      <c r="L991" s="106">
        <v>0</v>
      </c>
      <c r="M991" s="106">
        <v>0</v>
      </c>
      <c r="N991" s="106">
        <v>52625</v>
      </c>
    </row>
    <row r="992" spans="1:14" outlineLevel="2" x14ac:dyDescent="0.35">
      <c r="A992" s="108" t="s">
        <v>536</v>
      </c>
      <c r="B992" s="108" t="s">
        <v>204</v>
      </c>
      <c r="C992" s="106">
        <v>1257077</v>
      </c>
      <c r="D992" s="106">
        <v>-540</v>
      </c>
      <c r="E992" s="106">
        <v>0</v>
      </c>
      <c r="F992" s="106">
        <v>0</v>
      </c>
      <c r="G992" s="106">
        <v>0</v>
      </c>
      <c r="H992" s="106">
        <v>1256537</v>
      </c>
      <c r="I992" s="106">
        <v>-1159096</v>
      </c>
      <c r="J992" s="106">
        <v>97441</v>
      </c>
      <c r="K992" s="106">
        <v>0</v>
      </c>
      <c r="L992" s="106">
        <v>0</v>
      </c>
      <c r="M992" s="106">
        <v>0</v>
      </c>
      <c r="N992" s="106">
        <v>97441</v>
      </c>
    </row>
    <row r="993" spans="1:14" outlineLevel="2" x14ac:dyDescent="0.35">
      <c r="A993" s="108" t="s">
        <v>536</v>
      </c>
      <c r="B993" s="108" t="s">
        <v>203</v>
      </c>
      <c r="C993" s="106">
        <v>1163887</v>
      </c>
      <c r="D993" s="106">
        <v>-3980</v>
      </c>
      <c r="E993" s="106">
        <v>0</v>
      </c>
      <c r="F993" s="106">
        <v>0</v>
      </c>
      <c r="G993" s="106">
        <v>0</v>
      </c>
      <c r="H993" s="106">
        <v>1159907</v>
      </c>
      <c r="I993" s="106">
        <v>-470577</v>
      </c>
      <c r="J993" s="106">
        <v>689330</v>
      </c>
      <c r="K993" s="106">
        <v>0</v>
      </c>
      <c r="L993" s="106">
        <v>0</v>
      </c>
      <c r="M993" s="106">
        <v>0</v>
      </c>
      <c r="N993" s="106">
        <v>689330</v>
      </c>
    </row>
    <row r="994" spans="1:14" outlineLevel="2" x14ac:dyDescent="0.35">
      <c r="A994" s="108" t="s">
        <v>536</v>
      </c>
      <c r="B994" s="108" t="s">
        <v>202</v>
      </c>
      <c r="C994" s="106">
        <v>1178972</v>
      </c>
      <c r="D994" s="106">
        <v>-2116</v>
      </c>
      <c r="E994" s="106">
        <v>0</v>
      </c>
      <c r="F994" s="106">
        <v>0</v>
      </c>
      <c r="G994" s="106">
        <v>0</v>
      </c>
      <c r="H994" s="106">
        <v>1176856</v>
      </c>
      <c r="I994" s="106">
        <v>-651415</v>
      </c>
      <c r="J994" s="106">
        <v>525441</v>
      </c>
      <c r="K994" s="106">
        <v>28652</v>
      </c>
      <c r="L994" s="106">
        <v>-27448</v>
      </c>
      <c r="M994" s="106">
        <v>1204</v>
      </c>
      <c r="N994" s="106">
        <v>524237</v>
      </c>
    </row>
    <row r="995" spans="1:14" outlineLevel="2" x14ac:dyDescent="0.35">
      <c r="A995" s="108" t="s">
        <v>536</v>
      </c>
      <c r="B995" s="108" t="s">
        <v>201</v>
      </c>
      <c r="C995" s="106">
        <v>1187181</v>
      </c>
      <c r="D995" s="106">
        <v>-1303</v>
      </c>
      <c r="E995" s="106">
        <v>0</v>
      </c>
      <c r="F995" s="106">
        <v>0</v>
      </c>
      <c r="G995" s="106">
        <v>0</v>
      </c>
      <c r="H995" s="106">
        <v>1185878</v>
      </c>
      <c r="I995" s="106">
        <v>-1112778</v>
      </c>
      <c r="J995" s="106">
        <v>73100</v>
      </c>
      <c r="K995" s="106">
        <v>0</v>
      </c>
      <c r="L995" s="106">
        <v>0</v>
      </c>
      <c r="M995" s="106">
        <v>0</v>
      </c>
      <c r="N995" s="106">
        <v>73100</v>
      </c>
    </row>
    <row r="996" spans="1:14" outlineLevel="2" x14ac:dyDescent="0.35">
      <c r="A996" s="108" t="s">
        <v>536</v>
      </c>
      <c r="B996" s="108" t="s">
        <v>200</v>
      </c>
      <c r="C996" s="106">
        <v>757347</v>
      </c>
      <c r="D996" s="106">
        <v>-2170</v>
      </c>
      <c r="E996" s="106">
        <v>0</v>
      </c>
      <c r="F996" s="106">
        <v>0</v>
      </c>
      <c r="G996" s="106">
        <v>0</v>
      </c>
      <c r="H996" s="106">
        <v>755177</v>
      </c>
      <c r="I996" s="106">
        <v>-755177</v>
      </c>
      <c r="J996" s="106">
        <v>0</v>
      </c>
      <c r="K996" s="106">
        <v>0</v>
      </c>
      <c r="L996" s="106">
        <v>0</v>
      </c>
      <c r="M996" s="106">
        <v>0</v>
      </c>
      <c r="N996" s="106">
        <v>0</v>
      </c>
    </row>
    <row r="997" spans="1:14" outlineLevel="2" x14ac:dyDescent="0.35">
      <c r="A997" s="108" t="s">
        <v>536</v>
      </c>
      <c r="B997" s="108" t="s">
        <v>199</v>
      </c>
      <c r="C997" s="106">
        <v>881400</v>
      </c>
      <c r="D997" s="106">
        <v>-1321</v>
      </c>
      <c r="E997" s="106">
        <v>0</v>
      </c>
      <c r="F997" s="106">
        <v>0</v>
      </c>
      <c r="G997" s="106">
        <v>0</v>
      </c>
      <c r="H997" s="106">
        <v>880079</v>
      </c>
      <c r="I997" s="106">
        <v>-880079</v>
      </c>
      <c r="J997" s="106">
        <v>0</v>
      </c>
      <c r="K997" s="106">
        <v>0</v>
      </c>
      <c r="L997" s="106">
        <v>0</v>
      </c>
      <c r="M997" s="106">
        <v>0</v>
      </c>
      <c r="N997" s="106">
        <v>0</v>
      </c>
    </row>
    <row r="998" spans="1:14" outlineLevel="2" x14ac:dyDescent="0.35">
      <c r="A998" s="108" t="s">
        <v>536</v>
      </c>
      <c r="B998" s="108" t="s">
        <v>198</v>
      </c>
      <c r="C998" s="106">
        <v>962276</v>
      </c>
      <c r="D998" s="106">
        <v>-1343</v>
      </c>
      <c r="E998" s="106">
        <v>0</v>
      </c>
      <c r="F998" s="106">
        <v>0</v>
      </c>
      <c r="G998" s="106">
        <v>0</v>
      </c>
      <c r="H998" s="106">
        <v>960933</v>
      </c>
      <c r="I998" s="106">
        <v>-960933</v>
      </c>
      <c r="J998" s="106">
        <v>0</v>
      </c>
      <c r="K998" s="106">
        <v>0</v>
      </c>
      <c r="L998" s="106">
        <v>0</v>
      </c>
      <c r="M998" s="106">
        <v>0</v>
      </c>
      <c r="N998" s="106">
        <v>0</v>
      </c>
    </row>
    <row r="999" spans="1:14" outlineLevel="2" x14ac:dyDescent="0.35">
      <c r="A999" s="108" t="s">
        <v>536</v>
      </c>
      <c r="B999" s="108" t="s">
        <v>197</v>
      </c>
      <c r="C999" s="106">
        <v>835448</v>
      </c>
      <c r="D999" s="106">
        <v>-37360</v>
      </c>
      <c r="E999" s="106">
        <v>0</v>
      </c>
      <c r="F999" s="106">
        <v>0</v>
      </c>
      <c r="G999" s="106">
        <v>0</v>
      </c>
      <c r="H999" s="106">
        <v>798088</v>
      </c>
      <c r="I999" s="106">
        <v>-798088</v>
      </c>
      <c r="J999" s="106">
        <v>0</v>
      </c>
      <c r="K999" s="106">
        <v>72371</v>
      </c>
      <c r="L999" s="106">
        <v>-72080</v>
      </c>
      <c r="M999" s="106">
        <v>291</v>
      </c>
      <c r="N999" s="106">
        <v>-291</v>
      </c>
    </row>
    <row r="1000" spans="1:14" outlineLevel="2" x14ac:dyDescent="0.35">
      <c r="A1000" s="108" t="s">
        <v>536</v>
      </c>
      <c r="B1000" s="108" t="s">
        <v>196</v>
      </c>
      <c r="C1000" s="106">
        <v>691915</v>
      </c>
      <c r="D1000" s="106">
        <v>-22080</v>
      </c>
      <c r="E1000" s="106">
        <v>0</v>
      </c>
      <c r="F1000" s="106">
        <v>0</v>
      </c>
      <c r="G1000" s="106">
        <v>0</v>
      </c>
      <c r="H1000" s="106">
        <v>669835</v>
      </c>
      <c r="I1000" s="106">
        <v>-669835</v>
      </c>
      <c r="J1000" s="106">
        <v>0</v>
      </c>
      <c r="K1000" s="106">
        <v>67093</v>
      </c>
      <c r="L1000" s="106">
        <v>-67093</v>
      </c>
      <c r="M1000" s="106">
        <v>0</v>
      </c>
      <c r="N1000" s="106">
        <v>0</v>
      </c>
    </row>
    <row r="1001" spans="1:14" outlineLevel="2" x14ac:dyDescent="0.35">
      <c r="A1001" s="108" t="s">
        <v>536</v>
      </c>
      <c r="B1001" s="108" t="s">
        <v>195</v>
      </c>
      <c r="C1001" s="106">
        <v>707935</v>
      </c>
      <c r="D1001" s="106">
        <v>-1475</v>
      </c>
      <c r="E1001" s="106">
        <v>0</v>
      </c>
      <c r="F1001" s="106">
        <v>0</v>
      </c>
      <c r="G1001" s="106">
        <v>0</v>
      </c>
      <c r="H1001" s="106">
        <v>706460</v>
      </c>
      <c r="I1001" s="106">
        <v>-706460</v>
      </c>
      <c r="J1001" s="106">
        <v>0</v>
      </c>
      <c r="K1001" s="106">
        <v>15334</v>
      </c>
      <c r="L1001" s="106">
        <v>-15334</v>
      </c>
      <c r="M1001" s="106">
        <v>0</v>
      </c>
      <c r="N1001" s="106">
        <v>0</v>
      </c>
    </row>
    <row r="1002" spans="1:14" outlineLevel="2" x14ac:dyDescent="0.35">
      <c r="A1002" s="108" t="s">
        <v>536</v>
      </c>
      <c r="B1002" s="108" t="s">
        <v>194</v>
      </c>
      <c r="C1002" s="106">
        <v>569111</v>
      </c>
      <c r="D1002" s="106">
        <v>-6986</v>
      </c>
      <c r="E1002" s="106">
        <v>0</v>
      </c>
      <c r="F1002" s="106">
        <v>0</v>
      </c>
      <c r="G1002" s="106">
        <v>0</v>
      </c>
      <c r="H1002" s="106">
        <v>562125</v>
      </c>
      <c r="I1002" s="106">
        <v>-562125</v>
      </c>
      <c r="J1002" s="106">
        <v>0</v>
      </c>
      <c r="K1002" s="106">
        <v>61034</v>
      </c>
      <c r="L1002" s="106">
        <v>-61034</v>
      </c>
      <c r="M1002" s="106">
        <v>0</v>
      </c>
      <c r="N1002" s="106">
        <v>0</v>
      </c>
    </row>
    <row r="1003" spans="1:14" outlineLevel="1" x14ac:dyDescent="0.35">
      <c r="A1003" s="108" t="s">
        <v>536</v>
      </c>
      <c r="B1003" s="108" t="s">
        <v>193</v>
      </c>
      <c r="C1003" s="106">
        <v>419800</v>
      </c>
      <c r="D1003" s="106">
        <v>11527</v>
      </c>
      <c r="E1003" s="106">
        <v>0</v>
      </c>
      <c r="F1003" s="106">
        <v>0</v>
      </c>
      <c r="G1003" s="106">
        <v>0</v>
      </c>
      <c r="H1003" s="106">
        <v>431327</v>
      </c>
      <c r="I1003" s="106">
        <v>-431327</v>
      </c>
      <c r="J1003" s="106">
        <v>0</v>
      </c>
      <c r="K1003" s="106">
        <v>47363</v>
      </c>
      <c r="L1003" s="106">
        <v>-47363</v>
      </c>
      <c r="M1003" s="106">
        <v>0</v>
      </c>
      <c r="N1003" s="106">
        <v>0</v>
      </c>
    </row>
    <row r="1004" spans="1:14" ht="15.65" customHeight="1" outlineLevel="1" x14ac:dyDescent="0.35">
      <c r="A1004" s="108" t="s">
        <v>536</v>
      </c>
      <c r="B1004" s="108" t="s">
        <v>192</v>
      </c>
      <c r="C1004" s="106">
        <v>247271</v>
      </c>
      <c r="D1004" s="106">
        <v>-1883</v>
      </c>
      <c r="E1004" s="106">
        <v>0</v>
      </c>
      <c r="F1004" s="106">
        <v>0</v>
      </c>
      <c r="G1004" s="106">
        <v>0</v>
      </c>
      <c r="H1004" s="106">
        <v>245388</v>
      </c>
      <c r="I1004" s="106">
        <v>-245388</v>
      </c>
      <c r="J1004" s="106">
        <v>0</v>
      </c>
      <c r="K1004" s="106">
        <v>0</v>
      </c>
      <c r="L1004" s="106">
        <v>0</v>
      </c>
      <c r="M1004" s="106">
        <v>0</v>
      </c>
      <c r="N1004" s="106">
        <v>0</v>
      </c>
    </row>
    <row r="1005" spans="1:14" ht="15" customHeight="1" outlineLevel="1" x14ac:dyDescent="0.35">
      <c r="A1005" s="108" t="s">
        <v>536</v>
      </c>
      <c r="B1005" s="108" t="s">
        <v>191</v>
      </c>
      <c r="C1005" s="106">
        <v>242053</v>
      </c>
      <c r="D1005" s="106">
        <v>-322</v>
      </c>
      <c r="E1005" s="106">
        <v>0</v>
      </c>
      <c r="F1005" s="106">
        <v>0</v>
      </c>
      <c r="G1005" s="106">
        <v>0</v>
      </c>
      <c r="H1005" s="106">
        <v>241731</v>
      </c>
      <c r="I1005" s="106">
        <v>-241731</v>
      </c>
      <c r="J1005" s="106">
        <v>0</v>
      </c>
      <c r="K1005" s="106">
        <v>0</v>
      </c>
      <c r="L1005" s="106">
        <v>0</v>
      </c>
      <c r="M1005" s="106">
        <v>0</v>
      </c>
      <c r="N1005" s="106">
        <v>0</v>
      </c>
    </row>
    <row r="1006" spans="1:14" outlineLevel="2" x14ac:dyDescent="0.35">
      <c r="A1006" s="108" t="s">
        <v>536</v>
      </c>
      <c r="B1006" s="108" t="s">
        <v>190</v>
      </c>
      <c r="C1006" s="106">
        <v>72415</v>
      </c>
      <c r="D1006" s="106">
        <v>-212</v>
      </c>
      <c r="E1006" s="106">
        <v>0</v>
      </c>
      <c r="F1006" s="106">
        <v>0</v>
      </c>
      <c r="G1006" s="106">
        <v>0</v>
      </c>
      <c r="H1006" s="106">
        <v>72203</v>
      </c>
      <c r="I1006" s="106">
        <v>-72203</v>
      </c>
      <c r="J1006" s="106">
        <v>0</v>
      </c>
      <c r="K1006" s="106">
        <v>0</v>
      </c>
      <c r="L1006" s="106">
        <v>0</v>
      </c>
      <c r="M1006" s="106">
        <v>0</v>
      </c>
      <c r="N1006" s="106">
        <v>0</v>
      </c>
    </row>
    <row r="1007" spans="1:14" ht="16" outlineLevel="1" thickBot="1" x14ac:dyDescent="0.4">
      <c r="A1007" s="105" t="s">
        <v>415</v>
      </c>
      <c r="B1007" s="79" t="s">
        <v>12</v>
      </c>
      <c r="C1007" s="103">
        <f>SUBTOTAL(109,Program155[(C)
Program
Costs])</f>
        <v>15059105</v>
      </c>
      <c r="D1007" s="103">
        <f>SUBTOTAL(109,Program155[(D)
Prior Period Adjustments])</f>
        <v>-80201</v>
      </c>
      <c r="E1007" s="103">
        <f>SUBTOTAL(109,Program155[(E)
Current Period Desk 
Reviews])</f>
        <v>0</v>
      </c>
      <c r="F1007" s="103">
        <f>SUBTOTAL(109,Program155[(F)
Current Period 
Final 
Audits])</f>
        <v>0</v>
      </c>
      <c r="G1007" s="103">
        <f>SUBTOTAL(109,Program155[(G)
Current Period 
Other Adjustments])</f>
        <v>0</v>
      </c>
      <c r="H1007" s="103">
        <f>SUBTOTAL(109,Program155[(H)
Net Program Costs
Sum (C through G)])</f>
        <v>14978904</v>
      </c>
      <c r="I1007" s="103">
        <f>SUBTOTAL(109,Program155[(I)
Payments
 and Offsets])</f>
        <v>-11236128</v>
      </c>
      <c r="J1007" s="103">
        <f>SUBTOTAL(109,Program155[(J)
Accounts Payable Balance
(H + I)])</f>
        <v>3742776</v>
      </c>
      <c r="K1007" s="103">
        <f>SUBTOTAL(109,Program155[(K)
Established 
Accounts Receivable])</f>
        <v>291847</v>
      </c>
      <c r="L1007" s="103">
        <f>SUBTOTAL(109,Program155[(L)
Recovered
 Accounts Receivable])</f>
        <v>-290352</v>
      </c>
      <c r="M1007" s="103">
        <f>SUBTOTAL(109,Program155[(M)
Accounts Receivable Balance
(K + L)])</f>
        <v>1495</v>
      </c>
      <c r="N1007" s="103">
        <f>SUBTOTAL(109,Program155[(N)
Net Balance
(J minus M)])</f>
        <v>3741281</v>
      </c>
    </row>
    <row r="1008" spans="1:14" ht="15.65" customHeight="1" outlineLevel="1" x14ac:dyDescent="0.35">
      <c r="A1008" s="116" t="s">
        <v>33</v>
      </c>
      <c r="B1008" s="115"/>
      <c r="C1008" s="114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</row>
    <row r="1009" spans="1:14" ht="78.75" customHeight="1" outlineLevel="1" x14ac:dyDescent="0.35">
      <c r="A1009" s="113" t="s">
        <v>185</v>
      </c>
      <c r="B1009" s="112" t="s">
        <v>184</v>
      </c>
      <c r="C1009" s="111" t="s">
        <v>183</v>
      </c>
      <c r="D1009" s="111" t="s">
        <v>182</v>
      </c>
      <c r="E1009" s="111" t="s">
        <v>181</v>
      </c>
      <c r="F1009" s="111" t="s">
        <v>180</v>
      </c>
      <c r="G1009" s="111" t="s">
        <v>179</v>
      </c>
      <c r="H1009" s="110" t="s">
        <v>674</v>
      </c>
      <c r="I1009" s="110" t="s">
        <v>178</v>
      </c>
      <c r="J1009" s="110" t="s">
        <v>177</v>
      </c>
      <c r="K1009" s="111" t="s">
        <v>176</v>
      </c>
      <c r="L1009" s="110" t="s">
        <v>175</v>
      </c>
      <c r="M1009" s="110" t="s">
        <v>174</v>
      </c>
      <c r="N1009" s="109" t="s">
        <v>173</v>
      </c>
    </row>
    <row r="1010" spans="1:14" outlineLevel="2" x14ac:dyDescent="0.35">
      <c r="A1010" s="108" t="s">
        <v>535</v>
      </c>
      <c r="B1010" s="108" t="s">
        <v>193</v>
      </c>
      <c r="C1010" s="106">
        <v>0</v>
      </c>
      <c r="D1010" s="106">
        <v>0</v>
      </c>
      <c r="E1010" s="106">
        <v>0</v>
      </c>
      <c r="F1010" s="106">
        <v>0</v>
      </c>
      <c r="G1010" s="106">
        <v>0</v>
      </c>
      <c r="H1010" s="106">
        <v>0</v>
      </c>
      <c r="I1010" s="106">
        <v>0</v>
      </c>
      <c r="J1010" s="106">
        <v>0</v>
      </c>
      <c r="K1010" s="106">
        <v>9126</v>
      </c>
      <c r="L1010" s="106">
        <v>-9126</v>
      </c>
      <c r="M1010" s="106">
        <v>0</v>
      </c>
      <c r="N1010" s="106">
        <v>0</v>
      </c>
    </row>
    <row r="1011" spans="1:14" outlineLevel="2" x14ac:dyDescent="0.35">
      <c r="A1011" s="108" t="s">
        <v>535</v>
      </c>
      <c r="B1011" s="108" t="s">
        <v>191</v>
      </c>
      <c r="C1011" s="106">
        <v>48365</v>
      </c>
      <c r="D1011" s="106">
        <v>0</v>
      </c>
      <c r="E1011" s="106">
        <v>0</v>
      </c>
      <c r="F1011" s="106">
        <v>0</v>
      </c>
      <c r="G1011" s="106">
        <v>0</v>
      </c>
      <c r="H1011" s="106">
        <v>48365</v>
      </c>
      <c r="I1011" s="106">
        <v>-48365</v>
      </c>
      <c r="J1011" s="106">
        <v>0</v>
      </c>
      <c r="K1011" s="106">
        <v>135</v>
      </c>
      <c r="L1011" s="106">
        <v>-135</v>
      </c>
      <c r="M1011" s="106">
        <v>0</v>
      </c>
      <c r="N1011" s="106">
        <v>0</v>
      </c>
    </row>
    <row r="1012" spans="1:14" outlineLevel="2" x14ac:dyDescent="0.35">
      <c r="A1012" s="108" t="s">
        <v>535</v>
      </c>
      <c r="B1012" s="108" t="s">
        <v>190</v>
      </c>
      <c r="C1012" s="106">
        <v>150036</v>
      </c>
      <c r="D1012" s="106">
        <v>-20776</v>
      </c>
      <c r="E1012" s="106">
        <v>0</v>
      </c>
      <c r="F1012" s="106">
        <v>0</v>
      </c>
      <c r="G1012" s="106">
        <v>0</v>
      </c>
      <c r="H1012" s="106">
        <v>129260</v>
      </c>
      <c r="I1012" s="106">
        <v>-129260</v>
      </c>
      <c r="J1012" s="106">
        <v>0</v>
      </c>
      <c r="K1012" s="106">
        <v>6030</v>
      </c>
      <c r="L1012" s="106">
        <v>-6030</v>
      </c>
      <c r="M1012" s="106">
        <v>0</v>
      </c>
      <c r="N1012" s="106">
        <v>0</v>
      </c>
    </row>
    <row r="1013" spans="1:14" outlineLevel="2" x14ac:dyDescent="0.35">
      <c r="A1013" s="108" t="s">
        <v>535</v>
      </c>
      <c r="B1013" s="108" t="s">
        <v>189</v>
      </c>
      <c r="C1013" s="106">
        <v>81648</v>
      </c>
      <c r="D1013" s="106">
        <v>-4054</v>
      </c>
      <c r="E1013" s="106">
        <v>0</v>
      </c>
      <c r="F1013" s="106">
        <v>0</v>
      </c>
      <c r="G1013" s="106">
        <v>0</v>
      </c>
      <c r="H1013" s="106">
        <v>77594</v>
      </c>
      <c r="I1013" s="106">
        <v>-77594</v>
      </c>
      <c r="J1013" s="106">
        <v>0</v>
      </c>
      <c r="K1013" s="106">
        <v>5630</v>
      </c>
      <c r="L1013" s="106">
        <v>-5630</v>
      </c>
      <c r="M1013" s="106">
        <v>0</v>
      </c>
      <c r="N1013" s="106">
        <v>0</v>
      </c>
    </row>
    <row r="1014" spans="1:14" outlineLevel="2" x14ac:dyDescent="0.35">
      <c r="A1014" s="108" t="s">
        <v>535</v>
      </c>
      <c r="B1014" s="108" t="s">
        <v>188</v>
      </c>
      <c r="C1014" s="106">
        <v>34040</v>
      </c>
      <c r="D1014" s="106">
        <v>-1908</v>
      </c>
      <c r="E1014" s="106">
        <v>0</v>
      </c>
      <c r="F1014" s="106">
        <v>0</v>
      </c>
      <c r="G1014" s="106">
        <v>0</v>
      </c>
      <c r="H1014" s="106">
        <v>32132</v>
      </c>
      <c r="I1014" s="106">
        <v>-32132</v>
      </c>
      <c r="J1014" s="106">
        <v>0</v>
      </c>
      <c r="K1014" s="106">
        <v>9695</v>
      </c>
      <c r="L1014" s="106">
        <v>-9695</v>
      </c>
      <c r="M1014" s="106">
        <v>0</v>
      </c>
      <c r="N1014" s="106">
        <v>0</v>
      </c>
    </row>
    <row r="1015" spans="1:14" outlineLevel="1" x14ac:dyDescent="0.35">
      <c r="A1015" s="108" t="s">
        <v>535</v>
      </c>
      <c r="B1015" s="108" t="s">
        <v>186</v>
      </c>
      <c r="C1015" s="106">
        <v>30222</v>
      </c>
      <c r="D1015" s="106">
        <v>-3805</v>
      </c>
      <c r="E1015" s="106">
        <v>0</v>
      </c>
      <c r="F1015" s="106">
        <v>0</v>
      </c>
      <c r="G1015" s="106">
        <v>0</v>
      </c>
      <c r="H1015" s="106">
        <v>26417</v>
      </c>
      <c r="I1015" s="106">
        <v>-26417</v>
      </c>
      <c r="J1015" s="106">
        <v>0</v>
      </c>
      <c r="K1015" s="106">
        <v>4846</v>
      </c>
      <c r="L1015" s="106">
        <v>-4846</v>
      </c>
      <c r="M1015" s="106">
        <v>0</v>
      </c>
      <c r="N1015" s="106">
        <v>0</v>
      </c>
    </row>
    <row r="1016" spans="1:14" ht="15" customHeight="1" outlineLevel="1" thickBot="1" x14ac:dyDescent="0.4">
      <c r="A1016" s="105" t="s">
        <v>414</v>
      </c>
      <c r="B1016" s="79" t="s">
        <v>12</v>
      </c>
      <c r="C1016" s="103">
        <f>SUBTOTAL(109,Program36[(C)
Program
Costs])</f>
        <v>344311</v>
      </c>
      <c r="D1016" s="103">
        <f>SUBTOTAL(109,Program36[(D)
Prior Period Adjustments])</f>
        <v>-30543</v>
      </c>
      <c r="E1016" s="103">
        <f>SUBTOTAL(109,Program36[(E)
Current Period Desk 
Reviews])</f>
        <v>0</v>
      </c>
      <c r="F1016" s="103">
        <f>SUBTOTAL(109,Program36[(F)
Current Period 
Final 
Audits])</f>
        <v>0</v>
      </c>
      <c r="G1016" s="103">
        <f>SUBTOTAL(109,Program36[(G)
Current Period 
Other Adjustments])</f>
        <v>0</v>
      </c>
      <c r="H1016" s="103">
        <f>SUBTOTAL(109,Program36[(H)
Net Program Costs
Sum (C through G)])</f>
        <v>313768</v>
      </c>
      <c r="I1016" s="103">
        <f>SUBTOTAL(109,Program36[(I)
Payments
 and Offsets])</f>
        <v>-313768</v>
      </c>
      <c r="J1016" s="103">
        <f>SUBTOTAL(109,Program36[(J)
Accounts Payable Balance
(H + I)])</f>
        <v>0</v>
      </c>
      <c r="K1016" s="103">
        <f>SUBTOTAL(109,Program36[(K)
Established 
Accounts Receivable])</f>
        <v>35462</v>
      </c>
      <c r="L1016" s="103">
        <f>SUBTOTAL(109,Program36[(L)
Recovered
 Accounts Receivable])</f>
        <v>-35462</v>
      </c>
      <c r="M1016" s="103">
        <f>SUBTOTAL(109,Program36[(M)
Accounts Receivable Balance
(K + L)])</f>
        <v>0</v>
      </c>
      <c r="N1016" s="103">
        <f>SUBTOTAL(109,Program36[(N)
Net Balance
(J minus M)])</f>
        <v>0</v>
      </c>
    </row>
    <row r="1017" spans="1:14" outlineLevel="2" x14ac:dyDescent="0.35">
      <c r="A1017" s="116" t="s">
        <v>33</v>
      </c>
      <c r="B1017" s="115"/>
      <c r="C1017" s="114"/>
      <c r="D1017" s="114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</row>
    <row r="1018" spans="1:14" ht="77.5" outlineLevel="2" x14ac:dyDescent="0.35">
      <c r="A1018" s="113" t="s">
        <v>185</v>
      </c>
      <c r="B1018" s="112" t="s">
        <v>184</v>
      </c>
      <c r="C1018" s="111" t="s">
        <v>183</v>
      </c>
      <c r="D1018" s="111" t="s">
        <v>182</v>
      </c>
      <c r="E1018" s="111" t="s">
        <v>181</v>
      </c>
      <c r="F1018" s="111" t="s">
        <v>180</v>
      </c>
      <c r="G1018" s="111" t="s">
        <v>179</v>
      </c>
      <c r="H1018" s="110" t="s">
        <v>674</v>
      </c>
      <c r="I1018" s="110" t="s">
        <v>178</v>
      </c>
      <c r="J1018" s="110" t="s">
        <v>177</v>
      </c>
      <c r="K1018" s="111" t="s">
        <v>176</v>
      </c>
      <c r="L1018" s="110" t="s">
        <v>175</v>
      </c>
      <c r="M1018" s="110" t="s">
        <v>174</v>
      </c>
      <c r="N1018" s="109" t="s">
        <v>173</v>
      </c>
    </row>
    <row r="1019" spans="1:14" outlineLevel="2" x14ac:dyDescent="0.35">
      <c r="A1019" s="77" t="s">
        <v>534</v>
      </c>
      <c r="B1019" s="108" t="s">
        <v>203</v>
      </c>
      <c r="C1019" s="106">
        <v>5870</v>
      </c>
      <c r="D1019" s="106">
        <v>-5870</v>
      </c>
      <c r="E1019" s="106">
        <v>0</v>
      </c>
      <c r="F1019" s="106">
        <v>0</v>
      </c>
      <c r="G1019" s="106">
        <v>0</v>
      </c>
      <c r="H1019" s="106">
        <v>0</v>
      </c>
      <c r="I1019" s="106">
        <v>0</v>
      </c>
      <c r="J1019" s="106">
        <v>0</v>
      </c>
      <c r="K1019" s="106">
        <v>0</v>
      </c>
      <c r="L1019" s="106">
        <v>0</v>
      </c>
      <c r="M1019" s="106">
        <v>0</v>
      </c>
      <c r="N1019" s="106">
        <v>0</v>
      </c>
    </row>
    <row r="1020" spans="1:14" outlineLevel="2" x14ac:dyDescent="0.35">
      <c r="A1020" s="77" t="s">
        <v>534</v>
      </c>
      <c r="B1020" s="108" t="s">
        <v>202</v>
      </c>
      <c r="C1020" s="106">
        <v>1676675</v>
      </c>
      <c r="D1020" s="106">
        <v>-19910</v>
      </c>
      <c r="E1020" s="106">
        <v>0</v>
      </c>
      <c r="F1020" s="106">
        <v>0</v>
      </c>
      <c r="G1020" s="106">
        <v>0</v>
      </c>
      <c r="H1020" s="106">
        <v>1656765</v>
      </c>
      <c r="I1020" s="106">
        <v>-1480782</v>
      </c>
      <c r="J1020" s="106">
        <v>175983</v>
      </c>
      <c r="K1020" s="106">
        <v>32178</v>
      </c>
      <c r="L1020" s="106">
        <v>-30021</v>
      </c>
      <c r="M1020" s="106">
        <v>2157</v>
      </c>
      <c r="N1020" s="106">
        <v>173826</v>
      </c>
    </row>
    <row r="1021" spans="1:14" outlineLevel="2" x14ac:dyDescent="0.35">
      <c r="A1021" s="77" t="s">
        <v>534</v>
      </c>
      <c r="B1021" s="108" t="s">
        <v>201</v>
      </c>
      <c r="C1021" s="106">
        <v>1592756</v>
      </c>
      <c r="D1021" s="106">
        <v>-42632</v>
      </c>
      <c r="E1021" s="106">
        <v>0</v>
      </c>
      <c r="F1021" s="106">
        <v>0</v>
      </c>
      <c r="G1021" s="106">
        <v>0</v>
      </c>
      <c r="H1021" s="106">
        <v>1550124</v>
      </c>
      <c r="I1021" s="106">
        <v>-1376323</v>
      </c>
      <c r="J1021" s="106">
        <v>173801</v>
      </c>
      <c r="K1021" s="106">
        <v>0</v>
      </c>
      <c r="L1021" s="106">
        <v>0</v>
      </c>
      <c r="M1021" s="106">
        <v>0</v>
      </c>
      <c r="N1021" s="106">
        <v>173801</v>
      </c>
    </row>
    <row r="1022" spans="1:14" outlineLevel="2" x14ac:dyDescent="0.35">
      <c r="A1022" s="77" t="s">
        <v>534</v>
      </c>
      <c r="B1022" s="108" t="s">
        <v>200</v>
      </c>
      <c r="C1022" s="106">
        <v>1246005</v>
      </c>
      <c r="D1022" s="106">
        <v>-1968</v>
      </c>
      <c r="E1022" s="106">
        <v>0</v>
      </c>
      <c r="F1022" s="106">
        <v>0</v>
      </c>
      <c r="G1022" s="106">
        <v>0</v>
      </c>
      <c r="H1022" s="106">
        <v>1244037</v>
      </c>
      <c r="I1022" s="106">
        <v>-1244037</v>
      </c>
      <c r="J1022" s="106">
        <v>0</v>
      </c>
      <c r="K1022" s="106">
        <v>0</v>
      </c>
      <c r="L1022" s="106">
        <v>0</v>
      </c>
      <c r="M1022" s="106">
        <v>0</v>
      </c>
      <c r="N1022" s="106">
        <v>0</v>
      </c>
    </row>
    <row r="1023" spans="1:14" ht="15.5" customHeight="1" outlineLevel="1" x14ac:dyDescent="0.35">
      <c r="A1023" s="77" t="s">
        <v>534</v>
      </c>
      <c r="B1023" s="108" t="s">
        <v>199</v>
      </c>
      <c r="C1023" s="106">
        <v>1939056</v>
      </c>
      <c r="D1023" s="106">
        <v>-629486</v>
      </c>
      <c r="E1023" s="106">
        <v>0</v>
      </c>
      <c r="F1023" s="106">
        <v>0</v>
      </c>
      <c r="G1023" s="106">
        <v>0</v>
      </c>
      <c r="H1023" s="106">
        <v>1309570</v>
      </c>
      <c r="I1023" s="106">
        <v>-1309570</v>
      </c>
      <c r="J1023" s="106">
        <v>0</v>
      </c>
      <c r="K1023" s="106">
        <v>618692</v>
      </c>
      <c r="L1023" s="106">
        <v>-618692</v>
      </c>
      <c r="M1023" s="106">
        <v>0</v>
      </c>
      <c r="N1023" s="106">
        <v>0</v>
      </c>
    </row>
    <row r="1024" spans="1:14" ht="15.5" customHeight="1" outlineLevel="1" x14ac:dyDescent="0.35">
      <c r="A1024" s="77" t="s">
        <v>534</v>
      </c>
      <c r="B1024" s="108" t="s">
        <v>198</v>
      </c>
      <c r="C1024" s="106">
        <v>1963647</v>
      </c>
      <c r="D1024" s="106">
        <v>-512494</v>
      </c>
      <c r="E1024" s="106">
        <v>0</v>
      </c>
      <c r="F1024" s="106">
        <v>0</v>
      </c>
      <c r="G1024" s="106">
        <v>0</v>
      </c>
      <c r="H1024" s="106">
        <v>1451153</v>
      </c>
      <c r="I1024" s="106">
        <v>-1451153</v>
      </c>
      <c r="J1024" s="106">
        <v>0</v>
      </c>
      <c r="K1024" s="106">
        <v>511232</v>
      </c>
      <c r="L1024" s="106">
        <v>-511232</v>
      </c>
      <c r="M1024" s="106">
        <v>0</v>
      </c>
      <c r="N1024" s="106">
        <v>0</v>
      </c>
    </row>
    <row r="1025" spans="1:14" ht="15.5" customHeight="1" outlineLevel="1" x14ac:dyDescent="0.35">
      <c r="A1025" s="77" t="s">
        <v>534</v>
      </c>
      <c r="B1025" s="108" t="s">
        <v>197</v>
      </c>
      <c r="C1025" s="106">
        <v>2099460</v>
      </c>
      <c r="D1025" s="106">
        <v>-519555</v>
      </c>
      <c r="E1025" s="106">
        <v>0</v>
      </c>
      <c r="F1025" s="106">
        <v>0</v>
      </c>
      <c r="G1025" s="106">
        <v>0</v>
      </c>
      <c r="H1025" s="106">
        <v>1579905</v>
      </c>
      <c r="I1025" s="106">
        <v>-1579905</v>
      </c>
      <c r="J1025" s="106">
        <v>0</v>
      </c>
      <c r="K1025" s="106">
        <v>818310</v>
      </c>
      <c r="L1025" s="106">
        <v>-816980</v>
      </c>
      <c r="M1025" s="106">
        <v>1330</v>
      </c>
      <c r="N1025" s="106">
        <v>-1330</v>
      </c>
    </row>
    <row r="1026" spans="1:14" outlineLevel="2" x14ac:dyDescent="0.35">
      <c r="A1026" s="77" t="s">
        <v>534</v>
      </c>
      <c r="B1026" s="108" t="s">
        <v>196</v>
      </c>
      <c r="C1026" s="106">
        <v>1784749</v>
      </c>
      <c r="D1026" s="106">
        <v>-205977</v>
      </c>
      <c r="E1026" s="106">
        <v>0</v>
      </c>
      <c r="F1026" s="106">
        <v>0</v>
      </c>
      <c r="G1026" s="106">
        <v>0</v>
      </c>
      <c r="H1026" s="106">
        <v>1578772</v>
      </c>
      <c r="I1026" s="106">
        <v>-1578772</v>
      </c>
      <c r="J1026" s="106">
        <v>0</v>
      </c>
      <c r="K1026" s="106">
        <v>537444</v>
      </c>
      <c r="L1026" s="106">
        <v>-537444</v>
      </c>
      <c r="M1026" s="106">
        <v>0</v>
      </c>
      <c r="N1026" s="106">
        <v>0</v>
      </c>
    </row>
    <row r="1027" spans="1:14" outlineLevel="2" x14ac:dyDescent="0.35">
      <c r="A1027" s="77" t="s">
        <v>534</v>
      </c>
      <c r="B1027" s="108" t="s">
        <v>195</v>
      </c>
      <c r="C1027" s="106">
        <v>1602234</v>
      </c>
      <c r="D1027" s="106">
        <v>-3826</v>
      </c>
      <c r="E1027" s="106">
        <v>0</v>
      </c>
      <c r="F1027" s="106">
        <v>0</v>
      </c>
      <c r="G1027" s="106">
        <v>0</v>
      </c>
      <c r="H1027" s="106">
        <v>1598408</v>
      </c>
      <c r="I1027" s="106">
        <v>-1598408</v>
      </c>
      <c r="J1027" s="106">
        <v>0</v>
      </c>
      <c r="K1027" s="106">
        <v>249906</v>
      </c>
      <c r="L1027" s="106">
        <v>-249906</v>
      </c>
      <c r="M1027" s="106">
        <v>0</v>
      </c>
      <c r="N1027" s="106">
        <v>0</v>
      </c>
    </row>
    <row r="1028" spans="1:14" outlineLevel="2" x14ac:dyDescent="0.35">
      <c r="A1028" s="77" t="s">
        <v>534</v>
      </c>
      <c r="B1028" s="108" t="s">
        <v>194</v>
      </c>
      <c r="C1028" s="106">
        <v>1529703</v>
      </c>
      <c r="D1028" s="106">
        <v>-8881</v>
      </c>
      <c r="E1028" s="106">
        <v>0</v>
      </c>
      <c r="F1028" s="106">
        <v>0</v>
      </c>
      <c r="G1028" s="106">
        <v>0</v>
      </c>
      <c r="H1028" s="106">
        <v>1520822</v>
      </c>
      <c r="I1028" s="106">
        <v>-1520822</v>
      </c>
      <c r="J1028" s="106">
        <v>0</v>
      </c>
      <c r="K1028" s="106">
        <v>330310</v>
      </c>
      <c r="L1028" s="106">
        <v>-330310</v>
      </c>
      <c r="M1028" s="106">
        <v>0</v>
      </c>
      <c r="N1028" s="106">
        <v>0</v>
      </c>
    </row>
    <row r="1029" spans="1:14" outlineLevel="2" x14ac:dyDescent="0.35">
      <c r="A1029" s="77" t="s">
        <v>534</v>
      </c>
      <c r="B1029" s="108" t="s">
        <v>193</v>
      </c>
      <c r="C1029" s="106">
        <v>1546055</v>
      </c>
      <c r="D1029" s="106">
        <v>17183</v>
      </c>
      <c r="E1029" s="106">
        <v>0</v>
      </c>
      <c r="F1029" s="106">
        <v>0</v>
      </c>
      <c r="G1029" s="106">
        <v>0</v>
      </c>
      <c r="H1029" s="106">
        <v>1563238</v>
      </c>
      <c r="I1029" s="106">
        <v>-1563238</v>
      </c>
      <c r="J1029" s="106">
        <v>0</v>
      </c>
      <c r="K1029" s="106">
        <v>210330</v>
      </c>
      <c r="L1029" s="106">
        <v>-210330</v>
      </c>
      <c r="M1029" s="106">
        <v>0</v>
      </c>
      <c r="N1029" s="106">
        <v>0</v>
      </c>
    </row>
    <row r="1030" spans="1:14" outlineLevel="2" x14ac:dyDescent="0.35">
      <c r="A1030" s="77" t="s">
        <v>534</v>
      </c>
      <c r="B1030" s="108" t="s">
        <v>192</v>
      </c>
      <c r="C1030" s="106">
        <v>1051734</v>
      </c>
      <c r="D1030" s="106">
        <v>-43071</v>
      </c>
      <c r="E1030" s="106">
        <v>0</v>
      </c>
      <c r="F1030" s="106">
        <v>0</v>
      </c>
      <c r="G1030" s="106">
        <v>0</v>
      </c>
      <c r="H1030" s="106">
        <v>1008663</v>
      </c>
      <c r="I1030" s="106">
        <v>-1008663</v>
      </c>
      <c r="J1030" s="106">
        <v>0</v>
      </c>
      <c r="K1030" s="106">
        <v>36375</v>
      </c>
      <c r="L1030" s="106">
        <v>-36375</v>
      </c>
      <c r="M1030" s="106">
        <v>0</v>
      </c>
      <c r="N1030" s="106">
        <v>0</v>
      </c>
    </row>
    <row r="1031" spans="1:14" outlineLevel="2" x14ac:dyDescent="0.35">
      <c r="A1031" s="77" t="s">
        <v>534</v>
      </c>
      <c r="B1031" s="108" t="s">
        <v>191</v>
      </c>
      <c r="C1031" s="106">
        <v>846601</v>
      </c>
      <c r="D1031" s="106">
        <v>-33448</v>
      </c>
      <c r="E1031" s="106">
        <v>0</v>
      </c>
      <c r="F1031" s="106">
        <v>0</v>
      </c>
      <c r="G1031" s="106">
        <v>0</v>
      </c>
      <c r="H1031" s="106">
        <v>813153</v>
      </c>
      <c r="I1031" s="106">
        <v>-813153</v>
      </c>
      <c r="J1031" s="106">
        <v>0</v>
      </c>
      <c r="K1031" s="106">
        <v>28626</v>
      </c>
      <c r="L1031" s="106">
        <v>-28626</v>
      </c>
      <c r="M1031" s="106">
        <v>0</v>
      </c>
      <c r="N1031" s="106">
        <v>0</v>
      </c>
    </row>
    <row r="1032" spans="1:14" outlineLevel="2" x14ac:dyDescent="0.35">
      <c r="A1032" s="77" t="s">
        <v>534</v>
      </c>
      <c r="B1032" s="108" t="s">
        <v>190</v>
      </c>
      <c r="C1032" s="106">
        <v>726353</v>
      </c>
      <c r="D1032" s="106">
        <v>-12580</v>
      </c>
      <c r="E1032" s="106">
        <v>0</v>
      </c>
      <c r="F1032" s="106">
        <v>0</v>
      </c>
      <c r="G1032" s="106">
        <v>0</v>
      </c>
      <c r="H1032" s="106">
        <v>713773</v>
      </c>
      <c r="I1032" s="106">
        <v>-713773</v>
      </c>
      <c r="J1032" s="106">
        <v>0</v>
      </c>
      <c r="K1032" s="106">
        <v>7289</v>
      </c>
      <c r="L1032" s="106">
        <v>-7289</v>
      </c>
      <c r="M1032" s="106">
        <v>0</v>
      </c>
      <c r="N1032" s="106">
        <v>0</v>
      </c>
    </row>
    <row r="1033" spans="1:14" ht="16" outlineLevel="2" thickBot="1" x14ac:dyDescent="0.4">
      <c r="A1033" s="105" t="s">
        <v>413</v>
      </c>
      <c r="B1033" s="79" t="s">
        <v>12</v>
      </c>
      <c r="C1033" s="103">
        <f>SUBTOTAL(109,Program157[(C)
Program
Costs])</f>
        <v>19610898</v>
      </c>
      <c r="D1033" s="103">
        <f>SUBTOTAL(109,Program157[(D)
Prior Period Adjustments])</f>
        <v>-2022515</v>
      </c>
      <c r="E1033" s="103">
        <f>SUBTOTAL(109,Program157[(E)
Current Period Desk 
Reviews])</f>
        <v>0</v>
      </c>
      <c r="F1033" s="103">
        <f>SUBTOTAL(109,Program157[(F)
Current Period 
Final 
Audits])</f>
        <v>0</v>
      </c>
      <c r="G1033" s="103">
        <f>SUBTOTAL(109,Program157[(G)
Current Period 
Other Adjustments])</f>
        <v>0</v>
      </c>
      <c r="H1033" s="103">
        <f>SUBTOTAL(109,Program157[(H)
Net Program Costs
Sum (C through G)])</f>
        <v>17588383</v>
      </c>
      <c r="I1033" s="103">
        <f>SUBTOTAL(109,Program157[(I)
Payments
 and Offsets])</f>
        <v>-17238599</v>
      </c>
      <c r="J1033" s="103">
        <f>SUBTOTAL(109,Program157[(J)
Accounts Payable Balance
(H + I)])</f>
        <v>349784</v>
      </c>
      <c r="K1033" s="103">
        <f>SUBTOTAL(109,Program157[(K)
Established 
Accounts Receivable])</f>
        <v>3380692</v>
      </c>
      <c r="L1033" s="103">
        <f>SUBTOTAL(109,Program157[(L)
Recovered
 Accounts Receivable])</f>
        <v>-3377205</v>
      </c>
      <c r="M1033" s="103">
        <f>SUBTOTAL(109,Program157[(M)
Accounts Receivable Balance
(K + L)])</f>
        <v>3487</v>
      </c>
      <c r="N1033" s="103">
        <f>SUBTOTAL(109,Program157[(N)
Net Balance
(J minus M)])</f>
        <v>346297</v>
      </c>
    </row>
    <row r="1034" spans="1:14" outlineLevel="2" x14ac:dyDescent="0.35">
      <c r="A1034" s="116" t="s">
        <v>33</v>
      </c>
      <c r="B1034" s="115"/>
      <c r="C1034" s="114"/>
      <c r="D1034" s="114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</row>
    <row r="1035" spans="1:14" ht="77.5" outlineLevel="2" x14ac:dyDescent="0.35">
      <c r="A1035" s="113" t="s">
        <v>185</v>
      </c>
      <c r="B1035" s="112" t="s">
        <v>184</v>
      </c>
      <c r="C1035" s="111" t="s">
        <v>183</v>
      </c>
      <c r="D1035" s="111" t="s">
        <v>182</v>
      </c>
      <c r="E1035" s="111" t="s">
        <v>181</v>
      </c>
      <c r="F1035" s="111" t="s">
        <v>180</v>
      </c>
      <c r="G1035" s="111" t="s">
        <v>179</v>
      </c>
      <c r="H1035" s="110" t="s">
        <v>674</v>
      </c>
      <c r="I1035" s="110" t="s">
        <v>178</v>
      </c>
      <c r="J1035" s="110" t="s">
        <v>177</v>
      </c>
      <c r="K1035" s="111" t="s">
        <v>176</v>
      </c>
      <c r="L1035" s="110" t="s">
        <v>175</v>
      </c>
      <c r="M1035" s="110" t="s">
        <v>174</v>
      </c>
      <c r="N1035" s="109" t="s">
        <v>173</v>
      </c>
    </row>
    <row r="1036" spans="1:14" ht="30" customHeight="1" outlineLevel="2" x14ac:dyDescent="0.35">
      <c r="A1036" s="77" t="s">
        <v>533</v>
      </c>
      <c r="B1036" s="108" t="s">
        <v>196</v>
      </c>
      <c r="C1036" s="106">
        <v>20259</v>
      </c>
      <c r="D1036" s="106">
        <v>-729</v>
      </c>
      <c r="E1036" s="106">
        <v>0</v>
      </c>
      <c r="F1036" s="106">
        <v>0</v>
      </c>
      <c r="G1036" s="106">
        <v>0</v>
      </c>
      <c r="H1036" s="106">
        <v>19530</v>
      </c>
      <c r="I1036" s="106">
        <v>-19530</v>
      </c>
      <c r="J1036" s="106">
        <v>0</v>
      </c>
      <c r="K1036" s="106">
        <v>0</v>
      </c>
      <c r="L1036" s="106">
        <v>0</v>
      </c>
      <c r="M1036" s="106">
        <v>0</v>
      </c>
      <c r="N1036" s="106">
        <v>0</v>
      </c>
    </row>
    <row r="1037" spans="1:14" ht="30" customHeight="1" outlineLevel="2" x14ac:dyDescent="0.35">
      <c r="A1037" s="77" t="s">
        <v>533</v>
      </c>
      <c r="B1037" s="108" t="s">
        <v>195</v>
      </c>
      <c r="C1037" s="106">
        <v>3758</v>
      </c>
      <c r="D1037" s="106">
        <v>0</v>
      </c>
      <c r="E1037" s="106">
        <v>0</v>
      </c>
      <c r="F1037" s="106">
        <v>0</v>
      </c>
      <c r="G1037" s="106">
        <v>0</v>
      </c>
      <c r="H1037" s="106">
        <v>3758</v>
      </c>
      <c r="I1037" s="106">
        <v>-3758</v>
      </c>
      <c r="J1037" s="106">
        <v>0</v>
      </c>
      <c r="K1037" s="106">
        <v>0</v>
      </c>
      <c r="L1037" s="106">
        <v>0</v>
      </c>
      <c r="M1037" s="106">
        <v>0</v>
      </c>
      <c r="N1037" s="106">
        <v>0</v>
      </c>
    </row>
    <row r="1038" spans="1:14" ht="30" customHeight="1" outlineLevel="2" x14ac:dyDescent="0.35">
      <c r="A1038" s="77" t="s">
        <v>533</v>
      </c>
      <c r="B1038" s="108" t="s">
        <v>193</v>
      </c>
      <c r="C1038" s="106">
        <v>346</v>
      </c>
      <c r="D1038" s="106">
        <v>0</v>
      </c>
      <c r="E1038" s="106">
        <v>0</v>
      </c>
      <c r="F1038" s="106">
        <v>0</v>
      </c>
      <c r="G1038" s="106">
        <v>0</v>
      </c>
      <c r="H1038" s="106">
        <v>346</v>
      </c>
      <c r="I1038" s="106">
        <v>-346</v>
      </c>
      <c r="J1038" s="106">
        <v>0</v>
      </c>
      <c r="K1038" s="106">
        <v>0</v>
      </c>
      <c r="L1038" s="106">
        <v>0</v>
      </c>
      <c r="M1038" s="106">
        <v>0</v>
      </c>
      <c r="N1038" s="106">
        <v>0</v>
      </c>
    </row>
    <row r="1039" spans="1:14" ht="30" customHeight="1" outlineLevel="2" x14ac:dyDescent="0.35">
      <c r="A1039" s="77" t="s">
        <v>533</v>
      </c>
      <c r="B1039" s="108" t="s">
        <v>192</v>
      </c>
      <c r="C1039" s="106">
        <v>6966</v>
      </c>
      <c r="D1039" s="106">
        <v>0</v>
      </c>
      <c r="E1039" s="106">
        <v>0</v>
      </c>
      <c r="F1039" s="106">
        <v>0</v>
      </c>
      <c r="G1039" s="106">
        <v>0</v>
      </c>
      <c r="H1039" s="106">
        <v>6966</v>
      </c>
      <c r="I1039" s="106">
        <v>-6966</v>
      </c>
      <c r="J1039" s="106">
        <v>0</v>
      </c>
      <c r="K1039" s="106">
        <v>0</v>
      </c>
      <c r="L1039" s="106">
        <v>0</v>
      </c>
      <c r="M1039" s="106">
        <v>0</v>
      </c>
      <c r="N1039" s="106">
        <v>0</v>
      </c>
    </row>
    <row r="1040" spans="1:14" ht="16" outlineLevel="2" thickBot="1" x14ac:dyDescent="0.4">
      <c r="A1040" s="105" t="s">
        <v>412</v>
      </c>
      <c r="B1040" s="79" t="s">
        <v>12</v>
      </c>
      <c r="C1040" s="103">
        <f>SUBTOTAL(109,Program194[(C)
Program
Costs])</f>
        <v>31329</v>
      </c>
      <c r="D1040" s="103">
        <f>SUBTOTAL(109,Program194[(D)
Prior Period Adjustments])</f>
        <v>-729</v>
      </c>
      <c r="E1040" s="103">
        <f>SUBTOTAL(109,Program194[(E)
Current Period Desk 
Reviews])</f>
        <v>0</v>
      </c>
      <c r="F1040" s="103">
        <f>SUBTOTAL(109,Program194[(F)
Current Period 
Final 
Audits])</f>
        <v>0</v>
      </c>
      <c r="G1040" s="103">
        <f>SUBTOTAL(109,Program194[(G)
Current Period 
Other Adjustments])</f>
        <v>0</v>
      </c>
      <c r="H1040" s="103">
        <f>SUBTOTAL(109,Program194[(H)
Net Program Costs
Sum (C through G)])</f>
        <v>30600</v>
      </c>
      <c r="I1040" s="103">
        <f>SUBTOTAL(109,Program194[(I)
Payments
 and Offsets])</f>
        <v>-30600</v>
      </c>
      <c r="J1040" s="103">
        <f>SUBTOTAL(109,Program194[(J)
Accounts Payable Balance
(H + I)])</f>
        <v>0</v>
      </c>
      <c r="K1040" s="103">
        <f>SUBTOTAL(109,Program194[(K)
Established 
Accounts Receivable])</f>
        <v>0</v>
      </c>
      <c r="L1040" s="103">
        <f>SUBTOTAL(109,Program194[(L)
Recovered
 Accounts Receivable])</f>
        <v>0</v>
      </c>
      <c r="M1040" s="103">
        <f>SUBTOTAL(109,Program194[(M)
Accounts Receivable Balance
(K + L)])</f>
        <v>0</v>
      </c>
      <c r="N1040" s="103">
        <f>SUBTOTAL(109,Program194[(N)
Net Balance
(J minus M)])</f>
        <v>0</v>
      </c>
    </row>
    <row r="1041" spans="1:14" outlineLevel="2" x14ac:dyDescent="0.35">
      <c r="A1041" s="116" t="s">
        <v>33</v>
      </c>
      <c r="B1041" s="115"/>
      <c r="C1041" s="114"/>
      <c r="D1041" s="114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</row>
    <row r="1042" spans="1:14" ht="77.5" outlineLevel="2" x14ac:dyDescent="0.35">
      <c r="A1042" s="113" t="s">
        <v>185</v>
      </c>
      <c r="B1042" s="112" t="s">
        <v>184</v>
      </c>
      <c r="C1042" s="111" t="s">
        <v>183</v>
      </c>
      <c r="D1042" s="111" t="s">
        <v>182</v>
      </c>
      <c r="E1042" s="111" t="s">
        <v>181</v>
      </c>
      <c r="F1042" s="111" t="s">
        <v>180</v>
      </c>
      <c r="G1042" s="111" t="s">
        <v>179</v>
      </c>
      <c r="H1042" s="110" t="s">
        <v>674</v>
      </c>
      <c r="I1042" s="110" t="s">
        <v>178</v>
      </c>
      <c r="J1042" s="110" t="s">
        <v>177</v>
      </c>
      <c r="K1042" s="111" t="s">
        <v>176</v>
      </c>
      <c r="L1042" s="110" t="s">
        <v>175</v>
      </c>
      <c r="M1042" s="110" t="s">
        <v>174</v>
      </c>
      <c r="N1042" s="109" t="s">
        <v>173</v>
      </c>
    </row>
    <row r="1043" spans="1:14" outlineLevel="2" x14ac:dyDescent="0.35">
      <c r="A1043" s="108" t="s">
        <v>532</v>
      </c>
      <c r="B1043" s="108" t="s">
        <v>206</v>
      </c>
      <c r="C1043" s="106">
        <v>16207118</v>
      </c>
      <c r="D1043" s="106">
        <v>-54634</v>
      </c>
      <c r="E1043" s="106">
        <v>0</v>
      </c>
      <c r="F1043" s="106">
        <v>0</v>
      </c>
      <c r="G1043" s="106">
        <v>0</v>
      </c>
      <c r="H1043" s="106">
        <v>16152484</v>
      </c>
      <c r="I1043" s="106">
        <v>-13025656</v>
      </c>
      <c r="J1043" s="106">
        <v>3126828</v>
      </c>
      <c r="K1043" s="106">
        <v>0</v>
      </c>
      <c r="L1043" s="106">
        <v>0</v>
      </c>
      <c r="M1043" s="106">
        <v>0</v>
      </c>
      <c r="N1043" s="106">
        <v>3126828</v>
      </c>
    </row>
    <row r="1044" spans="1:14" outlineLevel="2" x14ac:dyDescent="0.35">
      <c r="A1044" s="108" t="s">
        <v>532</v>
      </c>
      <c r="B1044" s="108" t="s">
        <v>205</v>
      </c>
      <c r="C1044" s="106">
        <v>16627661</v>
      </c>
      <c r="D1044" s="106">
        <v>-79792</v>
      </c>
      <c r="E1044" s="106">
        <v>0</v>
      </c>
      <c r="F1044" s="106">
        <v>0</v>
      </c>
      <c r="G1044" s="106">
        <v>0</v>
      </c>
      <c r="H1044" s="106">
        <v>16547869</v>
      </c>
      <c r="I1044" s="106">
        <v>-13812414</v>
      </c>
      <c r="J1044" s="106">
        <v>2735455</v>
      </c>
      <c r="K1044" s="106">
        <v>5</v>
      </c>
      <c r="L1044" s="106">
        <v>-1</v>
      </c>
      <c r="M1044" s="106">
        <v>4</v>
      </c>
      <c r="N1044" s="106">
        <v>2735451</v>
      </c>
    </row>
    <row r="1045" spans="1:14" outlineLevel="2" x14ac:dyDescent="0.35">
      <c r="A1045" s="108" t="s">
        <v>532</v>
      </c>
      <c r="B1045" s="108" t="s">
        <v>204</v>
      </c>
      <c r="C1045" s="106">
        <v>17073247</v>
      </c>
      <c r="D1045" s="106">
        <v>-83106</v>
      </c>
      <c r="E1045" s="106">
        <v>0</v>
      </c>
      <c r="F1045" s="106">
        <v>0</v>
      </c>
      <c r="G1045" s="106">
        <v>0</v>
      </c>
      <c r="H1045" s="106">
        <v>16990141</v>
      </c>
      <c r="I1045" s="106">
        <v>-14707605</v>
      </c>
      <c r="J1045" s="106">
        <v>2282536</v>
      </c>
      <c r="K1045" s="106">
        <v>0</v>
      </c>
      <c r="L1045" s="106">
        <v>0</v>
      </c>
      <c r="M1045" s="106">
        <v>0</v>
      </c>
      <c r="N1045" s="106">
        <v>2282536</v>
      </c>
    </row>
    <row r="1046" spans="1:14" outlineLevel="2" x14ac:dyDescent="0.35">
      <c r="A1046" s="108" t="s">
        <v>532</v>
      </c>
      <c r="B1046" s="108" t="s">
        <v>203</v>
      </c>
      <c r="C1046" s="106">
        <v>16693649</v>
      </c>
      <c r="D1046" s="106">
        <v>-288358</v>
      </c>
      <c r="E1046" s="106">
        <v>0</v>
      </c>
      <c r="F1046" s="106">
        <v>0</v>
      </c>
      <c r="G1046" s="106">
        <v>0</v>
      </c>
      <c r="H1046" s="106">
        <v>16405291</v>
      </c>
      <c r="I1046" s="106">
        <v>-14589752</v>
      </c>
      <c r="J1046" s="106">
        <v>1815539</v>
      </c>
      <c r="K1046" s="106">
        <v>0</v>
      </c>
      <c r="L1046" s="106">
        <v>0</v>
      </c>
      <c r="M1046" s="106">
        <v>0</v>
      </c>
      <c r="N1046" s="106">
        <v>1815539</v>
      </c>
    </row>
    <row r="1047" spans="1:14" outlineLevel="2" x14ac:dyDescent="0.35">
      <c r="A1047" s="108" t="s">
        <v>532</v>
      </c>
      <c r="B1047" s="108" t="s">
        <v>202</v>
      </c>
      <c r="C1047" s="106">
        <v>15797289</v>
      </c>
      <c r="D1047" s="106">
        <v>-256597</v>
      </c>
      <c r="E1047" s="106">
        <v>0</v>
      </c>
      <c r="F1047" s="106">
        <v>0</v>
      </c>
      <c r="G1047" s="106">
        <v>0</v>
      </c>
      <c r="H1047" s="106">
        <v>15540692</v>
      </c>
      <c r="I1047" s="106">
        <v>-14149028</v>
      </c>
      <c r="J1047" s="106">
        <v>1391664</v>
      </c>
      <c r="K1047" s="106">
        <v>0</v>
      </c>
      <c r="L1047" s="106">
        <v>0</v>
      </c>
      <c r="M1047" s="106">
        <v>0</v>
      </c>
      <c r="N1047" s="106">
        <v>1391664</v>
      </c>
    </row>
    <row r="1048" spans="1:14" outlineLevel="2" x14ac:dyDescent="0.35">
      <c r="A1048" s="108" t="s">
        <v>532</v>
      </c>
      <c r="B1048" s="108" t="s">
        <v>201</v>
      </c>
      <c r="C1048" s="106">
        <v>16867825</v>
      </c>
      <c r="D1048" s="106">
        <v>-401482</v>
      </c>
      <c r="E1048" s="106">
        <v>0</v>
      </c>
      <c r="F1048" s="106">
        <v>0</v>
      </c>
      <c r="G1048" s="106">
        <v>0</v>
      </c>
      <c r="H1048" s="106">
        <v>16466343</v>
      </c>
      <c r="I1048" s="106">
        <v>-15476282</v>
      </c>
      <c r="J1048" s="106">
        <v>990061</v>
      </c>
      <c r="K1048" s="106">
        <v>0</v>
      </c>
      <c r="L1048" s="106">
        <v>0</v>
      </c>
      <c r="M1048" s="106">
        <v>0</v>
      </c>
      <c r="N1048" s="106">
        <v>990061</v>
      </c>
    </row>
    <row r="1049" spans="1:14" outlineLevel="2" x14ac:dyDescent="0.35">
      <c r="A1049" s="108" t="s">
        <v>532</v>
      </c>
      <c r="B1049" s="108" t="s">
        <v>200</v>
      </c>
      <c r="C1049" s="106">
        <v>16354783</v>
      </c>
      <c r="D1049" s="106">
        <v>-209387</v>
      </c>
      <c r="E1049" s="106">
        <v>0</v>
      </c>
      <c r="F1049" s="106">
        <v>0</v>
      </c>
      <c r="G1049" s="106">
        <v>0</v>
      </c>
      <c r="H1049" s="106">
        <v>16145396</v>
      </c>
      <c r="I1049" s="106">
        <v>-16145396</v>
      </c>
      <c r="J1049" s="106">
        <v>0</v>
      </c>
      <c r="K1049" s="106">
        <v>182770</v>
      </c>
      <c r="L1049" s="106">
        <v>-2252</v>
      </c>
      <c r="M1049" s="106">
        <v>180518</v>
      </c>
      <c r="N1049" s="106">
        <v>-180518</v>
      </c>
    </row>
    <row r="1050" spans="1:14" outlineLevel="2" x14ac:dyDescent="0.35">
      <c r="A1050" s="108" t="s">
        <v>532</v>
      </c>
      <c r="B1050" s="108" t="s">
        <v>199</v>
      </c>
      <c r="C1050" s="106">
        <v>17213214</v>
      </c>
      <c r="D1050" s="106">
        <v>-34364</v>
      </c>
      <c r="E1050" s="106">
        <v>0</v>
      </c>
      <c r="F1050" s="106">
        <v>0</v>
      </c>
      <c r="G1050" s="106">
        <v>0</v>
      </c>
      <c r="H1050" s="106">
        <v>17178850</v>
      </c>
      <c r="I1050" s="106">
        <v>-17178850</v>
      </c>
      <c r="J1050" s="106">
        <v>0</v>
      </c>
      <c r="K1050" s="106">
        <v>0</v>
      </c>
      <c r="L1050" s="106">
        <v>0</v>
      </c>
      <c r="M1050" s="106">
        <v>0</v>
      </c>
      <c r="N1050" s="106">
        <v>0</v>
      </c>
    </row>
    <row r="1051" spans="1:14" outlineLevel="2" x14ac:dyDescent="0.35">
      <c r="A1051" s="108" t="s">
        <v>532</v>
      </c>
      <c r="B1051" s="108" t="s">
        <v>198</v>
      </c>
      <c r="C1051" s="106">
        <v>17074329</v>
      </c>
      <c r="D1051" s="106">
        <v>-64070</v>
      </c>
      <c r="E1051" s="106">
        <v>0</v>
      </c>
      <c r="F1051" s="106">
        <v>0</v>
      </c>
      <c r="G1051" s="106">
        <v>0</v>
      </c>
      <c r="H1051" s="106">
        <v>17010259</v>
      </c>
      <c r="I1051" s="106">
        <v>-17010259</v>
      </c>
      <c r="J1051" s="106">
        <v>0</v>
      </c>
      <c r="K1051" s="106">
        <v>0</v>
      </c>
      <c r="L1051" s="106">
        <v>0</v>
      </c>
      <c r="M1051" s="106">
        <v>0</v>
      </c>
      <c r="N1051" s="106">
        <v>0</v>
      </c>
    </row>
    <row r="1052" spans="1:14" outlineLevel="2" x14ac:dyDescent="0.35">
      <c r="A1052" s="108" t="s">
        <v>532</v>
      </c>
      <c r="B1052" s="108" t="s">
        <v>197</v>
      </c>
      <c r="C1052" s="106">
        <v>18590847</v>
      </c>
      <c r="D1052" s="106">
        <v>-73567</v>
      </c>
      <c r="E1052" s="106">
        <v>0</v>
      </c>
      <c r="F1052" s="106">
        <v>0</v>
      </c>
      <c r="G1052" s="106">
        <v>0</v>
      </c>
      <c r="H1052" s="106">
        <v>18517280</v>
      </c>
      <c r="I1052" s="106">
        <v>-18517280</v>
      </c>
      <c r="J1052" s="106">
        <v>0</v>
      </c>
      <c r="K1052" s="106">
        <v>290709</v>
      </c>
      <c r="L1052" s="106">
        <v>-284043</v>
      </c>
      <c r="M1052" s="106">
        <v>6666</v>
      </c>
      <c r="N1052" s="106">
        <v>-6666</v>
      </c>
    </row>
    <row r="1053" spans="1:14" outlineLevel="1" x14ac:dyDescent="0.35">
      <c r="A1053" s="108" t="s">
        <v>532</v>
      </c>
      <c r="B1053" s="108" t="s">
        <v>196</v>
      </c>
      <c r="C1053" s="106">
        <v>16066606</v>
      </c>
      <c r="D1053" s="106">
        <v>-166252</v>
      </c>
      <c r="E1053" s="106">
        <v>0</v>
      </c>
      <c r="F1053" s="106">
        <v>0</v>
      </c>
      <c r="G1053" s="106">
        <v>0</v>
      </c>
      <c r="H1053" s="106">
        <v>15900354</v>
      </c>
      <c r="I1053" s="106">
        <v>-15900354</v>
      </c>
      <c r="J1053" s="106">
        <v>0</v>
      </c>
      <c r="K1053" s="106">
        <v>488975</v>
      </c>
      <c r="L1053" s="106">
        <v>-487057</v>
      </c>
      <c r="M1053" s="106">
        <v>1918</v>
      </c>
      <c r="N1053" s="106">
        <v>-1918</v>
      </c>
    </row>
    <row r="1054" spans="1:14" ht="15.65" customHeight="1" outlineLevel="1" x14ac:dyDescent="0.35">
      <c r="A1054" s="108" t="s">
        <v>532</v>
      </c>
      <c r="B1054" s="108" t="s">
        <v>195</v>
      </c>
      <c r="C1054" s="106">
        <v>14379123</v>
      </c>
      <c r="D1054" s="106">
        <v>-91931</v>
      </c>
      <c r="E1054" s="106">
        <v>0</v>
      </c>
      <c r="F1054" s="106">
        <v>0</v>
      </c>
      <c r="G1054" s="106">
        <v>0</v>
      </c>
      <c r="H1054" s="106">
        <v>14287192</v>
      </c>
      <c r="I1054" s="106">
        <v>-14287192</v>
      </c>
      <c r="J1054" s="106">
        <v>0</v>
      </c>
      <c r="K1054" s="106">
        <v>111664</v>
      </c>
      <c r="L1054" s="106">
        <v>-111537</v>
      </c>
      <c r="M1054" s="106">
        <v>127</v>
      </c>
      <c r="N1054" s="106">
        <v>-127</v>
      </c>
    </row>
    <row r="1055" spans="1:14" ht="15" customHeight="1" outlineLevel="1" x14ac:dyDescent="0.35">
      <c r="A1055" s="108" t="s">
        <v>532</v>
      </c>
      <c r="B1055" s="108" t="s">
        <v>194</v>
      </c>
      <c r="C1055" s="106">
        <v>11722943</v>
      </c>
      <c r="D1055" s="106">
        <v>-9943</v>
      </c>
      <c r="E1055" s="106">
        <v>0</v>
      </c>
      <c r="F1055" s="106">
        <v>0</v>
      </c>
      <c r="G1055" s="106">
        <v>0</v>
      </c>
      <c r="H1055" s="106">
        <v>11713000</v>
      </c>
      <c r="I1055" s="106">
        <v>-11713000</v>
      </c>
      <c r="J1055" s="106">
        <v>0</v>
      </c>
      <c r="K1055" s="106">
        <v>1237169</v>
      </c>
      <c r="L1055" s="106">
        <v>-1236569</v>
      </c>
      <c r="M1055" s="106">
        <v>600</v>
      </c>
      <c r="N1055" s="106">
        <v>-600</v>
      </c>
    </row>
    <row r="1056" spans="1:14" outlineLevel="2" x14ac:dyDescent="0.35">
      <c r="A1056" s="108" t="s">
        <v>532</v>
      </c>
      <c r="B1056" s="108" t="s">
        <v>193</v>
      </c>
      <c r="C1056" s="106">
        <v>10103377</v>
      </c>
      <c r="D1056" s="106">
        <v>-377365</v>
      </c>
      <c r="E1056" s="106">
        <v>0</v>
      </c>
      <c r="F1056" s="106">
        <v>0</v>
      </c>
      <c r="G1056" s="106">
        <v>0</v>
      </c>
      <c r="H1056" s="106">
        <v>9726012</v>
      </c>
      <c r="I1056" s="106">
        <v>-9726012</v>
      </c>
      <c r="J1056" s="106">
        <v>0</v>
      </c>
      <c r="K1056" s="106">
        <v>455586</v>
      </c>
      <c r="L1056" s="106">
        <v>-455586</v>
      </c>
      <c r="M1056" s="106">
        <v>0</v>
      </c>
      <c r="N1056" s="106">
        <v>0</v>
      </c>
    </row>
    <row r="1057" spans="1:14" outlineLevel="2" x14ac:dyDescent="0.35">
      <c r="A1057" s="108" t="s">
        <v>532</v>
      </c>
      <c r="B1057" s="108" t="s">
        <v>192</v>
      </c>
      <c r="C1057" s="106">
        <v>8006742</v>
      </c>
      <c r="D1057" s="106">
        <v>-271426</v>
      </c>
      <c r="E1057" s="106">
        <v>0</v>
      </c>
      <c r="F1057" s="106">
        <v>0</v>
      </c>
      <c r="G1057" s="106">
        <v>0</v>
      </c>
      <c r="H1057" s="106">
        <v>7735316</v>
      </c>
      <c r="I1057" s="106">
        <v>-7735316</v>
      </c>
      <c r="J1057" s="106">
        <v>0</v>
      </c>
      <c r="K1057" s="106">
        <v>134545</v>
      </c>
      <c r="L1057" s="106">
        <v>-134545</v>
      </c>
      <c r="M1057" s="106">
        <v>0</v>
      </c>
      <c r="N1057" s="106">
        <v>0</v>
      </c>
    </row>
    <row r="1058" spans="1:14" outlineLevel="2" x14ac:dyDescent="0.35">
      <c r="A1058" s="108" t="s">
        <v>532</v>
      </c>
      <c r="B1058" s="108" t="s">
        <v>191</v>
      </c>
      <c r="C1058" s="106">
        <v>6550594</v>
      </c>
      <c r="D1058" s="106">
        <v>-1078645</v>
      </c>
      <c r="E1058" s="106">
        <v>0</v>
      </c>
      <c r="F1058" s="106">
        <v>0</v>
      </c>
      <c r="G1058" s="106">
        <v>0</v>
      </c>
      <c r="H1058" s="106">
        <v>5471949</v>
      </c>
      <c r="I1058" s="106">
        <v>-5471949</v>
      </c>
      <c r="J1058" s="106">
        <v>0</v>
      </c>
      <c r="K1058" s="106">
        <v>226798</v>
      </c>
      <c r="L1058" s="106">
        <v>-226798</v>
      </c>
      <c r="M1058" s="106">
        <v>0</v>
      </c>
      <c r="N1058" s="106">
        <v>0</v>
      </c>
    </row>
    <row r="1059" spans="1:14" outlineLevel="2" x14ac:dyDescent="0.35">
      <c r="A1059" s="108" t="s">
        <v>532</v>
      </c>
      <c r="B1059" s="108" t="s">
        <v>190</v>
      </c>
      <c r="C1059" s="106">
        <v>4179728</v>
      </c>
      <c r="D1059" s="106">
        <v>-496871</v>
      </c>
      <c r="E1059" s="106">
        <v>0</v>
      </c>
      <c r="F1059" s="106">
        <v>0</v>
      </c>
      <c r="G1059" s="106">
        <v>0</v>
      </c>
      <c r="H1059" s="106">
        <v>3682857</v>
      </c>
      <c r="I1059" s="106">
        <v>-3682857</v>
      </c>
      <c r="J1059" s="106">
        <v>0</v>
      </c>
      <c r="K1059" s="106">
        <v>253939</v>
      </c>
      <c r="L1059" s="106">
        <v>-253939</v>
      </c>
      <c r="M1059" s="106">
        <v>0</v>
      </c>
      <c r="N1059" s="106">
        <v>0</v>
      </c>
    </row>
    <row r="1060" spans="1:14" outlineLevel="2" x14ac:dyDescent="0.35">
      <c r="A1060" s="108" t="s">
        <v>532</v>
      </c>
      <c r="B1060" s="108" t="s">
        <v>189</v>
      </c>
      <c r="C1060" s="106">
        <v>2460301</v>
      </c>
      <c r="D1060" s="106">
        <v>-95888</v>
      </c>
      <c r="E1060" s="106">
        <v>0</v>
      </c>
      <c r="F1060" s="106">
        <v>0</v>
      </c>
      <c r="G1060" s="106">
        <v>0</v>
      </c>
      <c r="H1060" s="106">
        <v>2364413</v>
      </c>
      <c r="I1060" s="106">
        <v>-2364413</v>
      </c>
      <c r="J1060" s="106">
        <v>0</v>
      </c>
      <c r="K1060" s="106">
        <v>185342</v>
      </c>
      <c r="L1060" s="106">
        <v>-185342</v>
      </c>
      <c r="M1060" s="106">
        <v>0</v>
      </c>
      <c r="N1060" s="106">
        <v>0</v>
      </c>
    </row>
    <row r="1061" spans="1:14" outlineLevel="2" x14ac:dyDescent="0.35">
      <c r="A1061" s="108" t="s">
        <v>532</v>
      </c>
      <c r="B1061" s="108" t="s">
        <v>188</v>
      </c>
      <c r="C1061" s="106">
        <v>1843580</v>
      </c>
      <c r="D1061" s="106">
        <v>-9531</v>
      </c>
      <c r="E1061" s="106">
        <v>0</v>
      </c>
      <c r="F1061" s="106">
        <v>0</v>
      </c>
      <c r="G1061" s="106">
        <v>0</v>
      </c>
      <c r="H1061" s="106">
        <v>1834049</v>
      </c>
      <c r="I1061" s="106">
        <v>-1834049</v>
      </c>
      <c r="J1061" s="106">
        <v>0</v>
      </c>
      <c r="K1061" s="106">
        <v>182380</v>
      </c>
      <c r="L1061" s="106">
        <v>-182380</v>
      </c>
      <c r="M1061" s="106">
        <v>0</v>
      </c>
      <c r="N1061" s="106">
        <v>0</v>
      </c>
    </row>
    <row r="1062" spans="1:14" outlineLevel="2" x14ac:dyDescent="0.35">
      <c r="A1062" s="108" t="s">
        <v>532</v>
      </c>
      <c r="B1062" s="108" t="s">
        <v>186</v>
      </c>
      <c r="C1062" s="106">
        <v>1706856</v>
      </c>
      <c r="D1062" s="106">
        <v>-271410</v>
      </c>
      <c r="E1062" s="106">
        <v>0</v>
      </c>
      <c r="F1062" s="106">
        <v>0</v>
      </c>
      <c r="G1062" s="106">
        <v>0</v>
      </c>
      <c r="H1062" s="106">
        <v>1435446</v>
      </c>
      <c r="I1062" s="106">
        <v>-1435446</v>
      </c>
      <c r="J1062" s="106">
        <v>0</v>
      </c>
      <c r="K1062" s="106">
        <v>143253</v>
      </c>
      <c r="L1062" s="106">
        <v>-143253</v>
      </c>
      <c r="M1062" s="106">
        <v>0</v>
      </c>
      <c r="N1062" s="106">
        <v>0</v>
      </c>
    </row>
    <row r="1063" spans="1:14" outlineLevel="2" x14ac:dyDescent="0.35">
      <c r="A1063" s="108" t="s">
        <v>532</v>
      </c>
      <c r="B1063" s="108" t="s">
        <v>227</v>
      </c>
      <c r="C1063" s="106">
        <v>273541</v>
      </c>
      <c r="D1063" s="106">
        <v>-6712</v>
      </c>
      <c r="E1063" s="106">
        <v>0</v>
      </c>
      <c r="F1063" s="106">
        <v>0</v>
      </c>
      <c r="G1063" s="106">
        <v>0</v>
      </c>
      <c r="H1063" s="106">
        <v>266829</v>
      </c>
      <c r="I1063" s="106">
        <v>-266829</v>
      </c>
      <c r="J1063" s="106">
        <v>0</v>
      </c>
      <c r="K1063" s="106">
        <v>140410</v>
      </c>
      <c r="L1063" s="106">
        <v>-140410</v>
      </c>
      <c r="M1063" s="106">
        <v>0</v>
      </c>
      <c r="N1063" s="106">
        <v>0</v>
      </c>
    </row>
    <row r="1064" spans="1:14" outlineLevel="2" x14ac:dyDescent="0.35">
      <c r="A1064" s="108" t="s">
        <v>532</v>
      </c>
      <c r="B1064" s="108" t="s">
        <v>226</v>
      </c>
      <c r="C1064" s="106">
        <v>0</v>
      </c>
      <c r="D1064" s="106">
        <v>0</v>
      </c>
      <c r="E1064" s="106">
        <v>0</v>
      </c>
      <c r="F1064" s="106">
        <v>0</v>
      </c>
      <c r="G1064" s="106">
        <v>0</v>
      </c>
      <c r="H1064" s="106">
        <v>0</v>
      </c>
      <c r="I1064" s="106">
        <v>0</v>
      </c>
      <c r="J1064" s="106">
        <v>0</v>
      </c>
      <c r="K1064" s="106">
        <v>12408</v>
      </c>
      <c r="L1064" s="106">
        <v>-12408</v>
      </c>
      <c r="M1064" s="106">
        <v>0</v>
      </c>
      <c r="N1064" s="106">
        <v>0</v>
      </c>
    </row>
    <row r="1065" spans="1:14" outlineLevel="2" x14ac:dyDescent="0.35">
      <c r="A1065" s="108" t="s">
        <v>532</v>
      </c>
      <c r="B1065" s="108" t="s">
        <v>225</v>
      </c>
      <c r="C1065" s="106">
        <v>0</v>
      </c>
      <c r="D1065" s="106">
        <v>0</v>
      </c>
      <c r="E1065" s="106">
        <v>0</v>
      </c>
      <c r="F1065" s="106">
        <v>0</v>
      </c>
      <c r="G1065" s="106">
        <v>0</v>
      </c>
      <c r="H1065" s="106">
        <v>0</v>
      </c>
      <c r="I1065" s="106">
        <v>0</v>
      </c>
      <c r="J1065" s="106">
        <v>0</v>
      </c>
      <c r="K1065" s="106">
        <v>2913</v>
      </c>
      <c r="L1065" s="106">
        <v>-2913</v>
      </c>
      <c r="M1065" s="106">
        <v>0</v>
      </c>
      <c r="N1065" s="106">
        <v>0</v>
      </c>
    </row>
    <row r="1066" spans="1:14" ht="16" outlineLevel="2" thickBot="1" x14ac:dyDescent="0.4">
      <c r="A1066" s="105" t="s">
        <v>411</v>
      </c>
      <c r="B1066" s="79" t="s">
        <v>12</v>
      </c>
      <c r="C1066" s="103">
        <f>SUBTOTAL(109,Program42[(C)
Program
Costs])</f>
        <v>245793353</v>
      </c>
      <c r="D1066" s="103">
        <f>SUBTOTAL(109,Program42[(D)
Prior Period Adjustments])</f>
        <v>-4421331</v>
      </c>
      <c r="E1066" s="103">
        <f>SUBTOTAL(109,Program42[(E)
Current Period Desk 
Reviews])</f>
        <v>0</v>
      </c>
      <c r="F1066" s="103">
        <f>SUBTOTAL(109,Program42[(F)
Current Period 
Final 
Audits])</f>
        <v>0</v>
      </c>
      <c r="G1066" s="103">
        <f>SUBTOTAL(109,Program42[(G)
Current Period 
Other Adjustments])</f>
        <v>0</v>
      </c>
      <c r="H1066" s="103">
        <f>SUBTOTAL(109,Program42[(H)
Net Program Costs
Sum (C through G)])</f>
        <v>241372022</v>
      </c>
      <c r="I1066" s="103">
        <f>SUBTOTAL(109,Program42[(I)
Payments
 and Offsets])</f>
        <v>-229029939</v>
      </c>
      <c r="J1066" s="103">
        <f>SUBTOTAL(109,Program42[(J)
Accounts Payable Balance
(H + I)])</f>
        <v>12342083</v>
      </c>
      <c r="K1066" s="103">
        <f>SUBTOTAL(109,Program42[(K)
Established 
Accounts Receivable])</f>
        <v>4048866</v>
      </c>
      <c r="L1066" s="103">
        <f>SUBTOTAL(109,Program42[(L)
Recovered
 Accounts Receivable])</f>
        <v>-3859033</v>
      </c>
      <c r="M1066" s="103">
        <f>SUBTOTAL(109,Program42[(M)
Accounts Receivable Balance
(K + L)])</f>
        <v>189833</v>
      </c>
      <c r="N1066" s="103">
        <f>SUBTOTAL(109,Program42[(N)
Net Balance
(J minus M)])</f>
        <v>12152250</v>
      </c>
    </row>
    <row r="1067" spans="1:14" outlineLevel="2" x14ac:dyDescent="0.35">
      <c r="A1067" s="116" t="s">
        <v>33</v>
      </c>
      <c r="B1067" s="115"/>
      <c r="C1067" s="114"/>
      <c r="D1067" s="114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</row>
    <row r="1068" spans="1:14" ht="77.5" outlineLevel="2" x14ac:dyDescent="0.35">
      <c r="A1068" s="113" t="s">
        <v>185</v>
      </c>
      <c r="B1068" s="112" t="s">
        <v>184</v>
      </c>
      <c r="C1068" s="111" t="s">
        <v>183</v>
      </c>
      <c r="D1068" s="111" t="s">
        <v>182</v>
      </c>
      <c r="E1068" s="111" t="s">
        <v>181</v>
      </c>
      <c r="F1068" s="111" t="s">
        <v>180</v>
      </c>
      <c r="G1068" s="111" t="s">
        <v>179</v>
      </c>
      <c r="H1068" s="110" t="s">
        <v>674</v>
      </c>
      <c r="I1068" s="110" t="s">
        <v>178</v>
      </c>
      <c r="J1068" s="110" t="s">
        <v>177</v>
      </c>
      <c r="K1068" s="111" t="s">
        <v>176</v>
      </c>
      <c r="L1068" s="110" t="s">
        <v>175</v>
      </c>
      <c r="M1068" s="110" t="s">
        <v>174</v>
      </c>
      <c r="N1068" s="109" t="s">
        <v>173</v>
      </c>
    </row>
    <row r="1069" spans="1:14" ht="31" outlineLevel="2" x14ac:dyDescent="0.35">
      <c r="A1069" s="77" t="s">
        <v>531</v>
      </c>
      <c r="B1069" s="108" t="s">
        <v>209</v>
      </c>
      <c r="C1069" s="106">
        <v>3805786</v>
      </c>
      <c r="D1069" s="106">
        <v>-7164</v>
      </c>
      <c r="E1069" s="106">
        <v>0</v>
      </c>
      <c r="F1069" s="106">
        <v>0</v>
      </c>
      <c r="G1069" s="106">
        <v>0</v>
      </c>
      <c r="H1069" s="106">
        <v>3798622</v>
      </c>
      <c r="I1069" s="106">
        <v>-1953055</v>
      </c>
      <c r="J1069" s="106">
        <v>1845567</v>
      </c>
      <c r="K1069" s="106">
        <v>0</v>
      </c>
      <c r="L1069" s="106">
        <v>0</v>
      </c>
      <c r="M1069" s="106">
        <v>0</v>
      </c>
      <c r="N1069" s="106">
        <v>1845567</v>
      </c>
    </row>
    <row r="1070" spans="1:14" ht="31" outlineLevel="1" x14ac:dyDescent="0.35">
      <c r="A1070" s="77" t="s">
        <v>531</v>
      </c>
      <c r="B1070" s="108" t="s">
        <v>208</v>
      </c>
      <c r="C1070" s="106">
        <v>16504627</v>
      </c>
      <c r="D1070" s="106">
        <v>-47156</v>
      </c>
      <c r="E1070" s="106">
        <v>0</v>
      </c>
      <c r="F1070" s="106">
        <v>0</v>
      </c>
      <c r="G1070" s="106">
        <v>0</v>
      </c>
      <c r="H1070" s="106">
        <v>16457471</v>
      </c>
      <c r="I1070" s="106">
        <v>-12354318</v>
      </c>
      <c r="J1070" s="106">
        <v>4103153</v>
      </c>
      <c r="K1070" s="106">
        <v>0</v>
      </c>
      <c r="L1070" s="106">
        <v>0</v>
      </c>
      <c r="M1070" s="106">
        <v>0</v>
      </c>
      <c r="N1070" s="106">
        <v>4103153</v>
      </c>
    </row>
    <row r="1071" spans="1:14" ht="15" customHeight="1" outlineLevel="1" thickBot="1" x14ac:dyDescent="0.4">
      <c r="A1071" s="105" t="s">
        <v>410</v>
      </c>
      <c r="B1071" s="79" t="s">
        <v>12</v>
      </c>
      <c r="C1071" s="48">
        <f>SUBTOTAL(109,Program319[(C)
Program
Costs])</f>
        <v>20310413</v>
      </c>
      <c r="D1071" s="48">
        <f>SUBTOTAL(109,Program319[(D)
Prior Period Adjustments])</f>
        <v>-54320</v>
      </c>
      <c r="E1071" s="48">
        <f>SUBTOTAL(109,Program319[(E)
Current Period Desk 
Reviews])</f>
        <v>0</v>
      </c>
      <c r="F1071" s="48">
        <f>SUBTOTAL(109,Program319[(F)
Current Period 
Final 
Audits])</f>
        <v>0</v>
      </c>
      <c r="G1071" s="48">
        <f>SUBTOTAL(109,Program319[(G)
Current Period 
Other Adjustments])</f>
        <v>0</v>
      </c>
      <c r="H1071" s="48">
        <f>SUBTOTAL(109,Program319[(H)
Net Program Costs
Sum (C through G)])</f>
        <v>20256093</v>
      </c>
      <c r="I1071" s="48">
        <f>SUBTOTAL(109,Program319[(I)
Payments
 and Offsets])</f>
        <v>-14307373</v>
      </c>
      <c r="J1071" s="48">
        <f>SUBTOTAL(109,Program319[(J)
Accounts Payable Balance
(H + I)])</f>
        <v>5948720</v>
      </c>
      <c r="K1071" s="48">
        <f>SUBTOTAL(109,Program319[(K)
Established 
Accounts Receivable])</f>
        <v>0</v>
      </c>
      <c r="L1071" s="48">
        <f>SUBTOTAL(109,Program319[(L)
Recovered
 Accounts Receivable])</f>
        <v>0</v>
      </c>
      <c r="M1071" s="48">
        <f>SUBTOTAL(109,Program319[(M)
Accounts Receivable Balance
(K + L)])</f>
        <v>0</v>
      </c>
      <c r="N1071" s="48">
        <f>SUBTOTAL(109,Program319[(N)
Net Balance
(J minus M)])</f>
        <v>5948720</v>
      </c>
    </row>
    <row r="1072" spans="1:14" outlineLevel="2" x14ac:dyDescent="0.35">
      <c r="A1072" s="116" t="s">
        <v>33</v>
      </c>
      <c r="B1072" s="115"/>
      <c r="C1072" s="114"/>
      <c r="D1072" s="114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</row>
    <row r="1073" spans="1:14" ht="77.5" outlineLevel="2" x14ac:dyDescent="0.35">
      <c r="A1073" s="113" t="s">
        <v>185</v>
      </c>
      <c r="B1073" s="112" t="s">
        <v>184</v>
      </c>
      <c r="C1073" s="111" t="s">
        <v>183</v>
      </c>
      <c r="D1073" s="111" t="s">
        <v>182</v>
      </c>
      <c r="E1073" s="111" t="s">
        <v>181</v>
      </c>
      <c r="F1073" s="111" t="s">
        <v>180</v>
      </c>
      <c r="G1073" s="111" t="s">
        <v>179</v>
      </c>
      <c r="H1073" s="110" t="s">
        <v>674</v>
      </c>
      <c r="I1073" s="110" t="s">
        <v>178</v>
      </c>
      <c r="J1073" s="110" t="s">
        <v>177</v>
      </c>
      <c r="K1073" s="111" t="s">
        <v>176</v>
      </c>
      <c r="L1073" s="110" t="s">
        <v>175</v>
      </c>
      <c r="M1073" s="110" t="s">
        <v>174</v>
      </c>
      <c r="N1073" s="109" t="s">
        <v>173</v>
      </c>
    </row>
    <row r="1074" spans="1:14" outlineLevel="2" x14ac:dyDescent="0.35">
      <c r="A1074" s="108" t="s">
        <v>530</v>
      </c>
      <c r="B1074" s="108" t="s">
        <v>202</v>
      </c>
      <c r="C1074" s="106">
        <v>24047</v>
      </c>
      <c r="D1074" s="106">
        <v>-286</v>
      </c>
      <c r="E1074" s="106">
        <v>0</v>
      </c>
      <c r="F1074" s="106">
        <v>0</v>
      </c>
      <c r="G1074" s="106">
        <v>0</v>
      </c>
      <c r="H1074" s="106">
        <v>23761</v>
      </c>
      <c r="I1074" s="106">
        <v>-22690</v>
      </c>
      <c r="J1074" s="106">
        <v>1071</v>
      </c>
      <c r="K1074" s="106">
        <v>0</v>
      </c>
      <c r="L1074" s="106">
        <v>0</v>
      </c>
      <c r="M1074" s="106">
        <v>0</v>
      </c>
      <c r="N1074" s="106">
        <v>1071</v>
      </c>
    </row>
    <row r="1075" spans="1:14" outlineLevel="2" x14ac:dyDescent="0.35">
      <c r="A1075" s="108" t="s">
        <v>530</v>
      </c>
      <c r="B1075" s="108" t="s">
        <v>201</v>
      </c>
      <c r="C1075" s="106">
        <v>3950</v>
      </c>
      <c r="D1075" s="106">
        <v>0</v>
      </c>
      <c r="E1075" s="106">
        <v>0</v>
      </c>
      <c r="F1075" s="106">
        <v>0</v>
      </c>
      <c r="G1075" s="106">
        <v>0</v>
      </c>
      <c r="H1075" s="106">
        <v>3950</v>
      </c>
      <c r="I1075" s="106">
        <v>-3950</v>
      </c>
      <c r="J1075" s="106">
        <v>0</v>
      </c>
      <c r="K1075" s="106">
        <v>0</v>
      </c>
      <c r="L1075" s="106">
        <v>0</v>
      </c>
      <c r="M1075" s="106">
        <v>0</v>
      </c>
      <c r="N1075" s="106">
        <v>0</v>
      </c>
    </row>
    <row r="1076" spans="1:14" outlineLevel="2" x14ac:dyDescent="0.35">
      <c r="A1076" s="108" t="s">
        <v>530</v>
      </c>
      <c r="B1076" s="108" t="s">
        <v>200</v>
      </c>
      <c r="C1076" s="106">
        <v>7119</v>
      </c>
      <c r="D1076" s="106">
        <v>0</v>
      </c>
      <c r="E1076" s="106">
        <v>0</v>
      </c>
      <c r="F1076" s="106">
        <v>0</v>
      </c>
      <c r="G1076" s="106">
        <v>0</v>
      </c>
      <c r="H1076" s="106">
        <v>7119</v>
      </c>
      <c r="I1076" s="106">
        <v>-7119</v>
      </c>
      <c r="J1076" s="106">
        <v>0</v>
      </c>
      <c r="K1076" s="106">
        <v>0</v>
      </c>
      <c r="L1076" s="106">
        <v>0</v>
      </c>
      <c r="M1076" s="106">
        <v>0</v>
      </c>
      <c r="N1076" s="106">
        <v>0</v>
      </c>
    </row>
    <row r="1077" spans="1:14" outlineLevel="2" x14ac:dyDescent="0.35">
      <c r="A1077" s="108" t="s">
        <v>530</v>
      </c>
      <c r="B1077" s="108" t="s">
        <v>199</v>
      </c>
      <c r="C1077" s="106">
        <v>1082</v>
      </c>
      <c r="D1077" s="106">
        <v>0</v>
      </c>
      <c r="E1077" s="106">
        <v>0</v>
      </c>
      <c r="F1077" s="106">
        <v>0</v>
      </c>
      <c r="G1077" s="106">
        <v>0</v>
      </c>
      <c r="H1077" s="106">
        <v>1082</v>
      </c>
      <c r="I1077" s="106">
        <v>-1082</v>
      </c>
      <c r="J1077" s="106">
        <v>0</v>
      </c>
      <c r="K1077" s="106">
        <v>0</v>
      </c>
      <c r="L1077" s="106">
        <v>0</v>
      </c>
      <c r="M1077" s="106">
        <v>0</v>
      </c>
      <c r="N1077" s="106">
        <v>0</v>
      </c>
    </row>
    <row r="1078" spans="1:14" outlineLevel="2" x14ac:dyDescent="0.35">
      <c r="A1078" s="108" t="s">
        <v>530</v>
      </c>
      <c r="B1078" s="108" t="s">
        <v>198</v>
      </c>
      <c r="C1078" s="106">
        <v>1047</v>
      </c>
      <c r="D1078" s="106">
        <v>0</v>
      </c>
      <c r="E1078" s="106">
        <v>0</v>
      </c>
      <c r="F1078" s="106">
        <v>0</v>
      </c>
      <c r="G1078" s="106">
        <v>0</v>
      </c>
      <c r="H1078" s="106">
        <v>1047</v>
      </c>
      <c r="I1078" s="106">
        <v>-1047</v>
      </c>
      <c r="J1078" s="106">
        <v>0</v>
      </c>
      <c r="K1078" s="106">
        <v>0</v>
      </c>
      <c r="L1078" s="106">
        <v>0</v>
      </c>
      <c r="M1078" s="106">
        <v>0</v>
      </c>
      <c r="N1078" s="106">
        <v>0</v>
      </c>
    </row>
    <row r="1079" spans="1:14" ht="16" outlineLevel="2" thickBot="1" x14ac:dyDescent="0.4">
      <c r="A1079" s="105" t="s">
        <v>409</v>
      </c>
      <c r="B1079" s="79" t="s">
        <v>12</v>
      </c>
      <c r="C1079" s="103">
        <f>SUBTOTAL(109,Program275[(C)
Program
Costs])</f>
        <v>37245</v>
      </c>
      <c r="D1079" s="103">
        <f>SUBTOTAL(109,Program275[(D)
Prior Period Adjustments])</f>
        <v>-286</v>
      </c>
      <c r="E1079" s="103">
        <f>SUBTOTAL(109,Program275[(E)
Current Period Desk 
Reviews])</f>
        <v>0</v>
      </c>
      <c r="F1079" s="103">
        <f>SUBTOTAL(109,Program275[(F)
Current Period 
Final 
Audits])</f>
        <v>0</v>
      </c>
      <c r="G1079" s="103">
        <f>SUBTOTAL(109,Program275[(G)
Current Period 
Other Adjustments])</f>
        <v>0</v>
      </c>
      <c r="H1079" s="103">
        <f>SUBTOTAL(109,Program275[(H)
Net Program Costs
Sum (C through G)])</f>
        <v>36959</v>
      </c>
      <c r="I1079" s="103">
        <f>SUBTOTAL(109,Program275[(I)
Payments
 and Offsets])</f>
        <v>-35888</v>
      </c>
      <c r="J1079" s="103">
        <f>SUBTOTAL(109,Program275[(J)
Accounts Payable Balance
(H + I)])</f>
        <v>1071</v>
      </c>
      <c r="K1079" s="103">
        <f>SUBTOTAL(109,Program275[(K)
Established 
Accounts Receivable])</f>
        <v>0</v>
      </c>
      <c r="L1079" s="103">
        <f>SUBTOTAL(109,Program275[(L)
Recovered
 Accounts Receivable])</f>
        <v>0</v>
      </c>
      <c r="M1079" s="103">
        <f>SUBTOTAL(109,Program275[(M)
Accounts Receivable Balance
(K + L)])</f>
        <v>0</v>
      </c>
      <c r="N1079" s="103">
        <f>SUBTOTAL(109,Program275[(N)
Net Balance
(J minus M)])</f>
        <v>1071</v>
      </c>
    </row>
    <row r="1080" spans="1:14" outlineLevel="2" x14ac:dyDescent="0.35">
      <c r="A1080" s="116" t="s">
        <v>33</v>
      </c>
      <c r="B1080" s="115"/>
      <c r="C1080" s="114"/>
      <c r="D1080" s="114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</row>
    <row r="1081" spans="1:14" ht="77.5" outlineLevel="2" x14ac:dyDescent="0.35">
      <c r="A1081" s="113" t="s">
        <v>185</v>
      </c>
      <c r="B1081" s="112" t="s">
        <v>184</v>
      </c>
      <c r="C1081" s="111" t="s">
        <v>183</v>
      </c>
      <c r="D1081" s="111" t="s">
        <v>182</v>
      </c>
      <c r="E1081" s="111" t="s">
        <v>181</v>
      </c>
      <c r="F1081" s="111" t="s">
        <v>180</v>
      </c>
      <c r="G1081" s="111" t="s">
        <v>179</v>
      </c>
      <c r="H1081" s="110" t="s">
        <v>674</v>
      </c>
      <c r="I1081" s="110" t="s">
        <v>178</v>
      </c>
      <c r="J1081" s="110" t="s">
        <v>177</v>
      </c>
      <c r="K1081" s="111" t="s">
        <v>176</v>
      </c>
      <c r="L1081" s="110" t="s">
        <v>175</v>
      </c>
      <c r="M1081" s="110" t="s">
        <v>174</v>
      </c>
      <c r="N1081" s="109" t="s">
        <v>173</v>
      </c>
    </row>
    <row r="1082" spans="1:14" ht="46.5" outlineLevel="1" x14ac:dyDescent="0.35">
      <c r="A1082" s="77" t="s">
        <v>529</v>
      </c>
      <c r="B1082" s="108" t="s">
        <v>205</v>
      </c>
      <c r="C1082" s="106">
        <v>75011</v>
      </c>
      <c r="D1082" s="106">
        <v>-75011</v>
      </c>
      <c r="E1082" s="106">
        <v>0</v>
      </c>
      <c r="F1082" s="106">
        <v>0</v>
      </c>
      <c r="G1082" s="106">
        <v>0</v>
      </c>
      <c r="H1082" s="106">
        <v>0</v>
      </c>
      <c r="I1082" s="106">
        <v>0</v>
      </c>
      <c r="J1082" s="106">
        <v>0</v>
      </c>
      <c r="K1082" s="106">
        <v>0</v>
      </c>
      <c r="L1082" s="106">
        <v>0</v>
      </c>
      <c r="M1082" s="106">
        <v>0</v>
      </c>
      <c r="N1082" s="106">
        <v>0</v>
      </c>
    </row>
    <row r="1083" spans="1:14" ht="45" customHeight="1" outlineLevel="1" x14ac:dyDescent="0.35">
      <c r="A1083" s="77" t="s">
        <v>529</v>
      </c>
      <c r="B1083" s="108" t="s">
        <v>204</v>
      </c>
      <c r="C1083" s="106">
        <v>65378</v>
      </c>
      <c r="D1083" s="106">
        <v>-327</v>
      </c>
      <c r="E1083" s="106">
        <v>0</v>
      </c>
      <c r="F1083" s="106">
        <v>0</v>
      </c>
      <c r="G1083" s="106">
        <v>0</v>
      </c>
      <c r="H1083" s="106">
        <v>65051</v>
      </c>
      <c r="I1083" s="106">
        <v>-63255</v>
      </c>
      <c r="J1083" s="106">
        <v>1796</v>
      </c>
      <c r="K1083" s="106">
        <v>0</v>
      </c>
      <c r="L1083" s="106">
        <v>0</v>
      </c>
      <c r="M1083" s="106">
        <v>0</v>
      </c>
      <c r="N1083" s="106">
        <v>1796</v>
      </c>
    </row>
    <row r="1084" spans="1:14" ht="45" customHeight="1" outlineLevel="1" x14ac:dyDescent="0.35">
      <c r="A1084" s="77" t="s">
        <v>529</v>
      </c>
      <c r="B1084" s="108" t="s">
        <v>203</v>
      </c>
      <c r="C1084" s="106">
        <v>3617450</v>
      </c>
      <c r="D1084" s="106">
        <v>-186247</v>
      </c>
      <c r="E1084" s="106">
        <v>0</v>
      </c>
      <c r="F1084" s="106">
        <v>0</v>
      </c>
      <c r="G1084" s="106">
        <v>0</v>
      </c>
      <c r="H1084" s="106">
        <v>3431203</v>
      </c>
      <c r="I1084" s="106">
        <v>-3273018</v>
      </c>
      <c r="J1084" s="106">
        <v>158185</v>
      </c>
      <c r="K1084" s="106">
        <v>0</v>
      </c>
      <c r="L1084" s="106">
        <v>0</v>
      </c>
      <c r="M1084" s="106">
        <v>0</v>
      </c>
      <c r="N1084" s="106">
        <v>158185</v>
      </c>
    </row>
    <row r="1085" spans="1:14" ht="46.5" outlineLevel="2" x14ac:dyDescent="0.35">
      <c r="A1085" s="77" t="s">
        <v>529</v>
      </c>
      <c r="B1085" s="108" t="s">
        <v>202</v>
      </c>
      <c r="C1085" s="106">
        <v>3431438</v>
      </c>
      <c r="D1085" s="106">
        <v>-183584</v>
      </c>
      <c r="E1085" s="106">
        <v>0</v>
      </c>
      <c r="F1085" s="106">
        <v>0</v>
      </c>
      <c r="G1085" s="106">
        <v>0</v>
      </c>
      <c r="H1085" s="106">
        <v>3247854</v>
      </c>
      <c r="I1085" s="106">
        <v>-3128316</v>
      </c>
      <c r="J1085" s="106">
        <v>119538</v>
      </c>
      <c r="K1085" s="106">
        <v>0</v>
      </c>
      <c r="L1085" s="106">
        <v>0</v>
      </c>
      <c r="M1085" s="106">
        <v>0</v>
      </c>
      <c r="N1085" s="106">
        <v>119538</v>
      </c>
    </row>
    <row r="1086" spans="1:14" ht="46.5" outlineLevel="2" x14ac:dyDescent="0.35">
      <c r="A1086" s="77" t="s">
        <v>529</v>
      </c>
      <c r="B1086" s="108" t="s">
        <v>201</v>
      </c>
      <c r="C1086" s="106">
        <v>3018053</v>
      </c>
      <c r="D1086" s="106">
        <v>-156651</v>
      </c>
      <c r="E1086" s="106">
        <v>0</v>
      </c>
      <c r="F1086" s="106">
        <v>0</v>
      </c>
      <c r="G1086" s="106">
        <v>0</v>
      </c>
      <c r="H1086" s="106">
        <v>2861402</v>
      </c>
      <c r="I1086" s="106">
        <v>-2768647</v>
      </c>
      <c r="J1086" s="106">
        <v>92755</v>
      </c>
      <c r="K1086" s="106">
        <v>0</v>
      </c>
      <c r="L1086" s="106">
        <v>0</v>
      </c>
      <c r="M1086" s="106">
        <v>0</v>
      </c>
      <c r="N1086" s="106">
        <v>92755</v>
      </c>
    </row>
    <row r="1087" spans="1:14" ht="46.5" outlineLevel="2" x14ac:dyDescent="0.35">
      <c r="A1087" s="77" t="s">
        <v>529</v>
      </c>
      <c r="B1087" s="108" t="s">
        <v>200</v>
      </c>
      <c r="C1087" s="106">
        <v>2106675</v>
      </c>
      <c r="D1087" s="106">
        <v>-96791</v>
      </c>
      <c r="E1087" s="106">
        <v>0</v>
      </c>
      <c r="F1087" s="106">
        <v>0</v>
      </c>
      <c r="G1087" s="106">
        <v>0</v>
      </c>
      <c r="H1087" s="106">
        <v>2009884</v>
      </c>
      <c r="I1087" s="106">
        <v>-1993510</v>
      </c>
      <c r="J1087" s="106">
        <v>16374</v>
      </c>
      <c r="K1087" s="106">
        <v>0</v>
      </c>
      <c r="L1087" s="106">
        <v>0</v>
      </c>
      <c r="M1087" s="106">
        <v>0</v>
      </c>
      <c r="N1087" s="106">
        <v>16374</v>
      </c>
    </row>
    <row r="1088" spans="1:14" ht="16" outlineLevel="2" thickBot="1" x14ac:dyDescent="0.4">
      <c r="A1088" s="105" t="s">
        <v>408</v>
      </c>
      <c r="B1088" s="79" t="s">
        <v>12</v>
      </c>
      <c r="C1088" s="103">
        <f>SUBTOTAL(109,Program265[(C)
Program
Costs])</f>
        <v>12314005</v>
      </c>
      <c r="D1088" s="103">
        <f>SUBTOTAL(109,Program265[(D)
Prior Period Adjustments])</f>
        <v>-698611</v>
      </c>
      <c r="E1088" s="103">
        <f>SUBTOTAL(109,Program265[(E)
Current Period Desk 
Reviews])</f>
        <v>0</v>
      </c>
      <c r="F1088" s="103">
        <f>SUBTOTAL(109,Program265[(F)
Current Period 
Final 
Audits])</f>
        <v>0</v>
      </c>
      <c r="G1088" s="103">
        <f>SUBTOTAL(109,Program265[(G)
Current Period 
Other Adjustments])</f>
        <v>0</v>
      </c>
      <c r="H1088" s="103">
        <f>SUBTOTAL(109,Program265[(H)
Net Program Costs
Sum (C through G)])</f>
        <v>11615394</v>
      </c>
      <c r="I1088" s="103">
        <f>SUBTOTAL(109,Program265[(I)
Payments
 and Offsets])</f>
        <v>-11226746</v>
      </c>
      <c r="J1088" s="103">
        <f>SUBTOTAL(109,Program265[(J)
Accounts Payable Balance
(H + I)])</f>
        <v>388648</v>
      </c>
      <c r="K1088" s="103">
        <f>SUBTOTAL(109,Program265[(K)
Established 
Accounts Receivable])</f>
        <v>0</v>
      </c>
      <c r="L1088" s="103">
        <f>SUBTOTAL(109,Program265[(L)
Recovered
 Accounts Receivable])</f>
        <v>0</v>
      </c>
      <c r="M1088" s="103">
        <f>SUBTOTAL(109,Program265[(M)
Accounts Receivable Balance
(K + L)])</f>
        <v>0</v>
      </c>
      <c r="N1088" s="103">
        <f>SUBTOTAL(109,Program265[(N)
Net Balance
(J minus M)])</f>
        <v>388648</v>
      </c>
    </row>
    <row r="1089" spans="1:14" outlineLevel="1" x14ac:dyDescent="0.35">
      <c r="A1089" s="116" t="s">
        <v>33</v>
      </c>
      <c r="B1089" s="115"/>
      <c r="C1089" s="114"/>
      <c r="D1089" s="114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</row>
    <row r="1090" spans="1:14" ht="78.75" customHeight="1" outlineLevel="1" x14ac:dyDescent="0.35">
      <c r="A1090" s="113" t="s">
        <v>185</v>
      </c>
      <c r="B1090" s="112" t="s">
        <v>184</v>
      </c>
      <c r="C1090" s="111" t="s">
        <v>183</v>
      </c>
      <c r="D1090" s="111" t="s">
        <v>182</v>
      </c>
      <c r="E1090" s="111" t="s">
        <v>181</v>
      </c>
      <c r="F1090" s="111" t="s">
        <v>180</v>
      </c>
      <c r="G1090" s="111" t="s">
        <v>179</v>
      </c>
      <c r="H1090" s="110" t="s">
        <v>674</v>
      </c>
      <c r="I1090" s="110" t="s">
        <v>178</v>
      </c>
      <c r="J1090" s="110" t="s">
        <v>177</v>
      </c>
      <c r="K1090" s="111" t="s">
        <v>176</v>
      </c>
      <c r="L1090" s="110" t="s">
        <v>175</v>
      </c>
      <c r="M1090" s="110" t="s">
        <v>174</v>
      </c>
      <c r="N1090" s="109" t="s">
        <v>173</v>
      </c>
    </row>
    <row r="1091" spans="1:14" ht="15" customHeight="1" outlineLevel="1" x14ac:dyDescent="0.35">
      <c r="A1091" s="108" t="s">
        <v>528</v>
      </c>
      <c r="B1091" s="108" t="s">
        <v>215</v>
      </c>
      <c r="C1091" s="106">
        <v>114153</v>
      </c>
      <c r="D1091" s="106">
        <v>0</v>
      </c>
      <c r="E1091" s="106">
        <v>0</v>
      </c>
      <c r="F1091" s="106">
        <v>0</v>
      </c>
      <c r="G1091" s="106">
        <v>0</v>
      </c>
      <c r="H1091" s="106">
        <v>114153</v>
      </c>
      <c r="I1091" s="106">
        <v>0</v>
      </c>
      <c r="J1091" s="106">
        <v>114153</v>
      </c>
      <c r="K1091" s="106">
        <v>0</v>
      </c>
      <c r="L1091" s="106">
        <v>0</v>
      </c>
      <c r="M1091" s="106">
        <v>0</v>
      </c>
      <c r="N1091" s="106">
        <v>114153</v>
      </c>
    </row>
    <row r="1092" spans="1:14" outlineLevel="2" x14ac:dyDescent="0.35">
      <c r="A1092" s="108" t="s">
        <v>528</v>
      </c>
      <c r="B1092" s="108" t="s">
        <v>214</v>
      </c>
      <c r="C1092" s="106">
        <v>161660</v>
      </c>
      <c r="D1092" s="106">
        <v>0</v>
      </c>
      <c r="E1092" s="106">
        <v>0</v>
      </c>
      <c r="F1092" s="106">
        <v>0</v>
      </c>
      <c r="G1092" s="106">
        <v>0</v>
      </c>
      <c r="H1092" s="106">
        <v>161660</v>
      </c>
      <c r="I1092" s="106">
        <v>-1000</v>
      </c>
      <c r="J1092" s="106">
        <v>160660</v>
      </c>
      <c r="K1092" s="106">
        <v>0</v>
      </c>
      <c r="L1092" s="106">
        <v>0</v>
      </c>
      <c r="M1092" s="106">
        <v>0</v>
      </c>
      <c r="N1092" s="106">
        <v>160660</v>
      </c>
    </row>
    <row r="1093" spans="1:14" outlineLevel="2" x14ac:dyDescent="0.35">
      <c r="A1093" s="108" t="s">
        <v>528</v>
      </c>
      <c r="B1093" s="108" t="s">
        <v>212</v>
      </c>
      <c r="C1093" s="106">
        <v>168987</v>
      </c>
      <c r="D1093" s="106">
        <v>-253</v>
      </c>
      <c r="E1093" s="106">
        <v>0</v>
      </c>
      <c r="F1093" s="106">
        <v>0</v>
      </c>
      <c r="G1093" s="106">
        <v>0</v>
      </c>
      <c r="H1093" s="106">
        <v>168734</v>
      </c>
      <c r="I1093" s="106">
        <v>-46317</v>
      </c>
      <c r="J1093" s="106">
        <v>122417</v>
      </c>
      <c r="K1093" s="106">
        <v>0</v>
      </c>
      <c r="L1093" s="106">
        <v>0</v>
      </c>
      <c r="M1093" s="106">
        <v>0</v>
      </c>
      <c r="N1093" s="106">
        <v>122417</v>
      </c>
    </row>
    <row r="1094" spans="1:14" outlineLevel="2" x14ac:dyDescent="0.35">
      <c r="A1094" s="108" t="s">
        <v>528</v>
      </c>
      <c r="B1094" s="108" t="s">
        <v>220</v>
      </c>
      <c r="C1094" s="106">
        <v>233077</v>
      </c>
      <c r="D1094" s="106">
        <v>-1793</v>
      </c>
      <c r="E1094" s="106">
        <v>0</v>
      </c>
      <c r="F1094" s="106">
        <v>0</v>
      </c>
      <c r="G1094" s="106">
        <v>0</v>
      </c>
      <c r="H1094" s="106">
        <v>231284</v>
      </c>
      <c r="I1094" s="106">
        <v>-38472</v>
      </c>
      <c r="J1094" s="106">
        <v>192812</v>
      </c>
      <c r="K1094" s="106">
        <v>0</v>
      </c>
      <c r="L1094" s="106">
        <v>0</v>
      </c>
      <c r="M1094" s="106">
        <v>0</v>
      </c>
      <c r="N1094" s="106">
        <v>192812</v>
      </c>
    </row>
    <row r="1095" spans="1:14" outlineLevel="2" x14ac:dyDescent="0.35">
      <c r="A1095" s="108" t="s">
        <v>528</v>
      </c>
      <c r="B1095" s="108" t="s">
        <v>219</v>
      </c>
      <c r="C1095" s="106">
        <v>1624030</v>
      </c>
      <c r="D1095" s="106">
        <v>-176</v>
      </c>
      <c r="E1095" s="106">
        <v>0</v>
      </c>
      <c r="F1095" s="106">
        <v>0</v>
      </c>
      <c r="G1095" s="106">
        <v>0</v>
      </c>
      <c r="H1095" s="106">
        <v>1623854</v>
      </c>
      <c r="I1095" s="106">
        <v>-835468</v>
      </c>
      <c r="J1095" s="106">
        <v>788386</v>
      </c>
      <c r="K1095" s="106">
        <v>0</v>
      </c>
      <c r="L1095" s="106">
        <v>0</v>
      </c>
      <c r="M1095" s="106">
        <v>0</v>
      </c>
      <c r="N1095" s="106">
        <v>788386</v>
      </c>
    </row>
    <row r="1096" spans="1:14" outlineLevel="2" x14ac:dyDescent="0.35">
      <c r="A1096" s="108" t="s">
        <v>528</v>
      </c>
      <c r="B1096" s="108" t="s">
        <v>218</v>
      </c>
      <c r="C1096" s="106">
        <v>1847225</v>
      </c>
      <c r="D1096" s="106">
        <v>-937</v>
      </c>
      <c r="E1096" s="106">
        <v>0</v>
      </c>
      <c r="F1096" s="106">
        <v>0</v>
      </c>
      <c r="G1096" s="106">
        <v>0</v>
      </c>
      <c r="H1096" s="106">
        <v>1846288</v>
      </c>
      <c r="I1096" s="106">
        <v>-1214783</v>
      </c>
      <c r="J1096" s="106">
        <v>631505</v>
      </c>
      <c r="K1096" s="106">
        <v>0</v>
      </c>
      <c r="L1096" s="106">
        <v>0</v>
      </c>
      <c r="M1096" s="106">
        <v>0</v>
      </c>
      <c r="N1096" s="106">
        <v>631505</v>
      </c>
    </row>
    <row r="1097" spans="1:14" outlineLevel="2" x14ac:dyDescent="0.35">
      <c r="A1097" s="108" t="s">
        <v>528</v>
      </c>
      <c r="B1097" s="108" t="s">
        <v>209</v>
      </c>
      <c r="C1097" s="106">
        <v>2763658</v>
      </c>
      <c r="D1097" s="106">
        <v>-24768</v>
      </c>
      <c r="E1097" s="106">
        <v>0</v>
      </c>
      <c r="F1097" s="106">
        <v>0</v>
      </c>
      <c r="G1097" s="106">
        <v>0</v>
      </c>
      <c r="H1097" s="106">
        <v>2738890</v>
      </c>
      <c r="I1097" s="106">
        <v>-1912990</v>
      </c>
      <c r="J1097" s="106">
        <v>825900</v>
      </c>
      <c r="K1097" s="106">
        <v>0</v>
      </c>
      <c r="L1097" s="106">
        <v>0</v>
      </c>
      <c r="M1097" s="106">
        <v>0</v>
      </c>
      <c r="N1097" s="106">
        <v>825900</v>
      </c>
    </row>
    <row r="1098" spans="1:14" outlineLevel="2" x14ac:dyDescent="0.35">
      <c r="A1098" s="108" t="s">
        <v>528</v>
      </c>
      <c r="B1098" s="108" t="s">
        <v>208</v>
      </c>
      <c r="C1098" s="106">
        <v>25498311</v>
      </c>
      <c r="D1098" s="106">
        <v>-305418</v>
      </c>
      <c r="E1098" s="106">
        <v>0</v>
      </c>
      <c r="F1098" s="106">
        <v>0</v>
      </c>
      <c r="G1098" s="106">
        <v>0</v>
      </c>
      <c r="H1098" s="106">
        <v>25192893</v>
      </c>
      <c r="I1098" s="106">
        <v>-21266482</v>
      </c>
      <c r="J1098" s="106">
        <v>3926411</v>
      </c>
      <c r="K1098" s="106">
        <v>0</v>
      </c>
      <c r="L1098" s="106">
        <v>0</v>
      </c>
      <c r="M1098" s="106">
        <v>0</v>
      </c>
      <c r="N1098" s="106">
        <v>3926411</v>
      </c>
    </row>
    <row r="1099" spans="1:14" outlineLevel="2" x14ac:dyDescent="0.35">
      <c r="A1099" s="108" t="s">
        <v>528</v>
      </c>
      <c r="B1099" s="108" t="s">
        <v>206</v>
      </c>
      <c r="C1099" s="106">
        <v>24009548</v>
      </c>
      <c r="D1099" s="106">
        <v>-297996</v>
      </c>
      <c r="E1099" s="106">
        <v>0</v>
      </c>
      <c r="F1099" s="106">
        <v>0</v>
      </c>
      <c r="G1099" s="106">
        <v>0</v>
      </c>
      <c r="H1099" s="106">
        <v>23711552</v>
      </c>
      <c r="I1099" s="106">
        <v>-20724878</v>
      </c>
      <c r="J1099" s="106">
        <v>2986674</v>
      </c>
      <c r="K1099" s="106">
        <v>0</v>
      </c>
      <c r="L1099" s="106">
        <v>0</v>
      </c>
      <c r="M1099" s="106">
        <v>0</v>
      </c>
      <c r="N1099" s="106">
        <v>2986674</v>
      </c>
    </row>
    <row r="1100" spans="1:14" outlineLevel="2" x14ac:dyDescent="0.35">
      <c r="A1100" s="108" t="s">
        <v>528</v>
      </c>
      <c r="B1100" s="108" t="s">
        <v>205</v>
      </c>
      <c r="C1100" s="106">
        <v>18780951</v>
      </c>
      <c r="D1100" s="106">
        <v>-287170</v>
      </c>
      <c r="E1100" s="106">
        <v>0</v>
      </c>
      <c r="F1100" s="106">
        <v>0</v>
      </c>
      <c r="G1100" s="106">
        <v>0</v>
      </c>
      <c r="H1100" s="106">
        <v>18493781</v>
      </c>
      <c r="I1100" s="106">
        <v>-16223313</v>
      </c>
      <c r="J1100" s="106">
        <v>2270468</v>
      </c>
      <c r="K1100" s="106">
        <v>0</v>
      </c>
      <c r="L1100" s="106">
        <v>0</v>
      </c>
      <c r="M1100" s="106">
        <v>0</v>
      </c>
      <c r="N1100" s="106">
        <v>2270468</v>
      </c>
    </row>
    <row r="1101" spans="1:14" outlineLevel="2" x14ac:dyDescent="0.35">
      <c r="A1101" s="108" t="s">
        <v>528</v>
      </c>
      <c r="B1101" s="108" t="s">
        <v>204</v>
      </c>
      <c r="C1101" s="106">
        <v>18187806</v>
      </c>
      <c r="D1101" s="106">
        <v>-810087</v>
      </c>
      <c r="E1101" s="106">
        <v>0</v>
      </c>
      <c r="F1101" s="106">
        <v>0</v>
      </c>
      <c r="G1101" s="106">
        <v>0</v>
      </c>
      <c r="H1101" s="106">
        <v>17377719</v>
      </c>
      <c r="I1101" s="106">
        <v>-15811250</v>
      </c>
      <c r="J1101" s="106">
        <v>1566469</v>
      </c>
      <c r="K1101" s="106">
        <v>1150</v>
      </c>
      <c r="L1101" s="106">
        <v>0</v>
      </c>
      <c r="M1101" s="106">
        <v>1150</v>
      </c>
      <c r="N1101" s="106">
        <v>1565319</v>
      </c>
    </row>
    <row r="1102" spans="1:14" outlineLevel="2" x14ac:dyDescent="0.35">
      <c r="A1102" s="108" t="s">
        <v>528</v>
      </c>
      <c r="B1102" s="108" t="s">
        <v>203</v>
      </c>
      <c r="C1102" s="106">
        <v>18240539</v>
      </c>
      <c r="D1102" s="106">
        <v>-1545280</v>
      </c>
      <c r="E1102" s="106">
        <v>0</v>
      </c>
      <c r="F1102" s="106">
        <v>0</v>
      </c>
      <c r="G1102" s="106">
        <v>0</v>
      </c>
      <c r="H1102" s="106">
        <v>16695259</v>
      </c>
      <c r="I1102" s="106">
        <v>-14809884</v>
      </c>
      <c r="J1102" s="106">
        <v>1885375</v>
      </c>
      <c r="K1102" s="106">
        <v>10</v>
      </c>
      <c r="L1102" s="106">
        <v>-9</v>
      </c>
      <c r="M1102" s="106">
        <v>1</v>
      </c>
      <c r="N1102" s="106">
        <v>1885374</v>
      </c>
    </row>
    <row r="1103" spans="1:14" outlineLevel="2" x14ac:dyDescent="0.35">
      <c r="A1103" s="108" t="s">
        <v>528</v>
      </c>
      <c r="B1103" s="108" t="s">
        <v>202</v>
      </c>
      <c r="C1103" s="106">
        <v>15718939</v>
      </c>
      <c r="D1103" s="106">
        <v>-1060022</v>
      </c>
      <c r="E1103" s="106">
        <v>0</v>
      </c>
      <c r="F1103" s="106">
        <v>0</v>
      </c>
      <c r="G1103" s="106">
        <v>0</v>
      </c>
      <c r="H1103" s="106">
        <v>14658917</v>
      </c>
      <c r="I1103" s="106">
        <v>-13490929</v>
      </c>
      <c r="J1103" s="106">
        <v>1167988</v>
      </c>
      <c r="K1103" s="106">
        <v>203988</v>
      </c>
      <c r="L1103" s="106">
        <v>-199903</v>
      </c>
      <c r="M1103" s="106">
        <v>4085</v>
      </c>
      <c r="N1103" s="106">
        <v>1163903</v>
      </c>
    </row>
    <row r="1104" spans="1:14" outlineLevel="2" x14ac:dyDescent="0.35">
      <c r="A1104" s="108" t="s">
        <v>528</v>
      </c>
      <c r="B1104" s="108" t="s">
        <v>201</v>
      </c>
      <c r="C1104" s="106">
        <v>13154620</v>
      </c>
      <c r="D1104" s="106">
        <v>-720827</v>
      </c>
      <c r="E1104" s="106">
        <v>0</v>
      </c>
      <c r="F1104" s="106">
        <v>0</v>
      </c>
      <c r="G1104" s="106">
        <v>0</v>
      </c>
      <c r="H1104" s="106">
        <v>12433793</v>
      </c>
      <c r="I1104" s="106">
        <v>-11714663</v>
      </c>
      <c r="J1104" s="106">
        <v>719130</v>
      </c>
      <c r="K1104" s="106">
        <v>0</v>
      </c>
      <c r="L1104" s="106">
        <v>0</v>
      </c>
      <c r="M1104" s="106">
        <v>0</v>
      </c>
      <c r="N1104" s="106">
        <v>719130</v>
      </c>
    </row>
    <row r="1105" spans="1:14" outlineLevel="2" x14ac:dyDescent="0.35">
      <c r="A1105" s="108" t="s">
        <v>528</v>
      </c>
      <c r="B1105" s="108" t="s">
        <v>200</v>
      </c>
      <c r="C1105" s="106">
        <v>9961279</v>
      </c>
      <c r="D1105" s="106">
        <v>-235802</v>
      </c>
      <c r="E1105" s="106">
        <v>0</v>
      </c>
      <c r="F1105" s="106">
        <v>0</v>
      </c>
      <c r="G1105" s="106">
        <v>0</v>
      </c>
      <c r="H1105" s="106">
        <v>9725477</v>
      </c>
      <c r="I1105" s="106">
        <v>-9725477</v>
      </c>
      <c r="J1105" s="106">
        <v>0</v>
      </c>
      <c r="K1105" s="106">
        <v>253984</v>
      </c>
      <c r="L1105" s="106">
        <v>-193565</v>
      </c>
      <c r="M1105" s="106">
        <v>60419</v>
      </c>
      <c r="N1105" s="106">
        <v>-60419</v>
      </c>
    </row>
    <row r="1106" spans="1:14" outlineLevel="2" x14ac:dyDescent="0.35">
      <c r="A1106" s="108" t="s">
        <v>528</v>
      </c>
      <c r="B1106" s="108" t="s">
        <v>199</v>
      </c>
      <c r="C1106" s="106">
        <v>9972141</v>
      </c>
      <c r="D1106" s="106">
        <v>-1206323</v>
      </c>
      <c r="E1106" s="106">
        <v>0</v>
      </c>
      <c r="F1106" s="106">
        <v>0</v>
      </c>
      <c r="G1106" s="106">
        <v>0</v>
      </c>
      <c r="H1106" s="106">
        <v>8765818</v>
      </c>
      <c r="I1106" s="106">
        <v>-8765818</v>
      </c>
      <c r="J1106" s="106">
        <v>0</v>
      </c>
      <c r="K1106" s="106">
        <v>1253345</v>
      </c>
      <c r="L1106" s="106">
        <v>-405483</v>
      </c>
      <c r="M1106" s="106">
        <v>847862</v>
      </c>
      <c r="N1106" s="106">
        <v>-847862</v>
      </c>
    </row>
    <row r="1107" spans="1:14" outlineLevel="2" x14ac:dyDescent="0.35">
      <c r="A1107" s="108" t="s">
        <v>528</v>
      </c>
      <c r="B1107" s="108" t="s">
        <v>198</v>
      </c>
      <c r="C1107" s="106">
        <v>8605528</v>
      </c>
      <c r="D1107" s="106">
        <v>-1116614</v>
      </c>
      <c r="E1107" s="106">
        <v>0</v>
      </c>
      <c r="F1107" s="106">
        <v>0</v>
      </c>
      <c r="G1107" s="106">
        <v>0</v>
      </c>
      <c r="H1107" s="106">
        <v>7488914</v>
      </c>
      <c r="I1107" s="106">
        <v>-7488914</v>
      </c>
      <c r="J1107" s="106">
        <v>0</v>
      </c>
      <c r="K1107" s="106">
        <v>895210</v>
      </c>
      <c r="L1107" s="106">
        <v>-357099</v>
      </c>
      <c r="M1107" s="106">
        <v>538111</v>
      </c>
      <c r="N1107" s="106">
        <v>-538111</v>
      </c>
    </row>
    <row r="1108" spans="1:14" outlineLevel="2" x14ac:dyDescent="0.35">
      <c r="A1108" s="108" t="s">
        <v>528</v>
      </c>
      <c r="B1108" s="108" t="s">
        <v>197</v>
      </c>
      <c r="C1108" s="106">
        <v>10854589</v>
      </c>
      <c r="D1108" s="106">
        <v>-1737398</v>
      </c>
      <c r="E1108" s="106">
        <v>0</v>
      </c>
      <c r="F1108" s="106">
        <v>0</v>
      </c>
      <c r="G1108" s="106">
        <v>0</v>
      </c>
      <c r="H1108" s="106">
        <v>9117191</v>
      </c>
      <c r="I1108" s="106">
        <v>-9117191</v>
      </c>
      <c r="J1108" s="106">
        <v>0</v>
      </c>
      <c r="K1108" s="106">
        <v>2622888</v>
      </c>
      <c r="L1108" s="106">
        <v>-2622888</v>
      </c>
      <c r="M1108" s="106">
        <v>0</v>
      </c>
      <c r="N1108" s="106">
        <v>0</v>
      </c>
    </row>
    <row r="1109" spans="1:14" outlineLevel="2" x14ac:dyDescent="0.35">
      <c r="A1109" s="108" t="s">
        <v>528</v>
      </c>
      <c r="B1109" s="108" t="s">
        <v>196</v>
      </c>
      <c r="C1109" s="106">
        <v>11774170</v>
      </c>
      <c r="D1109" s="106">
        <v>-2136494</v>
      </c>
      <c r="E1109" s="106">
        <v>0</v>
      </c>
      <c r="F1109" s="106">
        <v>0</v>
      </c>
      <c r="G1109" s="106">
        <v>0</v>
      </c>
      <c r="H1109" s="106">
        <v>9637676</v>
      </c>
      <c r="I1109" s="106">
        <v>-9637676</v>
      </c>
      <c r="J1109" s="106">
        <v>0</v>
      </c>
      <c r="K1109" s="106">
        <v>2550690</v>
      </c>
      <c r="L1109" s="106">
        <v>-2550690</v>
      </c>
      <c r="M1109" s="106">
        <v>0</v>
      </c>
      <c r="N1109" s="106">
        <v>0</v>
      </c>
    </row>
    <row r="1110" spans="1:14" outlineLevel="2" x14ac:dyDescent="0.35">
      <c r="A1110" s="108" t="s">
        <v>528</v>
      </c>
      <c r="B1110" s="108" t="s">
        <v>195</v>
      </c>
      <c r="C1110" s="106">
        <v>11191493</v>
      </c>
      <c r="D1110" s="106">
        <v>-2033059</v>
      </c>
      <c r="E1110" s="106">
        <v>0</v>
      </c>
      <c r="F1110" s="106">
        <v>0</v>
      </c>
      <c r="G1110" s="106">
        <v>0</v>
      </c>
      <c r="H1110" s="106">
        <v>9158434</v>
      </c>
      <c r="I1110" s="106">
        <v>-9158434</v>
      </c>
      <c r="J1110" s="106">
        <v>0</v>
      </c>
      <c r="K1110" s="106">
        <v>3018962</v>
      </c>
      <c r="L1110" s="106">
        <v>-3018962</v>
      </c>
      <c r="M1110" s="106">
        <v>0</v>
      </c>
      <c r="N1110" s="106">
        <v>0</v>
      </c>
    </row>
    <row r="1111" spans="1:14" outlineLevel="2" x14ac:dyDescent="0.35">
      <c r="A1111" s="108" t="s">
        <v>528</v>
      </c>
      <c r="B1111" s="108" t="s">
        <v>194</v>
      </c>
      <c r="C1111" s="106">
        <v>9477994</v>
      </c>
      <c r="D1111" s="106">
        <v>-1838765</v>
      </c>
      <c r="E1111" s="106">
        <v>0</v>
      </c>
      <c r="F1111" s="106">
        <v>0</v>
      </c>
      <c r="G1111" s="106">
        <v>0</v>
      </c>
      <c r="H1111" s="106">
        <v>7639229</v>
      </c>
      <c r="I1111" s="106">
        <v>-7639229</v>
      </c>
      <c r="J1111" s="106">
        <v>0</v>
      </c>
      <c r="K1111" s="106">
        <v>2921979</v>
      </c>
      <c r="L1111" s="106">
        <v>-2921979</v>
      </c>
      <c r="M1111" s="106">
        <v>0</v>
      </c>
      <c r="N1111" s="106">
        <v>0</v>
      </c>
    </row>
    <row r="1112" spans="1:14" outlineLevel="2" x14ac:dyDescent="0.35">
      <c r="A1112" s="108" t="s">
        <v>528</v>
      </c>
      <c r="B1112" s="108" t="s">
        <v>193</v>
      </c>
      <c r="C1112" s="106">
        <v>8228750</v>
      </c>
      <c r="D1112" s="106">
        <v>-682603</v>
      </c>
      <c r="E1112" s="106">
        <v>0</v>
      </c>
      <c r="F1112" s="106">
        <v>0</v>
      </c>
      <c r="G1112" s="106">
        <v>0</v>
      </c>
      <c r="H1112" s="106">
        <v>7546147</v>
      </c>
      <c r="I1112" s="106">
        <v>-7546147</v>
      </c>
      <c r="J1112" s="106">
        <v>0</v>
      </c>
      <c r="K1112" s="106">
        <v>981262</v>
      </c>
      <c r="L1112" s="106">
        <v>-981262</v>
      </c>
      <c r="M1112" s="106">
        <v>0</v>
      </c>
      <c r="N1112" s="106">
        <v>0</v>
      </c>
    </row>
    <row r="1113" spans="1:14" outlineLevel="1" x14ac:dyDescent="0.35">
      <c r="A1113" s="108" t="s">
        <v>528</v>
      </c>
      <c r="B1113" s="108" t="s">
        <v>192</v>
      </c>
      <c r="C1113" s="106">
        <v>7924264</v>
      </c>
      <c r="D1113" s="106">
        <v>-954337</v>
      </c>
      <c r="E1113" s="106">
        <v>0</v>
      </c>
      <c r="F1113" s="106">
        <v>0</v>
      </c>
      <c r="G1113" s="106">
        <v>0</v>
      </c>
      <c r="H1113" s="106">
        <v>6969927</v>
      </c>
      <c r="I1113" s="106">
        <v>-6969927</v>
      </c>
      <c r="J1113" s="106">
        <v>0</v>
      </c>
      <c r="K1113" s="106">
        <v>589385</v>
      </c>
      <c r="L1113" s="106">
        <v>-589385</v>
      </c>
      <c r="M1113" s="106">
        <v>0</v>
      </c>
      <c r="N1113" s="106">
        <v>0</v>
      </c>
    </row>
    <row r="1114" spans="1:14" ht="15.65" customHeight="1" outlineLevel="1" x14ac:dyDescent="0.35">
      <c r="A1114" s="108" t="s">
        <v>528</v>
      </c>
      <c r="B1114" s="108" t="s">
        <v>191</v>
      </c>
      <c r="C1114" s="106">
        <v>6635855</v>
      </c>
      <c r="D1114" s="106">
        <v>-885026</v>
      </c>
      <c r="E1114" s="106">
        <v>0</v>
      </c>
      <c r="F1114" s="106">
        <v>0</v>
      </c>
      <c r="G1114" s="106">
        <v>0</v>
      </c>
      <c r="H1114" s="106">
        <v>5750829</v>
      </c>
      <c r="I1114" s="106">
        <v>-5750829</v>
      </c>
      <c r="J1114" s="106">
        <v>0</v>
      </c>
      <c r="K1114" s="106">
        <v>996420</v>
      </c>
      <c r="L1114" s="106">
        <v>-996420</v>
      </c>
      <c r="M1114" s="106">
        <v>0</v>
      </c>
      <c r="N1114" s="106">
        <v>0</v>
      </c>
    </row>
    <row r="1115" spans="1:14" ht="15" customHeight="1" outlineLevel="1" x14ac:dyDescent="0.35">
      <c r="A1115" s="108" t="s">
        <v>528</v>
      </c>
      <c r="B1115" s="108" t="s">
        <v>190</v>
      </c>
      <c r="C1115" s="106">
        <v>4995719</v>
      </c>
      <c r="D1115" s="106">
        <v>-35804</v>
      </c>
      <c r="E1115" s="106">
        <v>0</v>
      </c>
      <c r="F1115" s="106">
        <v>0</v>
      </c>
      <c r="G1115" s="106">
        <v>0</v>
      </c>
      <c r="H1115" s="106">
        <v>4959915</v>
      </c>
      <c r="I1115" s="106">
        <v>-4959915</v>
      </c>
      <c r="J1115" s="106">
        <v>0</v>
      </c>
      <c r="K1115" s="106">
        <v>428940</v>
      </c>
      <c r="L1115" s="106">
        <v>-428940</v>
      </c>
      <c r="M1115" s="106">
        <v>0</v>
      </c>
      <c r="N1115" s="106">
        <v>0</v>
      </c>
    </row>
    <row r="1116" spans="1:14" outlineLevel="2" x14ac:dyDescent="0.35">
      <c r="A1116" s="108" t="s">
        <v>528</v>
      </c>
      <c r="B1116" s="108" t="s">
        <v>189</v>
      </c>
      <c r="C1116" s="106">
        <v>4163265</v>
      </c>
      <c r="D1116" s="106">
        <v>-18115</v>
      </c>
      <c r="E1116" s="106">
        <v>0</v>
      </c>
      <c r="F1116" s="106">
        <v>0</v>
      </c>
      <c r="G1116" s="106">
        <v>0</v>
      </c>
      <c r="H1116" s="106">
        <v>4145150</v>
      </c>
      <c r="I1116" s="106">
        <v>-4145150</v>
      </c>
      <c r="J1116" s="106">
        <v>0</v>
      </c>
      <c r="K1116" s="106">
        <v>257776</v>
      </c>
      <c r="L1116" s="106">
        <v>-257776</v>
      </c>
      <c r="M1116" s="106">
        <v>0</v>
      </c>
      <c r="N1116" s="106">
        <v>0</v>
      </c>
    </row>
    <row r="1117" spans="1:14" outlineLevel="2" x14ac:dyDescent="0.35">
      <c r="A1117" s="108" t="s">
        <v>528</v>
      </c>
      <c r="B1117" s="108" t="s">
        <v>188</v>
      </c>
      <c r="C1117" s="106">
        <v>3343092</v>
      </c>
      <c r="D1117" s="106">
        <v>-82762</v>
      </c>
      <c r="E1117" s="106">
        <v>0</v>
      </c>
      <c r="F1117" s="106">
        <v>0</v>
      </c>
      <c r="G1117" s="106">
        <v>0</v>
      </c>
      <c r="H1117" s="106">
        <v>3260330</v>
      </c>
      <c r="I1117" s="106">
        <v>-3260330</v>
      </c>
      <c r="J1117" s="106">
        <v>0</v>
      </c>
      <c r="K1117" s="106">
        <v>1006651</v>
      </c>
      <c r="L1117" s="106">
        <v>-1006651</v>
      </c>
      <c r="M1117" s="106">
        <v>0</v>
      </c>
      <c r="N1117" s="106">
        <v>0</v>
      </c>
    </row>
    <row r="1118" spans="1:14" outlineLevel="2" x14ac:dyDescent="0.35">
      <c r="A1118" s="108" t="s">
        <v>528</v>
      </c>
      <c r="B1118" s="108" t="s">
        <v>186</v>
      </c>
      <c r="C1118" s="106">
        <v>4040532</v>
      </c>
      <c r="D1118" s="106">
        <v>-1591397</v>
      </c>
      <c r="E1118" s="106">
        <v>0</v>
      </c>
      <c r="F1118" s="106">
        <v>0</v>
      </c>
      <c r="G1118" s="106">
        <v>0</v>
      </c>
      <c r="H1118" s="106">
        <v>2449135</v>
      </c>
      <c r="I1118" s="106">
        <v>-2449135</v>
      </c>
      <c r="J1118" s="106">
        <v>0</v>
      </c>
      <c r="K1118" s="106">
        <v>1375535</v>
      </c>
      <c r="L1118" s="106">
        <v>-1375535</v>
      </c>
      <c r="M1118" s="106">
        <v>0</v>
      </c>
      <c r="N1118" s="106">
        <v>0</v>
      </c>
    </row>
    <row r="1119" spans="1:14" outlineLevel="2" x14ac:dyDescent="0.35">
      <c r="A1119" s="108" t="s">
        <v>528</v>
      </c>
      <c r="B1119" s="108" t="s">
        <v>227</v>
      </c>
      <c r="C1119" s="106">
        <v>0</v>
      </c>
      <c r="D1119" s="106">
        <v>0</v>
      </c>
      <c r="E1119" s="106">
        <v>0</v>
      </c>
      <c r="F1119" s="106">
        <v>0</v>
      </c>
      <c r="G1119" s="106">
        <v>0</v>
      </c>
      <c r="H1119" s="106">
        <v>0</v>
      </c>
      <c r="I1119" s="106">
        <v>0</v>
      </c>
      <c r="J1119" s="106">
        <v>0</v>
      </c>
      <c r="K1119" s="106">
        <v>280616</v>
      </c>
      <c r="L1119" s="106">
        <v>-280616</v>
      </c>
      <c r="M1119" s="106">
        <v>0</v>
      </c>
      <c r="N1119" s="106">
        <v>0</v>
      </c>
    </row>
    <row r="1120" spans="1:14" ht="16" outlineLevel="2" thickBot="1" x14ac:dyDescent="0.4">
      <c r="A1120" s="105" t="s">
        <v>407</v>
      </c>
      <c r="B1120" s="79" t="s">
        <v>12</v>
      </c>
      <c r="C1120" s="103">
        <f>SUBTOTAL(109,Program48[(C)
Program
Costs])</f>
        <v>251672175</v>
      </c>
      <c r="D1120" s="103">
        <f>SUBTOTAL(109,Program48[(D)
Prior Period Adjustments])</f>
        <v>-19609226</v>
      </c>
      <c r="E1120" s="103">
        <f>SUBTOTAL(109,Program48[(E)
Current Period Desk 
Reviews])</f>
        <v>0</v>
      </c>
      <c r="F1120" s="103">
        <f>SUBTOTAL(109,Program48[(F)
Current Period 
Final 
Audits])</f>
        <v>0</v>
      </c>
      <c r="G1120" s="103">
        <f>SUBTOTAL(109,Program48[(G)
Current Period 
Other Adjustments])</f>
        <v>0</v>
      </c>
      <c r="H1120" s="103">
        <f>SUBTOTAL(109,Program48[(H)
Net Program Costs
Sum (C through G)])</f>
        <v>232062949</v>
      </c>
      <c r="I1120" s="103">
        <f>SUBTOTAL(109,Program48[(I)
Payments
 and Offsets])</f>
        <v>-214704601</v>
      </c>
      <c r="J1120" s="103">
        <f>SUBTOTAL(109,Program48[(J)
Accounts Payable Balance
(H + I)])</f>
        <v>17358348</v>
      </c>
      <c r="K1120" s="103">
        <f>SUBTOTAL(109,Program48[(K)
Established 
Accounts Receivable])</f>
        <v>19638791</v>
      </c>
      <c r="L1120" s="103">
        <f>SUBTOTAL(109,Program48[(L)
Recovered
 Accounts Receivable])</f>
        <v>-18187163</v>
      </c>
      <c r="M1120" s="103">
        <f>SUBTOTAL(109,Program48[(M)
Accounts Receivable Balance
(K + L)])</f>
        <v>1451628</v>
      </c>
      <c r="N1120" s="103">
        <f>SUBTOTAL(109,Program48[(N)
Net Balance
(J minus M)])</f>
        <v>15906720</v>
      </c>
    </row>
    <row r="1121" spans="1:14" outlineLevel="2" x14ac:dyDescent="0.35">
      <c r="A1121" s="116" t="s">
        <v>33</v>
      </c>
      <c r="B1121" s="115"/>
      <c r="C1121" s="114"/>
      <c r="D1121" s="114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</row>
    <row r="1122" spans="1:14" ht="77.5" outlineLevel="2" x14ac:dyDescent="0.35">
      <c r="A1122" s="113" t="s">
        <v>185</v>
      </c>
      <c r="B1122" s="112" t="s">
        <v>184</v>
      </c>
      <c r="C1122" s="111" t="s">
        <v>183</v>
      </c>
      <c r="D1122" s="111" t="s">
        <v>182</v>
      </c>
      <c r="E1122" s="111" t="s">
        <v>181</v>
      </c>
      <c r="F1122" s="111" t="s">
        <v>180</v>
      </c>
      <c r="G1122" s="111" t="s">
        <v>179</v>
      </c>
      <c r="H1122" s="110" t="s">
        <v>674</v>
      </c>
      <c r="I1122" s="110" t="s">
        <v>178</v>
      </c>
      <c r="J1122" s="110" t="s">
        <v>177</v>
      </c>
      <c r="K1122" s="111" t="s">
        <v>176</v>
      </c>
      <c r="L1122" s="110" t="s">
        <v>175</v>
      </c>
      <c r="M1122" s="110" t="s">
        <v>174</v>
      </c>
      <c r="N1122" s="109" t="s">
        <v>173</v>
      </c>
    </row>
    <row r="1123" spans="1:14" ht="31" outlineLevel="2" x14ac:dyDescent="0.35">
      <c r="A1123" s="77" t="s">
        <v>527</v>
      </c>
      <c r="B1123" s="108" t="s">
        <v>203</v>
      </c>
      <c r="C1123" s="106">
        <v>7098578</v>
      </c>
      <c r="D1123" s="106">
        <v>-66583</v>
      </c>
      <c r="E1123" s="106">
        <v>0</v>
      </c>
      <c r="F1123" s="106">
        <v>0</v>
      </c>
      <c r="G1123" s="106">
        <v>0</v>
      </c>
      <c r="H1123" s="106">
        <v>7031995</v>
      </c>
      <c r="I1123" s="106">
        <v>-6148659</v>
      </c>
      <c r="J1123" s="106">
        <v>883336</v>
      </c>
      <c r="K1123" s="106">
        <v>9</v>
      </c>
      <c r="L1123" s="106">
        <v>-7</v>
      </c>
      <c r="M1123" s="106">
        <v>2</v>
      </c>
      <c r="N1123" s="106">
        <v>883334</v>
      </c>
    </row>
    <row r="1124" spans="1:14" ht="31" outlineLevel="2" x14ac:dyDescent="0.35">
      <c r="A1124" s="77" t="s">
        <v>527</v>
      </c>
      <c r="B1124" s="108" t="s">
        <v>202</v>
      </c>
      <c r="C1124" s="106">
        <v>6625839</v>
      </c>
      <c r="D1124" s="106">
        <v>-8549</v>
      </c>
      <c r="E1124" s="106">
        <v>0</v>
      </c>
      <c r="F1124" s="106">
        <v>0</v>
      </c>
      <c r="G1124" s="106">
        <v>0</v>
      </c>
      <c r="H1124" s="106">
        <v>6617290</v>
      </c>
      <c r="I1124" s="106">
        <v>-6100481</v>
      </c>
      <c r="J1124" s="106">
        <v>516809</v>
      </c>
      <c r="K1124" s="106">
        <v>60300</v>
      </c>
      <c r="L1124" s="106">
        <v>-54923</v>
      </c>
      <c r="M1124" s="106">
        <v>5377</v>
      </c>
      <c r="N1124" s="106">
        <v>511432</v>
      </c>
    </row>
    <row r="1125" spans="1:14" ht="31" outlineLevel="2" x14ac:dyDescent="0.35">
      <c r="A1125" s="77" t="s">
        <v>527</v>
      </c>
      <c r="B1125" s="108" t="s">
        <v>201</v>
      </c>
      <c r="C1125" s="106">
        <v>5735933</v>
      </c>
      <c r="D1125" s="106">
        <v>-9241</v>
      </c>
      <c r="E1125" s="106">
        <v>0</v>
      </c>
      <c r="F1125" s="106">
        <v>0</v>
      </c>
      <c r="G1125" s="106">
        <v>0</v>
      </c>
      <c r="H1125" s="106">
        <v>5726692</v>
      </c>
      <c r="I1125" s="106">
        <v>-5639598</v>
      </c>
      <c r="J1125" s="106">
        <v>87094</v>
      </c>
      <c r="K1125" s="106">
        <v>1191913</v>
      </c>
      <c r="L1125" s="106">
        <v>-1172322</v>
      </c>
      <c r="M1125" s="106">
        <v>19591</v>
      </c>
      <c r="N1125" s="106">
        <v>67503</v>
      </c>
    </row>
    <row r="1126" spans="1:14" ht="31" outlineLevel="2" x14ac:dyDescent="0.35">
      <c r="A1126" s="77" t="s">
        <v>527</v>
      </c>
      <c r="B1126" s="108" t="s">
        <v>200</v>
      </c>
      <c r="C1126" s="106">
        <v>5239451</v>
      </c>
      <c r="D1126" s="106">
        <v>-12310</v>
      </c>
      <c r="E1126" s="106">
        <v>0</v>
      </c>
      <c r="F1126" s="106">
        <v>0</v>
      </c>
      <c r="G1126" s="106">
        <v>0</v>
      </c>
      <c r="H1126" s="106">
        <v>5227141</v>
      </c>
      <c r="I1126" s="106">
        <v>-5227141</v>
      </c>
      <c r="J1126" s="106">
        <v>0</v>
      </c>
      <c r="K1126" s="106">
        <v>1755</v>
      </c>
      <c r="L1126" s="106">
        <v>0</v>
      </c>
      <c r="M1126" s="106">
        <v>1755</v>
      </c>
      <c r="N1126" s="106">
        <v>-1755</v>
      </c>
    </row>
    <row r="1127" spans="1:14" ht="31" outlineLevel="2" x14ac:dyDescent="0.35">
      <c r="A1127" s="77" t="s">
        <v>527</v>
      </c>
      <c r="B1127" s="108" t="s">
        <v>199</v>
      </c>
      <c r="C1127" s="106">
        <v>6136271</v>
      </c>
      <c r="D1127" s="106">
        <v>-6818</v>
      </c>
      <c r="E1127" s="106">
        <v>0</v>
      </c>
      <c r="F1127" s="106">
        <v>0</v>
      </c>
      <c r="G1127" s="106">
        <v>0</v>
      </c>
      <c r="H1127" s="106">
        <v>6129453</v>
      </c>
      <c r="I1127" s="106">
        <v>-6129453</v>
      </c>
      <c r="J1127" s="106">
        <v>0</v>
      </c>
      <c r="K1127" s="106">
        <v>0</v>
      </c>
      <c r="L1127" s="106">
        <v>0</v>
      </c>
      <c r="M1127" s="106">
        <v>0</v>
      </c>
      <c r="N1127" s="106">
        <v>0</v>
      </c>
    </row>
    <row r="1128" spans="1:14" ht="31" outlineLevel="2" x14ac:dyDescent="0.35">
      <c r="A1128" s="77" t="s">
        <v>527</v>
      </c>
      <c r="B1128" s="108" t="s">
        <v>198</v>
      </c>
      <c r="C1128" s="106">
        <v>5842584</v>
      </c>
      <c r="D1128" s="106">
        <v>-312375</v>
      </c>
      <c r="E1128" s="106">
        <v>0</v>
      </c>
      <c r="F1128" s="106">
        <v>0</v>
      </c>
      <c r="G1128" s="106">
        <v>0</v>
      </c>
      <c r="H1128" s="106">
        <v>5530209</v>
      </c>
      <c r="I1128" s="106">
        <v>-5530209</v>
      </c>
      <c r="J1128" s="106">
        <v>0</v>
      </c>
      <c r="K1128" s="106">
        <v>18634</v>
      </c>
      <c r="L1128" s="106">
        <v>-18634</v>
      </c>
      <c r="M1128" s="106">
        <v>0</v>
      </c>
      <c r="N1128" s="106">
        <v>0</v>
      </c>
    </row>
    <row r="1129" spans="1:14" ht="31" outlineLevel="1" x14ac:dyDescent="0.35">
      <c r="A1129" s="77" t="s">
        <v>527</v>
      </c>
      <c r="B1129" s="108" t="s">
        <v>197</v>
      </c>
      <c r="C1129" s="106">
        <v>6122825</v>
      </c>
      <c r="D1129" s="106">
        <v>-787784</v>
      </c>
      <c r="E1129" s="106">
        <v>0</v>
      </c>
      <c r="F1129" s="106">
        <v>0</v>
      </c>
      <c r="G1129" s="106">
        <v>0</v>
      </c>
      <c r="H1129" s="106">
        <v>5335041</v>
      </c>
      <c r="I1129" s="106">
        <v>-5335041</v>
      </c>
      <c r="J1129" s="106">
        <v>0</v>
      </c>
      <c r="K1129" s="106">
        <v>816379</v>
      </c>
      <c r="L1129" s="106">
        <v>-816379</v>
      </c>
      <c r="M1129" s="106">
        <v>0</v>
      </c>
      <c r="N1129" s="106">
        <v>0</v>
      </c>
    </row>
    <row r="1130" spans="1:14" ht="30" customHeight="1" outlineLevel="1" x14ac:dyDescent="0.35">
      <c r="A1130" s="77" t="s">
        <v>527</v>
      </c>
      <c r="B1130" s="108" t="s">
        <v>196</v>
      </c>
      <c r="C1130" s="106">
        <v>6660207</v>
      </c>
      <c r="D1130" s="106">
        <v>-725275</v>
      </c>
      <c r="E1130" s="106">
        <v>0</v>
      </c>
      <c r="F1130" s="106">
        <v>0</v>
      </c>
      <c r="G1130" s="106">
        <v>0</v>
      </c>
      <c r="H1130" s="106">
        <v>5934932</v>
      </c>
      <c r="I1130" s="106">
        <v>-5934932</v>
      </c>
      <c r="J1130" s="106">
        <v>0</v>
      </c>
      <c r="K1130" s="106">
        <v>371065</v>
      </c>
      <c r="L1130" s="106">
        <v>-371065</v>
      </c>
      <c r="M1130" s="106">
        <v>0</v>
      </c>
      <c r="N1130" s="106">
        <v>0</v>
      </c>
    </row>
    <row r="1131" spans="1:14" ht="30" customHeight="1" outlineLevel="1" x14ac:dyDescent="0.35">
      <c r="A1131" s="77" t="s">
        <v>527</v>
      </c>
      <c r="B1131" s="108" t="s">
        <v>195</v>
      </c>
      <c r="C1131" s="106">
        <v>4762146</v>
      </c>
      <c r="D1131" s="106">
        <v>-203903</v>
      </c>
      <c r="E1131" s="106">
        <v>0</v>
      </c>
      <c r="F1131" s="106">
        <v>0</v>
      </c>
      <c r="G1131" s="106">
        <v>0</v>
      </c>
      <c r="H1131" s="106">
        <v>4558243</v>
      </c>
      <c r="I1131" s="106">
        <v>-4558243</v>
      </c>
      <c r="J1131" s="106">
        <v>0</v>
      </c>
      <c r="K1131" s="106">
        <v>268298</v>
      </c>
      <c r="L1131" s="106">
        <v>-268298</v>
      </c>
      <c r="M1131" s="106">
        <v>0</v>
      </c>
      <c r="N1131" s="106">
        <v>0</v>
      </c>
    </row>
    <row r="1132" spans="1:14" ht="31" outlineLevel="2" x14ac:dyDescent="0.35">
      <c r="A1132" s="77" t="s">
        <v>527</v>
      </c>
      <c r="B1132" s="108" t="s">
        <v>194</v>
      </c>
      <c r="C1132" s="106">
        <v>4100751</v>
      </c>
      <c r="D1132" s="106">
        <v>-19326</v>
      </c>
      <c r="E1132" s="106">
        <v>0</v>
      </c>
      <c r="F1132" s="106">
        <v>0</v>
      </c>
      <c r="G1132" s="106">
        <v>0</v>
      </c>
      <c r="H1132" s="106">
        <v>4081425</v>
      </c>
      <c r="I1132" s="106">
        <v>-4081425</v>
      </c>
      <c r="J1132" s="106">
        <v>0</v>
      </c>
      <c r="K1132" s="106">
        <v>418461</v>
      </c>
      <c r="L1132" s="106">
        <v>-418461</v>
      </c>
      <c r="M1132" s="106">
        <v>0</v>
      </c>
      <c r="N1132" s="106">
        <v>0</v>
      </c>
    </row>
    <row r="1133" spans="1:14" ht="31" outlineLevel="2" x14ac:dyDescent="0.35">
      <c r="A1133" s="77" t="s">
        <v>527</v>
      </c>
      <c r="B1133" s="108" t="s">
        <v>193</v>
      </c>
      <c r="C1133" s="106">
        <v>3298931</v>
      </c>
      <c r="D1133" s="106">
        <v>-27993</v>
      </c>
      <c r="E1133" s="106">
        <v>0</v>
      </c>
      <c r="F1133" s="106">
        <v>0</v>
      </c>
      <c r="G1133" s="106">
        <v>0</v>
      </c>
      <c r="H1133" s="106">
        <v>3270938</v>
      </c>
      <c r="I1133" s="106">
        <v>-3270938</v>
      </c>
      <c r="J1133" s="106">
        <v>0</v>
      </c>
      <c r="K1133" s="106">
        <v>498231</v>
      </c>
      <c r="L1133" s="106">
        <v>-498231</v>
      </c>
      <c r="M1133" s="106">
        <v>0</v>
      </c>
      <c r="N1133" s="106">
        <v>0</v>
      </c>
    </row>
    <row r="1134" spans="1:14" ht="31" outlineLevel="2" x14ac:dyDescent="0.35">
      <c r="A1134" s="77" t="s">
        <v>527</v>
      </c>
      <c r="B1134" s="108" t="s">
        <v>192</v>
      </c>
      <c r="C1134" s="106">
        <v>4984666</v>
      </c>
      <c r="D1134" s="106">
        <v>-2676641</v>
      </c>
      <c r="E1134" s="106">
        <v>0</v>
      </c>
      <c r="F1134" s="106">
        <v>0</v>
      </c>
      <c r="G1134" s="106">
        <v>0</v>
      </c>
      <c r="H1134" s="106">
        <v>2308025</v>
      </c>
      <c r="I1134" s="106">
        <v>-2308025</v>
      </c>
      <c r="J1134" s="106">
        <v>0</v>
      </c>
      <c r="K1134" s="106">
        <v>726099</v>
      </c>
      <c r="L1134" s="106">
        <v>-726099</v>
      </c>
      <c r="M1134" s="106">
        <v>0</v>
      </c>
      <c r="N1134" s="106">
        <v>0</v>
      </c>
    </row>
    <row r="1135" spans="1:14" ht="31" outlineLevel="2" x14ac:dyDescent="0.35">
      <c r="A1135" s="77" t="s">
        <v>527</v>
      </c>
      <c r="B1135" s="108" t="s">
        <v>191</v>
      </c>
      <c r="C1135" s="106">
        <v>4357919</v>
      </c>
      <c r="D1135" s="106">
        <v>-2605575</v>
      </c>
      <c r="E1135" s="106">
        <v>0</v>
      </c>
      <c r="F1135" s="106">
        <v>0</v>
      </c>
      <c r="G1135" s="106">
        <v>0</v>
      </c>
      <c r="H1135" s="106">
        <v>1752344</v>
      </c>
      <c r="I1135" s="106">
        <v>-1752344</v>
      </c>
      <c r="J1135" s="106">
        <v>0</v>
      </c>
      <c r="K1135" s="106">
        <v>614249</v>
      </c>
      <c r="L1135" s="106">
        <v>-614249</v>
      </c>
      <c r="M1135" s="106">
        <v>0</v>
      </c>
      <c r="N1135" s="106">
        <v>0</v>
      </c>
    </row>
    <row r="1136" spans="1:14" ht="31" outlineLevel="2" x14ac:dyDescent="0.35">
      <c r="A1136" s="77" t="s">
        <v>527</v>
      </c>
      <c r="B1136" s="108" t="s">
        <v>190</v>
      </c>
      <c r="C1136" s="106">
        <v>4115404</v>
      </c>
      <c r="D1136" s="106">
        <v>-2497007</v>
      </c>
      <c r="E1136" s="106">
        <v>0</v>
      </c>
      <c r="F1136" s="106">
        <v>0</v>
      </c>
      <c r="G1136" s="106">
        <v>0</v>
      </c>
      <c r="H1136" s="106">
        <v>1618397</v>
      </c>
      <c r="I1136" s="106">
        <v>-1618397</v>
      </c>
      <c r="J1136" s="106">
        <v>0</v>
      </c>
      <c r="K1136" s="106">
        <v>613507</v>
      </c>
      <c r="L1136" s="106">
        <v>-613507</v>
      </c>
      <c r="M1136" s="106">
        <v>0</v>
      </c>
      <c r="N1136" s="106">
        <v>0</v>
      </c>
    </row>
    <row r="1137" spans="1:14" ht="31" outlineLevel="2" x14ac:dyDescent="0.35">
      <c r="A1137" s="77" t="s">
        <v>527</v>
      </c>
      <c r="B1137" s="108" t="s">
        <v>189</v>
      </c>
      <c r="C1137" s="106">
        <v>2974902</v>
      </c>
      <c r="D1137" s="106">
        <v>-1685979</v>
      </c>
      <c r="E1137" s="106">
        <v>0</v>
      </c>
      <c r="F1137" s="106">
        <v>0</v>
      </c>
      <c r="G1137" s="106">
        <v>0</v>
      </c>
      <c r="H1137" s="106">
        <v>1288923</v>
      </c>
      <c r="I1137" s="106">
        <v>-1288923</v>
      </c>
      <c r="J1137" s="106">
        <v>0</v>
      </c>
      <c r="K1137" s="106">
        <v>407667</v>
      </c>
      <c r="L1137" s="106">
        <v>-407667</v>
      </c>
      <c r="M1137" s="106">
        <v>0</v>
      </c>
      <c r="N1137" s="106">
        <v>0</v>
      </c>
    </row>
    <row r="1138" spans="1:14" ht="16" outlineLevel="2" thickBot="1" x14ac:dyDescent="0.4">
      <c r="A1138" s="105" t="s">
        <v>406</v>
      </c>
      <c r="B1138" s="79" t="s">
        <v>12</v>
      </c>
      <c r="C1138" s="103">
        <f>SUBTOTAL(109,Program150[(C)
Program
Costs])</f>
        <v>78056407</v>
      </c>
      <c r="D1138" s="103">
        <f>SUBTOTAL(109,Program150[(D)
Prior Period Adjustments])</f>
        <v>-11645359</v>
      </c>
      <c r="E1138" s="103">
        <f>SUBTOTAL(109,Program150[(E)
Current Period Desk 
Reviews])</f>
        <v>0</v>
      </c>
      <c r="F1138" s="103">
        <f>SUBTOTAL(109,Program150[(F)
Current Period 
Final 
Audits])</f>
        <v>0</v>
      </c>
      <c r="G1138" s="103">
        <f>SUBTOTAL(109,Program150[(G)
Current Period 
Other Adjustments])</f>
        <v>0</v>
      </c>
      <c r="H1138" s="103">
        <f>SUBTOTAL(109,Program150[(H)
Net Program Costs
Sum (C through G)])</f>
        <v>66411048</v>
      </c>
      <c r="I1138" s="103">
        <f>SUBTOTAL(109,Program150[(I)
Payments
 and Offsets])</f>
        <v>-64923809</v>
      </c>
      <c r="J1138" s="103">
        <f>SUBTOTAL(109,Program150[(J)
Accounts Payable Balance
(H + I)])</f>
        <v>1487239</v>
      </c>
      <c r="K1138" s="103">
        <f>SUBTOTAL(109,Program150[(K)
Established 
Accounts Receivable])</f>
        <v>6006567</v>
      </c>
      <c r="L1138" s="103">
        <f>SUBTOTAL(109,Program150[(L)
Recovered
 Accounts Receivable])</f>
        <v>-5979842</v>
      </c>
      <c r="M1138" s="103">
        <f>SUBTOTAL(109,Program150[(M)
Accounts Receivable Balance
(K + L)])</f>
        <v>26725</v>
      </c>
      <c r="N1138" s="103">
        <f>SUBTOTAL(109,Program150[(N)
Net Balance
(J minus M)])</f>
        <v>1460514</v>
      </c>
    </row>
    <row r="1139" spans="1:14" outlineLevel="2" x14ac:dyDescent="0.35">
      <c r="A1139" s="116" t="s">
        <v>33</v>
      </c>
      <c r="B1139" s="115"/>
      <c r="C1139" s="114"/>
      <c r="D1139" s="114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</row>
    <row r="1140" spans="1:14" ht="77.5" outlineLevel="2" x14ac:dyDescent="0.35">
      <c r="A1140" s="113" t="s">
        <v>185</v>
      </c>
      <c r="B1140" s="112" t="s">
        <v>184</v>
      </c>
      <c r="C1140" s="111" t="s">
        <v>183</v>
      </c>
      <c r="D1140" s="111" t="s">
        <v>182</v>
      </c>
      <c r="E1140" s="111" t="s">
        <v>181</v>
      </c>
      <c r="F1140" s="111" t="s">
        <v>180</v>
      </c>
      <c r="G1140" s="111" t="s">
        <v>179</v>
      </c>
      <c r="H1140" s="110" t="s">
        <v>674</v>
      </c>
      <c r="I1140" s="110" t="s">
        <v>178</v>
      </c>
      <c r="J1140" s="110" t="s">
        <v>177</v>
      </c>
      <c r="K1140" s="111" t="s">
        <v>176</v>
      </c>
      <c r="L1140" s="110" t="s">
        <v>175</v>
      </c>
      <c r="M1140" s="110" t="s">
        <v>174</v>
      </c>
      <c r="N1140" s="109" t="s">
        <v>173</v>
      </c>
    </row>
    <row r="1141" spans="1:14" outlineLevel="2" x14ac:dyDescent="0.35">
      <c r="A1141" s="108" t="s">
        <v>526</v>
      </c>
      <c r="B1141" s="108" t="s">
        <v>196</v>
      </c>
      <c r="C1141" s="106">
        <v>0</v>
      </c>
      <c r="D1141" s="106">
        <v>2854</v>
      </c>
      <c r="E1141" s="106">
        <v>0</v>
      </c>
      <c r="F1141" s="106">
        <v>0</v>
      </c>
      <c r="G1141" s="106">
        <v>0</v>
      </c>
      <c r="H1141" s="106">
        <v>2854</v>
      </c>
      <c r="I1141" s="106">
        <v>-2854</v>
      </c>
      <c r="J1141" s="106">
        <v>0</v>
      </c>
      <c r="K1141" s="106">
        <v>37398</v>
      </c>
      <c r="L1141" s="106">
        <v>-30346</v>
      </c>
      <c r="M1141" s="106">
        <v>7052</v>
      </c>
      <c r="N1141" s="106">
        <v>-7052</v>
      </c>
    </row>
    <row r="1142" spans="1:14" outlineLevel="2" x14ac:dyDescent="0.35">
      <c r="A1142" s="108" t="s">
        <v>526</v>
      </c>
      <c r="B1142" s="108" t="s">
        <v>195</v>
      </c>
      <c r="C1142" s="106">
        <v>4428563</v>
      </c>
      <c r="D1142" s="106">
        <v>-11892</v>
      </c>
      <c r="E1142" s="106">
        <v>0</v>
      </c>
      <c r="F1142" s="106">
        <v>0</v>
      </c>
      <c r="G1142" s="106">
        <v>0</v>
      </c>
      <c r="H1142" s="106">
        <v>4416671</v>
      </c>
      <c r="I1142" s="106">
        <v>-4416671</v>
      </c>
      <c r="J1142" s="106">
        <v>0</v>
      </c>
      <c r="K1142" s="106">
        <v>67236</v>
      </c>
      <c r="L1142" s="106">
        <v>-67019</v>
      </c>
      <c r="M1142" s="106">
        <v>217</v>
      </c>
      <c r="N1142" s="106">
        <v>-217</v>
      </c>
    </row>
    <row r="1143" spans="1:14" outlineLevel="2" x14ac:dyDescent="0.35">
      <c r="A1143" s="108" t="s">
        <v>526</v>
      </c>
      <c r="B1143" s="108" t="s">
        <v>194</v>
      </c>
      <c r="C1143" s="106">
        <v>4014178</v>
      </c>
      <c r="D1143" s="106">
        <v>-26573</v>
      </c>
      <c r="E1143" s="106">
        <v>0</v>
      </c>
      <c r="F1143" s="106">
        <v>0</v>
      </c>
      <c r="G1143" s="106">
        <v>0</v>
      </c>
      <c r="H1143" s="106">
        <v>3987605</v>
      </c>
      <c r="I1143" s="106">
        <v>-3987605</v>
      </c>
      <c r="J1143" s="106">
        <v>0</v>
      </c>
      <c r="K1143" s="106">
        <v>31472</v>
      </c>
      <c r="L1143" s="106">
        <v>-31472</v>
      </c>
      <c r="M1143" s="106">
        <v>0</v>
      </c>
      <c r="N1143" s="106">
        <v>0</v>
      </c>
    </row>
    <row r="1144" spans="1:14" outlineLevel="2" x14ac:dyDescent="0.35">
      <c r="A1144" s="108" t="s">
        <v>526</v>
      </c>
      <c r="B1144" s="108" t="s">
        <v>193</v>
      </c>
      <c r="C1144" s="106">
        <v>3419483</v>
      </c>
      <c r="D1144" s="106">
        <v>-22493</v>
      </c>
      <c r="E1144" s="106">
        <v>0</v>
      </c>
      <c r="F1144" s="106">
        <v>0</v>
      </c>
      <c r="G1144" s="106">
        <v>0</v>
      </c>
      <c r="H1144" s="106">
        <v>3396990</v>
      </c>
      <c r="I1144" s="106">
        <v>-3396990</v>
      </c>
      <c r="J1144" s="106">
        <v>0</v>
      </c>
      <c r="K1144" s="106">
        <v>223087</v>
      </c>
      <c r="L1144" s="106">
        <v>-220400</v>
      </c>
      <c r="M1144" s="106">
        <v>2687</v>
      </c>
      <c r="N1144" s="106">
        <v>-2687</v>
      </c>
    </row>
    <row r="1145" spans="1:14" outlineLevel="2" x14ac:dyDescent="0.35">
      <c r="A1145" s="108" t="s">
        <v>526</v>
      </c>
      <c r="B1145" s="108" t="s">
        <v>192</v>
      </c>
      <c r="C1145" s="106">
        <v>2730885</v>
      </c>
      <c r="D1145" s="106">
        <v>-17287</v>
      </c>
      <c r="E1145" s="106">
        <v>0</v>
      </c>
      <c r="F1145" s="106">
        <v>0</v>
      </c>
      <c r="G1145" s="106">
        <v>0</v>
      </c>
      <c r="H1145" s="106">
        <v>2713598</v>
      </c>
      <c r="I1145" s="106">
        <v>-2713598</v>
      </c>
      <c r="J1145" s="106">
        <v>0</v>
      </c>
      <c r="K1145" s="106">
        <v>217201</v>
      </c>
      <c r="L1145" s="106">
        <v>-217050</v>
      </c>
      <c r="M1145" s="106">
        <v>151</v>
      </c>
      <c r="N1145" s="106">
        <v>-151</v>
      </c>
    </row>
    <row r="1146" spans="1:14" outlineLevel="2" x14ac:dyDescent="0.35">
      <c r="A1146" s="108" t="s">
        <v>526</v>
      </c>
      <c r="B1146" s="108" t="s">
        <v>191</v>
      </c>
      <c r="C1146" s="106">
        <v>2312212</v>
      </c>
      <c r="D1146" s="106">
        <v>-537652</v>
      </c>
      <c r="E1146" s="106">
        <v>0</v>
      </c>
      <c r="F1146" s="106">
        <v>0</v>
      </c>
      <c r="G1146" s="106">
        <v>0</v>
      </c>
      <c r="H1146" s="106">
        <v>1774560</v>
      </c>
      <c r="I1146" s="106">
        <v>-1774560</v>
      </c>
      <c r="J1146" s="106">
        <v>0</v>
      </c>
      <c r="K1146" s="106">
        <v>208523</v>
      </c>
      <c r="L1146" s="106">
        <v>-208225</v>
      </c>
      <c r="M1146" s="106">
        <v>298</v>
      </c>
      <c r="N1146" s="106">
        <v>-298</v>
      </c>
    </row>
    <row r="1147" spans="1:14" outlineLevel="2" x14ac:dyDescent="0.35">
      <c r="A1147" s="108" t="s">
        <v>526</v>
      </c>
      <c r="B1147" s="108" t="s">
        <v>190</v>
      </c>
      <c r="C1147" s="106">
        <v>2578436</v>
      </c>
      <c r="D1147" s="106">
        <v>-1449824</v>
      </c>
      <c r="E1147" s="106">
        <v>0</v>
      </c>
      <c r="F1147" s="106">
        <v>0</v>
      </c>
      <c r="G1147" s="106">
        <v>0</v>
      </c>
      <c r="H1147" s="106">
        <v>1128612</v>
      </c>
      <c r="I1147" s="106">
        <v>-1128612</v>
      </c>
      <c r="J1147" s="106">
        <v>0</v>
      </c>
      <c r="K1147" s="106">
        <v>2880</v>
      </c>
      <c r="L1147" s="106">
        <v>-2634</v>
      </c>
      <c r="M1147" s="106">
        <v>246</v>
      </c>
      <c r="N1147" s="106">
        <v>-246</v>
      </c>
    </row>
    <row r="1148" spans="1:14" outlineLevel="1" x14ac:dyDescent="0.35">
      <c r="A1148" s="108" t="s">
        <v>526</v>
      </c>
      <c r="B1148" s="108" t="s">
        <v>189</v>
      </c>
      <c r="C1148" s="106">
        <v>2078815</v>
      </c>
      <c r="D1148" s="106">
        <v>-1330507</v>
      </c>
      <c r="E1148" s="106">
        <v>0</v>
      </c>
      <c r="F1148" s="106">
        <v>0</v>
      </c>
      <c r="G1148" s="106">
        <v>0</v>
      </c>
      <c r="H1148" s="106">
        <v>748308</v>
      </c>
      <c r="I1148" s="106">
        <v>-748308</v>
      </c>
      <c r="J1148" s="106">
        <v>0</v>
      </c>
      <c r="K1148" s="106">
        <v>551</v>
      </c>
      <c r="L1148" s="106">
        <v>0</v>
      </c>
      <c r="M1148" s="106">
        <v>551</v>
      </c>
      <c r="N1148" s="106">
        <v>-551</v>
      </c>
    </row>
    <row r="1149" spans="1:14" ht="15.65" customHeight="1" outlineLevel="1" x14ac:dyDescent="0.35">
      <c r="A1149" s="108" t="s">
        <v>526</v>
      </c>
      <c r="B1149" s="108" t="s">
        <v>188</v>
      </c>
      <c r="C1149" s="106">
        <v>1701785</v>
      </c>
      <c r="D1149" s="106">
        <v>-1070905</v>
      </c>
      <c r="E1149" s="106">
        <v>0</v>
      </c>
      <c r="F1149" s="106">
        <v>0</v>
      </c>
      <c r="G1149" s="106">
        <v>0</v>
      </c>
      <c r="H1149" s="106">
        <v>630880</v>
      </c>
      <c r="I1149" s="106">
        <v>-630880</v>
      </c>
      <c r="J1149" s="106">
        <v>0</v>
      </c>
      <c r="K1149" s="106">
        <v>0</v>
      </c>
      <c r="L1149" s="106">
        <v>0</v>
      </c>
      <c r="M1149" s="106">
        <v>0</v>
      </c>
      <c r="N1149" s="106">
        <v>0</v>
      </c>
    </row>
    <row r="1150" spans="1:14" ht="15" customHeight="1" outlineLevel="1" x14ac:dyDescent="0.35">
      <c r="A1150" s="108" t="s">
        <v>526</v>
      </c>
      <c r="B1150" s="108" t="s">
        <v>186</v>
      </c>
      <c r="C1150" s="106">
        <v>1755141</v>
      </c>
      <c r="D1150" s="106">
        <v>-885329</v>
      </c>
      <c r="E1150" s="106">
        <v>0</v>
      </c>
      <c r="F1150" s="106">
        <v>0</v>
      </c>
      <c r="G1150" s="106">
        <v>0</v>
      </c>
      <c r="H1150" s="106">
        <v>869812</v>
      </c>
      <c r="I1150" s="106">
        <v>-869812</v>
      </c>
      <c r="J1150" s="106">
        <v>0</v>
      </c>
      <c r="K1150" s="106">
        <v>302710</v>
      </c>
      <c r="L1150" s="106">
        <v>-302634</v>
      </c>
      <c r="M1150" s="106">
        <v>76</v>
      </c>
      <c r="N1150" s="106">
        <v>-76</v>
      </c>
    </row>
    <row r="1151" spans="1:14" outlineLevel="2" x14ac:dyDescent="0.35">
      <c r="A1151" s="108" t="s">
        <v>526</v>
      </c>
      <c r="B1151" s="108" t="s">
        <v>226</v>
      </c>
      <c r="C1151" s="106">
        <v>2034377</v>
      </c>
      <c r="D1151" s="106">
        <v>1863</v>
      </c>
      <c r="E1151" s="106">
        <v>0</v>
      </c>
      <c r="F1151" s="106">
        <v>0</v>
      </c>
      <c r="G1151" s="106">
        <v>0</v>
      </c>
      <c r="H1151" s="106">
        <v>2036240</v>
      </c>
      <c r="I1151" s="106">
        <v>-2036240</v>
      </c>
      <c r="J1151" s="106">
        <v>0</v>
      </c>
      <c r="K1151" s="106">
        <v>0</v>
      </c>
      <c r="L1151" s="106">
        <v>0</v>
      </c>
      <c r="M1151" s="106">
        <v>0</v>
      </c>
      <c r="N1151" s="106">
        <v>0</v>
      </c>
    </row>
    <row r="1152" spans="1:14" ht="16" outlineLevel="2" thickBot="1" x14ac:dyDescent="0.4">
      <c r="A1152" s="105" t="s">
        <v>405</v>
      </c>
      <c r="B1152" s="79" t="s">
        <v>12</v>
      </c>
      <c r="C1152" s="103">
        <f>SUBTOTAL(109,Program92[(C)
Program
Costs])</f>
        <v>27053875</v>
      </c>
      <c r="D1152" s="103">
        <f>SUBTOTAL(109,Program92[(D)
Prior Period Adjustments])</f>
        <v>-5347745</v>
      </c>
      <c r="E1152" s="103">
        <f>SUBTOTAL(109,Program92[(E)
Current Period Desk 
Reviews])</f>
        <v>0</v>
      </c>
      <c r="F1152" s="103">
        <f>SUBTOTAL(109,Program92[(F)
Current Period 
Final 
Audits])</f>
        <v>0</v>
      </c>
      <c r="G1152" s="103">
        <f>SUBTOTAL(109,Program92[(G)
Current Period 
Other Adjustments])</f>
        <v>0</v>
      </c>
      <c r="H1152" s="103">
        <f>SUBTOTAL(109,Program92[(H)
Net Program Costs
Sum (C through G)])</f>
        <v>21706130</v>
      </c>
      <c r="I1152" s="103">
        <f>SUBTOTAL(109,Program92[(I)
Payments
 and Offsets])</f>
        <v>-21706130</v>
      </c>
      <c r="J1152" s="103">
        <f>SUBTOTAL(109,Program92[(J)
Accounts Payable Balance
(H + I)])</f>
        <v>0</v>
      </c>
      <c r="K1152" s="103">
        <f>SUBTOTAL(109,Program92[(K)
Established 
Accounts Receivable])</f>
        <v>1091058</v>
      </c>
      <c r="L1152" s="103">
        <f>SUBTOTAL(109,Program92[(L)
Recovered
 Accounts Receivable])</f>
        <v>-1079780</v>
      </c>
      <c r="M1152" s="103">
        <f>SUBTOTAL(109,Program92[(M)
Accounts Receivable Balance
(K + L)])</f>
        <v>11278</v>
      </c>
      <c r="N1152" s="103">
        <f>SUBTOTAL(109,Program92[(N)
Net Balance
(J minus M)])</f>
        <v>-11278</v>
      </c>
    </row>
    <row r="1153" spans="1:14" outlineLevel="2" x14ac:dyDescent="0.35">
      <c r="A1153" s="116" t="s">
        <v>33</v>
      </c>
      <c r="B1153" s="115"/>
      <c r="C1153" s="114"/>
      <c r="D1153" s="114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</row>
    <row r="1154" spans="1:14" ht="77.5" outlineLevel="2" x14ac:dyDescent="0.35">
      <c r="A1154" s="113" t="s">
        <v>185</v>
      </c>
      <c r="B1154" s="112" t="s">
        <v>184</v>
      </c>
      <c r="C1154" s="111" t="s">
        <v>183</v>
      </c>
      <c r="D1154" s="111" t="s">
        <v>182</v>
      </c>
      <c r="E1154" s="111" t="s">
        <v>181</v>
      </c>
      <c r="F1154" s="111" t="s">
        <v>180</v>
      </c>
      <c r="G1154" s="111" t="s">
        <v>179</v>
      </c>
      <c r="H1154" s="110" t="s">
        <v>674</v>
      </c>
      <c r="I1154" s="110" t="s">
        <v>178</v>
      </c>
      <c r="J1154" s="110" t="s">
        <v>177</v>
      </c>
      <c r="K1154" s="111" t="s">
        <v>176</v>
      </c>
      <c r="L1154" s="110" t="s">
        <v>175</v>
      </c>
      <c r="M1154" s="110" t="s">
        <v>174</v>
      </c>
      <c r="N1154" s="109" t="s">
        <v>173</v>
      </c>
    </row>
    <row r="1155" spans="1:14" outlineLevel="2" x14ac:dyDescent="0.35">
      <c r="A1155" s="108" t="s">
        <v>525</v>
      </c>
      <c r="B1155" s="108" t="s">
        <v>197</v>
      </c>
      <c r="C1155" s="106">
        <v>0</v>
      </c>
      <c r="D1155" s="106">
        <v>556</v>
      </c>
      <c r="E1155" s="106">
        <v>0</v>
      </c>
      <c r="F1155" s="106">
        <v>0</v>
      </c>
      <c r="G1155" s="106">
        <v>0</v>
      </c>
      <c r="H1155" s="106">
        <v>556</v>
      </c>
      <c r="I1155" s="106">
        <v>-556</v>
      </c>
      <c r="J1155" s="106">
        <v>0</v>
      </c>
      <c r="K1155" s="106">
        <v>63727</v>
      </c>
      <c r="L1155" s="106">
        <v>-62836</v>
      </c>
      <c r="M1155" s="106">
        <v>891</v>
      </c>
      <c r="N1155" s="106">
        <v>-891</v>
      </c>
    </row>
    <row r="1156" spans="1:14" outlineLevel="2" x14ac:dyDescent="0.35">
      <c r="A1156" s="108" t="s">
        <v>525</v>
      </c>
      <c r="B1156" s="108" t="s">
        <v>196</v>
      </c>
      <c r="C1156" s="106">
        <v>10350103</v>
      </c>
      <c r="D1156" s="106">
        <v>-246013</v>
      </c>
      <c r="E1156" s="106">
        <v>0</v>
      </c>
      <c r="F1156" s="106">
        <v>0</v>
      </c>
      <c r="G1156" s="106">
        <v>0</v>
      </c>
      <c r="H1156" s="106">
        <v>10104090</v>
      </c>
      <c r="I1156" s="106">
        <v>-10093674</v>
      </c>
      <c r="J1156" s="106">
        <v>10416</v>
      </c>
      <c r="K1156" s="106">
        <v>124736</v>
      </c>
      <c r="L1156" s="106">
        <v>-119796</v>
      </c>
      <c r="M1156" s="106">
        <v>4940</v>
      </c>
      <c r="N1156" s="106">
        <v>5476</v>
      </c>
    </row>
    <row r="1157" spans="1:14" outlineLevel="2" x14ac:dyDescent="0.35">
      <c r="A1157" s="108" t="s">
        <v>525</v>
      </c>
      <c r="B1157" s="108" t="s">
        <v>195</v>
      </c>
      <c r="C1157" s="106">
        <v>8166744</v>
      </c>
      <c r="D1157" s="106">
        <v>-61578</v>
      </c>
      <c r="E1157" s="106">
        <v>0</v>
      </c>
      <c r="F1157" s="106">
        <v>0</v>
      </c>
      <c r="G1157" s="106">
        <v>0</v>
      </c>
      <c r="H1157" s="106">
        <v>8105166</v>
      </c>
      <c r="I1157" s="106">
        <v>-8105166</v>
      </c>
      <c r="J1157" s="106">
        <v>0</v>
      </c>
      <c r="K1157" s="106">
        <v>42697</v>
      </c>
      <c r="L1157" s="106">
        <v>-42697</v>
      </c>
      <c r="M1157" s="106">
        <v>0</v>
      </c>
      <c r="N1157" s="106">
        <v>0</v>
      </c>
    </row>
    <row r="1158" spans="1:14" outlineLevel="2" x14ac:dyDescent="0.35">
      <c r="A1158" s="108" t="s">
        <v>525</v>
      </c>
      <c r="B1158" s="108" t="s">
        <v>194</v>
      </c>
      <c r="C1158" s="106">
        <v>7629088</v>
      </c>
      <c r="D1158" s="106">
        <v>-2280019</v>
      </c>
      <c r="E1158" s="106">
        <v>0</v>
      </c>
      <c r="F1158" s="106">
        <v>0</v>
      </c>
      <c r="G1158" s="106">
        <v>0</v>
      </c>
      <c r="H1158" s="106">
        <v>5349069</v>
      </c>
      <c r="I1158" s="106">
        <v>-5349069</v>
      </c>
      <c r="J1158" s="106">
        <v>0</v>
      </c>
      <c r="K1158" s="106">
        <v>0</v>
      </c>
      <c r="L1158" s="106">
        <v>0</v>
      </c>
      <c r="M1158" s="106">
        <v>0</v>
      </c>
      <c r="N1158" s="106">
        <v>0</v>
      </c>
    </row>
    <row r="1159" spans="1:14" outlineLevel="2" x14ac:dyDescent="0.35">
      <c r="A1159" s="108" t="s">
        <v>525</v>
      </c>
      <c r="B1159" s="108" t="s">
        <v>193</v>
      </c>
      <c r="C1159" s="106">
        <v>7025232</v>
      </c>
      <c r="D1159" s="106">
        <v>-1816537</v>
      </c>
      <c r="E1159" s="106">
        <v>0</v>
      </c>
      <c r="F1159" s="106">
        <v>0</v>
      </c>
      <c r="G1159" s="106">
        <v>0</v>
      </c>
      <c r="H1159" s="106">
        <v>5208695</v>
      </c>
      <c r="I1159" s="106">
        <v>-5208695</v>
      </c>
      <c r="J1159" s="106">
        <v>0</v>
      </c>
      <c r="K1159" s="106">
        <v>0</v>
      </c>
      <c r="L1159" s="106">
        <v>0</v>
      </c>
      <c r="M1159" s="106">
        <v>0</v>
      </c>
      <c r="N1159" s="106">
        <v>0</v>
      </c>
    </row>
    <row r="1160" spans="1:14" ht="15.65" customHeight="1" outlineLevel="1" thickBot="1" x14ac:dyDescent="0.4">
      <c r="A1160" s="105" t="s">
        <v>404</v>
      </c>
      <c r="B1160" s="79" t="s">
        <v>12</v>
      </c>
      <c r="C1160" s="103">
        <f>SUBTOTAL(109,Program201[(C)
Program
Costs])</f>
        <v>33171167</v>
      </c>
      <c r="D1160" s="103">
        <f>SUBTOTAL(109,Program201[(D)
Prior Period Adjustments])</f>
        <v>-4403591</v>
      </c>
      <c r="E1160" s="103">
        <f>SUBTOTAL(109,Program201[(E)
Current Period Desk 
Reviews])</f>
        <v>0</v>
      </c>
      <c r="F1160" s="103">
        <f>SUBTOTAL(109,Program201[(F)
Current Period 
Final 
Audits])</f>
        <v>0</v>
      </c>
      <c r="G1160" s="103">
        <f>SUBTOTAL(109,Program201[(G)
Current Period 
Other Adjustments])</f>
        <v>0</v>
      </c>
      <c r="H1160" s="103">
        <f>SUBTOTAL(109,Program201[(H)
Net Program Costs
Sum (C through G)])</f>
        <v>28767576</v>
      </c>
      <c r="I1160" s="103">
        <f>SUBTOTAL(109,Program201[(I)
Payments
 and Offsets])</f>
        <v>-28757160</v>
      </c>
      <c r="J1160" s="103">
        <f>SUBTOTAL(109,Program201[(J)
Accounts Payable Balance
(H + I)])</f>
        <v>10416</v>
      </c>
      <c r="K1160" s="103">
        <f>SUBTOTAL(109,Program201[(K)
Established 
Accounts Receivable])</f>
        <v>231160</v>
      </c>
      <c r="L1160" s="103">
        <f>SUBTOTAL(109,Program201[(L)
Recovered
 Accounts Receivable])</f>
        <v>-225329</v>
      </c>
      <c r="M1160" s="103">
        <f>SUBTOTAL(109,Program201[(M)
Accounts Receivable Balance
(K + L)])</f>
        <v>5831</v>
      </c>
      <c r="N1160" s="103">
        <f>SUBTOTAL(109,Program201[(N)
Net Balance
(J minus M)])</f>
        <v>4585</v>
      </c>
    </row>
    <row r="1161" spans="1:14" ht="15" customHeight="1" outlineLevel="1" x14ac:dyDescent="0.35">
      <c r="A1161" s="116" t="s">
        <v>33</v>
      </c>
      <c r="B1161" s="115"/>
      <c r="C1161" s="114"/>
      <c r="D1161" s="114"/>
      <c r="E1161" s="114"/>
      <c r="F1161" s="114"/>
      <c r="G1161" s="114"/>
      <c r="H1161" s="114"/>
      <c r="I1161" s="114"/>
      <c r="J1161" s="114"/>
      <c r="K1161" s="114"/>
      <c r="L1161" s="114"/>
      <c r="M1161" s="114"/>
      <c r="N1161" s="114"/>
    </row>
    <row r="1162" spans="1:14" ht="77.5" outlineLevel="2" x14ac:dyDescent="0.35">
      <c r="A1162" s="113" t="s">
        <v>185</v>
      </c>
      <c r="B1162" s="112" t="s">
        <v>184</v>
      </c>
      <c r="C1162" s="111" t="s">
        <v>183</v>
      </c>
      <c r="D1162" s="111" t="s">
        <v>182</v>
      </c>
      <c r="E1162" s="111" t="s">
        <v>181</v>
      </c>
      <c r="F1162" s="111" t="s">
        <v>180</v>
      </c>
      <c r="G1162" s="111" t="s">
        <v>179</v>
      </c>
      <c r="H1162" s="110" t="s">
        <v>674</v>
      </c>
      <c r="I1162" s="110" t="s">
        <v>178</v>
      </c>
      <c r="J1162" s="110" t="s">
        <v>177</v>
      </c>
      <c r="K1162" s="111" t="s">
        <v>176</v>
      </c>
      <c r="L1162" s="110" t="s">
        <v>175</v>
      </c>
      <c r="M1162" s="110" t="s">
        <v>174</v>
      </c>
      <c r="N1162" s="109" t="s">
        <v>173</v>
      </c>
    </row>
    <row r="1163" spans="1:14" outlineLevel="2" x14ac:dyDescent="0.35">
      <c r="A1163" s="77" t="s">
        <v>524</v>
      </c>
      <c r="B1163" s="108" t="s">
        <v>218</v>
      </c>
      <c r="C1163" s="106">
        <v>1436685</v>
      </c>
      <c r="D1163" s="106">
        <v>-1436685</v>
      </c>
      <c r="E1163" s="106">
        <v>0</v>
      </c>
      <c r="F1163" s="106">
        <v>0</v>
      </c>
      <c r="G1163" s="106">
        <v>0</v>
      </c>
      <c r="H1163" s="106">
        <v>0</v>
      </c>
      <c r="I1163" s="106">
        <v>0</v>
      </c>
      <c r="J1163" s="106">
        <v>0</v>
      </c>
      <c r="K1163" s="106">
        <v>0</v>
      </c>
      <c r="L1163" s="106">
        <v>0</v>
      </c>
      <c r="M1163" s="106">
        <v>0</v>
      </c>
      <c r="N1163" s="106">
        <v>0</v>
      </c>
    </row>
    <row r="1164" spans="1:14" outlineLevel="2" x14ac:dyDescent="0.35">
      <c r="A1164" s="77" t="s">
        <v>524</v>
      </c>
      <c r="B1164" s="108" t="s">
        <v>209</v>
      </c>
      <c r="C1164" s="106">
        <v>433071</v>
      </c>
      <c r="D1164" s="106">
        <v>-220139</v>
      </c>
      <c r="E1164" s="106">
        <v>0</v>
      </c>
      <c r="F1164" s="106">
        <v>0</v>
      </c>
      <c r="G1164" s="106">
        <v>0</v>
      </c>
      <c r="H1164" s="106">
        <v>212932</v>
      </c>
      <c r="I1164" s="106">
        <v>-98885</v>
      </c>
      <c r="J1164" s="106">
        <v>114047</v>
      </c>
      <c r="K1164" s="106">
        <v>0</v>
      </c>
      <c r="L1164" s="106">
        <v>0</v>
      </c>
      <c r="M1164" s="106">
        <v>0</v>
      </c>
      <c r="N1164" s="106">
        <v>114047</v>
      </c>
    </row>
    <row r="1165" spans="1:14" outlineLevel="2" x14ac:dyDescent="0.35">
      <c r="A1165" s="77" t="s">
        <v>524</v>
      </c>
      <c r="B1165" s="108" t="s">
        <v>208</v>
      </c>
      <c r="C1165" s="106">
        <v>3262543</v>
      </c>
      <c r="D1165" s="106">
        <v>-10111</v>
      </c>
      <c r="E1165" s="106">
        <v>0</v>
      </c>
      <c r="F1165" s="106">
        <v>0</v>
      </c>
      <c r="G1165" s="106">
        <v>0</v>
      </c>
      <c r="H1165" s="106">
        <v>3252432</v>
      </c>
      <c r="I1165" s="106">
        <v>-2176378</v>
      </c>
      <c r="J1165" s="106">
        <v>1076054</v>
      </c>
      <c r="K1165" s="106">
        <v>0</v>
      </c>
      <c r="L1165" s="106">
        <v>0</v>
      </c>
      <c r="M1165" s="106">
        <v>0</v>
      </c>
      <c r="N1165" s="106">
        <v>1076054</v>
      </c>
    </row>
    <row r="1166" spans="1:14" outlineLevel="2" x14ac:dyDescent="0.35">
      <c r="A1166" s="77" t="s">
        <v>524</v>
      </c>
      <c r="B1166" s="108" t="s">
        <v>206</v>
      </c>
      <c r="C1166" s="106">
        <v>3597650</v>
      </c>
      <c r="D1166" s="106">
        <v>-16320</v>
      </c>
      <c r="E1166" s="106">
        <v>0</v>
      </c>
      <c r="F1166" s="106">
        <v>0</v>
      </c>
      <c r="G1166" s="106">
        <v>0</v>
      </c>
      <c r="H1166" s="106">
        <v>3581330</v>
      </c>
      <c r="I1166" s="106">
        <v>-2599910</v>
      </c>
      <c r="J1166" s="106">
        <v>981420</v>
      </c>
      <c r="K1166" s="106">
        <v>0</v>
      </c>
      <c r="L1166" s="106">
        <v>0</v>
      </c>
      <c r="M1166" s="106">
        <v>0</v>
      </c>
      <c r="N1166" s="106">
        <v>981420</v>
      </c>
    </row>
    <row r="1167" spans="1:14" outlineLevel="1" x14ac:dyDescent="0.35">
      <c r="A1167" s="77" t="s">
        <v>524</v>
      </c>
      <c r="B1167" s="108" t="s">
        <v>205</v>
      </c>
      <c r="C1167" s="106">
        <v>3764278</v>
      </c>
      <c r="D1167" s="106">
        <v>-35141</v>
      </c>
      <c r="E1167" s="106">
        <v>0</v>
      </c>
      <c r="F1167" s="106">
        <v>0</v>
      </c>
      <c r="G1167" s="106">
        <v>0</v>
      </c>
      <c r="H1167" s="106">
        <v>3729137</v>
      </c>
      <c r="I1167" s="106">
        <v>-2850496</v>
      </c>
      <c r="J1167" s="106">
        <v>878641</v>
      </c>
      <c r="K1167" s="106">
        <v>0</v>
      </c>
      <c r="L1167" s="106">
        <v>0</v>
      </c>
      <c r="M1167" s="106">
        <v>0</v>
      </c>
      <c r="N1167" s="106">
        <v>878641</v>
      </c>
    </row>
    <row r="1168" spans="1:14" ht="15.5" customHeight="1" outlineLevel="1" x14ac:dyDescent="0.35">
      <c r="A1168" s="77" t="s">
        <v>524</v>
      </c>
      <c r="B1168" s="108" t="s">
        <v>204</v>
      </c>
      <c r="C1168" s="106">
        <v>3844717</v>
      </c>
      <c r="D1168" s="106">
        <v>-35937</v>
      </c>
      <c r="E1168" s="106">
        <v>0</v>
      </c>
      <c r="F1168" s="106">
        <v>0</v>
      </c>
      <c r="G1168" s="106">
        <v>0</v>
      </c>
      <c r="H1168" s="106">
        <v>3808780</v>
      </c>
      <c r="I1168" s="106">
        <v>-3065621</v>
      </c>
      <c r="J1168" s="106">
        <v>743159</v>
      </c>
      <c r="K1168" s="106">
        <v>0</v>
      </c>
      <c r="L1168" s="106">
        <v>0</v>
      </c>
      <c r="M1168" s="106">
        <v>0</v>
      </c>
      <c r="N1168" s="106">
        <v>743159</v>
      </c>
    </row>
    <row r="1169" spans="1:14" ht="15.5" customHeight="1" outlineLevel="1" x14ac:dyDescent="0.35">
      <c r="A1169" s="77" t="s">
        <v>524</v>
      </c>
      <c r="B1169" s="108" t="s">
        <v>203</v>
      </c>
      <c r="C1169" s="106">
        <v>3854490</v>
      </c>
      <c r="D1169" s="106">
        <v>-35446</v>
      </c>
      <c r="E1169" s="106">
        <v>0</v>
      </c>
      <c r="F1169" s="106">
        <v>0</v>
      </c>
      <c r="G1169" s="106">
        <v>0</v>
      </c>
      <c r="H1169" s="106">
        <v>3819044</v>
      </c>
      <c r="I1169" s="106">
        <v>-3199438</v>
      </c>
      <c r="J1169" s="106">
        <v>619606</v>
      </c>
      <c r="K1169" s="106">
        <v>0</v>
      </c>
      <c r="L1169" s="106">
        <v>0</v>
      </c>
      <c r="M1169" s="106">
        <v>0</v>
      </c>
      <c r="N1169" s="106">
        <v>619606</v>
      </c>
    </row>
    <row r="1170" spans="1:14" outlineLevel="2" x14ac:dyDescent="0.35">
      <c r="A1170" s="77" t="s">
        <v>524</v>
      </c>
      <c r="B1170" s="108" t="s">
        <v>202</v>
      </c>
      <c r="C1170" s="106">
        <v>3754227</v>
      </c>
      <c r="D1170" s="106">
        <v>-39156</v>
      </c>
      <c r="E1170" s="106">
        <v>0</v>
      </c>
      <c r="F1170" s="106">
        <v>0</v>
      </c>
      <c r="G1170" s="106">
        <v>0</v>
      </c>
      <c r="H1170" s="106">
        <v>3715071</v>
      </c>
      <c r="I1170" s="106">
        <v>-3238954</v>
      </c>
      <c r="J1170" s="106">
        <v>476117</v>
      </c>
      <c r="K1170" s="106">
        <v>0</v>
      </c>
      <c r="L1170" s="106">
        <v>0</v>
      </c>
      <c r="M1170" s="106">
        <v>0</v>
      </c>
      <c r="N1170" s="106">
        <v>476117</v>
      </c>
    </row>
    <row r="1171" spans="1:14" outlineLevel="2" x14ac:dyDescent="0.35">
      <c r="A1171" s="77" t="s">
        <v>524</v>
      </c>
      <c r="B1171" s="108" t="s">
        <v>201</v>
      </c>
      <c r="C1171" s="106">
        <v>3325941</v>
      </c>
      <c r="D1171" s="106">
        <v>-42601</v>
      </c>
      <c r="E1171" s="106">
        <v>0</v>
      </c>
      <c r="F1171" s="106">
        <v>0</v>
      </c>
      <c r="G1171" s="106">
        <v>0</v>
      </c>
      <c r="H1171" s="106">
        <v>3283340</v>
      </c>
      <c r="I1171" s="106">
        <v>-3000113</v>
      </c>
      <c r="J1171" s="106">
        <v>283227</v>
      </c>
      <c r="K1171" s="106">
        <v>0</v>
      </c>
      <c r="L1171" s="106">
        <v>0</v>
      </c>
      <c r="M1171" s="106">
        <v>0</v>
      </c>
      <c r="N1171" s="106">
        <v>283227</v>
      </c>
    </row>
    <row r="1172" spans="1:14" outlineLevel="2" x14ac:dyDescent="0.35">
      <c r="A1172" s="77" t="s">
        <v>524</v>
      </c>
      <c r="B1172" s="108" t="s">
        <v>200</v>
      </c>
      <c r="C1172" s="106">
        <v>5715100</v>
      </c>
      <c r="D1172" s="106">
        <v>-133423</v>
      </c>
      <c r="E1172" s="106">
        <v>0</v>
      </c>
      <c r="F1172" s="106">
        <v>0</v>
      </c>
      <c r="G1172" s="106">
        <v>0</v>
      </c>
      <c r="H1172" s="106">
        <v>5581677</v>
      </c>
      <c r="I1172" s="106">
        <v>-5355504</v>
      </c>
      <c r="J1172" s="106">
        <v>226173</v>
      </c>
      <c r="K1172" s="106">
        <v>0</v>
      </c>
      <c r="L1172" s="106">
        <v>0</v>
      </c>
      <c r="M1172" s="106">
        <v>0</v>
      </c>
      <c r="N1172" s="106">
        <v>226173</v>
      </c>
    </row>
    <row r="1173" spans="1:14" outlineLevel="2" x14ac:dyDescent="0.35">
      <c r="A1173" s="77" t="s">
        <v>524</v>
      </c>
      <c r="B1173" s="108" t="s">
        <v>199</v>
      </c>
      <c r="C1173" s="106">
        <v>6313620</v>
      </c>
      <c r="D1173" s="106">
        <v>-134010</v>
      </c>
      <c r="E1173" s="106">
        <v>0</v>
      </c>
      <c r="F1173" s="106">
        <v>0</v>
      </c>
      <c r="G1173" s="106">
        <v>0</v>
      </c>
      <c r="H1173" s="106">
        <v>6179610</v>
      </c>
      <c r="I1173" s="106">
        <v>-6014690</v>
      </c>
      <c r="J1173" s="106">
        <v>164920</v>
      </c>
      <c r="K1173" s="106">
        <v>0</v>
      </c>
      <c r="L1173" s="106">
        <v>0</v>
      </c>
      <c r="M1173" s="106">
        <v>0</v>
      </c>
      <c r="N1173" s="106">
        <v>164920</v>
      </c>
    </row>
    <row r="1174" spans="1:14" outlineLevel="2" x14ac:dyDescent="0.35">
      <c r="A1174" s="77" t="s">
        <v>524</v>
      </c>
      <c r="B1174" s="108" t="s">
        <v>198</v>
      </c>
      <c r="C1174" s="106">
        <v>7237329</v>
      </c>
      <c r="D1174" s="106">
        <v>-117960</v>
      </c>
      <c r="E1174" s="106">
        <v>0</v>
      </c>
      <c r="F1174" s="106">
        <v>0</v>
      </c>
      <c r="G1174" s="106">
        <v>0</v>
      </c>
      <c r="H1174" s="106">
        <v>7119369</v>
      </c>
      <c r="I1174" s="106">
        <v>-7041267</v>
      </c>
      <c r="J1174" s="106">
        <v>78102</v>
      </c>
      <c r="K1174" s="106">
        <v>0</v>
      </c>
      <c r="L1174" s="106">
        <v>0</v>
      </c>
      <c r="M1174" s="106">
        <v>0</v>
      </c>
      <c r="N1174" s="106">
        <v>78102</v>
      </c>
    </row>
    <row r="1175" spans="1:14" outlineLevel="2" x14ac:dyDescent="0.35">
      <c r="A1175" s="77" t="s">
        <v>524</v>
      </c>
      <c r="B1175" s="108" t="s">
        <v>197</v>
      </c>
      <c r="C1175" s="106">
        <v>7527887</v>
      </c>
      <c r="D1175" s="106">
        <v>-222893</v>
      </c>
      <c r="E1175" s="106">
        <v>0</v>
      </c>
      <c r="F1175" s="106">
        <v>0</v>
      </c>
      <c r="G1175" s="106">
        <v>0</v>
      </c>
      <c r="H1175" s="106">
        <v>7304994</v>
      </c>
      <c r="I1175" s="106">
        <v>-7255320</v>
      </c>
      <c r="J1175" s="106">
        <v>49674</v>
      </c>
      <c r="K1175" s="106">
        <v>441775</v>
      </c>
      <c r="L1175" s="106">
        <v>-437972</v>
      </c>
      <c r="M1175" s="106">
        <v>3803</v>
      </c>
      <c r="N1175" s="106">
        <v>45871</v>
      </c>
    </row>
    <row r="1176" spans="1:14" outlineLevel="2" x14ac:dyDescent="0.35">
      <c r="A1176" s="77" t="s">
        <v>524</v>
      </c>
      <c r="B1176" s="108" t="s">
        <v>196</v>
      </c>
      <c r="C1176" s="106">
        <v>705650</v>
      </c>
      <c r="D1176" s="106">
        <v>-70179</v>
      </c>
      <c r="E1176" s="106">
        <v>0</v>
      </c>
      <c r="F1176" s="106">
        <v>0</v>
      </c>
      <c r="G1176" s="106">
        <v>0</v>
      </c>
      <c r="H1176" s="106">
        <v>635471</v>
      </c>
      <c r="I1176" s="106">
        <v>-629646</v>
      </c>
      <c r="J1176" s="106">
        <v>5825</v>
      </c>
      <c r="K1176" s="106">
        <v>0</v>
      </c>
      <c r="L1176" s="106">
        <v>0</v>
      </c>
      <c r="M1176" s="106">
        <v>0</v>
      </c>
      <c r="N1176" s="106">
        <v>5825</v>
      </c>
    </row>
    <row r="1177" spans="1:14" outlineLevel="2" x14ac:dyDescent="0.35">
      <c r="A1177" s="77" t="s">
        <v>524</v>
      </c>
      <c r="B1177" s="108" t="s">
        <v>195</v>
      </c>
      <c r="C1177" s="106">
        <v>256549</v>
      </c>
      <c r="D1177" s="106">
        <v>-34149</v>
      </c>
      <c r="E1177" s="106">
        <v>0</v>
      </c>
      <c r="F1177" s="106">
        <v>0</v>
      </c>
      <c r="G1177" s="106">
        <v>0</v>
      </c>
      <c r="H1177" s="106">
        <v>222400</v>
      </c>
      <c r="I1177" s="106">
        <v>-219969</v>
      </c>
      <c r="J1177" s="106">
        <v>2431</v>
      </c>
      <c r="K1177" s="106">
        <v>0</v>
      </c>
      <c r="L1177" s="106">
        <v>0</v>
      </c>
      <c r="M1177" s="106">
        <v>0</v>
      </c>
      <c r="N1177" s="106">
        <v>2431</v>
      </c>
    </row>
    <row r="1178" spans="1:14" outlineLevel="2" x14ac:dyDescent="0.35">
      <c r="A1178" s="77" t="s">
        <v>524</v>
      </c>
      <c r="B1178" s="108" t="s">
        <v>194</v>
      </c>
      <c r="C1178" s="106">
        <v>220887</v>
      </c>
      <c r="D1178" s="106">
        <v>-33645</v>
      </c>
      <c r="E1178" s="106">
        <v>0</v>
      </c>
      <c r="F1178" s="106">
        <v>0</v>
      </c>
      <c r="G1178" s="106">
        <v>0</v>
      </c>
      <c r="H1178" s="106">
        <v>187242</v>
      </c>
      <c r="I1178" s="106">
        <v>-187242</v>
      </c>
      <c r="J1178" s="106">
        <v>0</v>
      </c>
      <c r="K1178" s="106">
        <v>0</v>
      </c>
      <c r="L1178" s="106">
        <v>0</v>
      </c>
      <c r="M1178" s="106">
        <v>0</v>
      </c>
      <c r="N1178" s="106">
        <v>0</v>
      </c>
    </row>
    <row r="1179" spans="1:14" outlineLevel="2" x14ac:dyDescent="0.35">
      <c r="A1179" s="77" t="s">
        <v>524</v>
      </c>
      <c r="B1179" s="108" t="s">
        <v>193</v>
      </c>
      <c r="C1179" s="106">
        <v>212167</v>
      </c>
      <c r="D1179" s="106">
        <v>-31736</v>
      </c>
      <c r="E1179" s="106">
        <v>0</v>
      </c>
      <c r="F1179" s="106">
        <v>0</v>
      </c>
      <c r="G1179" s="106">
        <v>0</v>
      </c>
      <c r="H1179" s="106">
        <v>180431</v>
      </c>
      <c r="I1179" s="106">
        <v>-180431</v>
      </c>
      <c r="J1179" s="106">
        <v>0</v>
      </c>
      <c r="K1179" s="106">
        <v>0</v>
      </c>
      <c r="L1179" s="106">
        <v>0</v>
      </c>
      <c r="M1179" s="106">
        <v>0</v>
      </c>
      <c r="N1179" s="106">
        <v>0</v>
      </c>
    </row>
    <row r="1180" spans="1:14" outlineLevel="2" x14ac:dyDescent="0.35">
      <c r="A1180" s="77" t="s">
        <v>524</v>
      </c>
      <c r="B1180" s="108" t="s">
        <v>192</v>
      </c>
      <c r="C1180" s="106">
        <v>225757</v>
      </c>
      <c r="D1180" s="106">
        <v>-57872</v>
      </c>
      <c r="E1180" s="106">
        <v>0</v>
      </c>
      <c r="F1180" s="106">
        <v>0</v>
      </c>
      <c r="G1180" s="106">
        <v>0</v>
      </c>
      <c r="H1180" s="106">
        <v>167885</v>
      </c>
      <c r="I1180" s="106">
        <v>-167885</v>
      </c>
      <c r="J1180" s="106">
        <v>0</v>
      </c>
      <c r="K1180" s="106">
        <v>0</v>
      </c>
      <c r="L1180" s="106">
        <v>0</v>
      </c>
      <c r="M1180" s="106">
        <v>0</v>
      </c>
      <c r="N1180" s="106">
        <v>0</v>
      </c>
    </row>
    <row r="1181" spans="1:14" outlineLevel="2" x14ac:dyDescent="0.35">
      <c r="A1181" s="77" t="s">
        <v>524</v>
      </c>
      <c r="B1181" s="108" t="s">
        <v>191</v>
      </c>
      <c r="C1181" s="106">
        <v>210347</v>
      </c>
      <c r="D1181" s="106">
        <v>-51330</v>
      </c>
      <c r="E1181" s="106">
        <v>0</v>
      </c>
      <c r="F1181" s="106">
        <v>0</v>
      </c>
      <c r="G1181" s="106">
        <v>0</v>
      </c>
      <c r="H1181" s="106">
        <v>159017</v>
      </c>
      <c r="I1181" s="106">
        <v>-159017</v>
      </c>
      <c r="J1181" s="106">
        <v>0</v>
      </c>
      <c r="K1181" s="106">
        <v>0</v>
      </c>
      <c r="L1181" s="106">
        <v>0</v>
      </c>
      <c r="M1181" s="106">
        <v>0</v>
      </c>
      <c r="N1181" s="106">
        <v>0</v>
      </c>
    </row>
    <row r="1182" spans="1:14" outlineLevel="2" x14ac:dyDescent="0.35">
      <c r="A1182" s="77" t="s">
        <v>524</v>
      </c>
      <c r="B1182" s="108" t="s">
        <v>190</v>
      </c>
      <c r="C1182" s="106">
        <v>190402</v>
      </c>
      <c r="D1182" s="106">
        <v>-49698</v>
      </c>
      <c r="E1182" s="106">
        <v>0</v>
      </c>
      <c r="F1182" s="106">
        <v>0</v>
      </c>
      <c r="G1182" s="106">
        <v>0</v>
      </c>
      <c r="H1182" s="106">
        <v>140704</v>
      </c>
      <c r="I1182" s="106">
        <v>-140704</v>
      </c>
      <c r="J1182" s="106">
        <v>0</v>
      </c>
      <c r="K1182" s="106">
        <v>0</v>
      </c>
      <c r="L1182" s="106">
        <v>0</v>
      </c>
      <c r="M1182" s="106">
        <v>0</v>
      </c>
      <c r="N1182" s="106">
        <v>0</v>
      </c>
    </row>
    <row r="1183" spans="1:14" outlineLevel="2" x14ac:dyDescent="0.35">
      <c r="A1183" s="77" t="s">
        <v>524</v>
      </c>
      <c r="B1183" s="108" t="s">
        <v>189</v>
      </c>
      <c r="C1183" s="106">
        <v>95205</v>
      </c>
      <c r="D1183" s="106">
        <v>-51006</v>
      </c>
      <c r="E1183" s="106">
        <v>0</v>
      </c>
      <c r="F1183" s="106">
        <v>0</v>
      </c>
      <c r="G1183" s="106">
        <v>0</v>
      </c>
      <c r="H1183" s="106">
        <v>44199</v>
      </c>
      <c r="I1183" s="106">
        <v>-44199</v>
      </c>
      <c r="J1183" s="106">
        <v>0</v>
      </c>
      <c r="K1183" s="106">
        <v>0</v>
      </c>
      <c r="L1183" s="106">
        <v>0</v>
      </c>
      <c r="M1183" s="106">
        <v>0</v>
      </c>
      <c r="N1183" s="106">
        <v>0</v>
      </c>
    </row>
    <row r="1184" spans="1:14" ht="15.65" customHeight="1" outlineLevel="1" thickBot="1" x14ac:dyDescent="0.4">
      <c r="A1184" s="105" t="s">
        <v>403</v>
      </c>
      <c r="B1184" s="79" t="s">
        <v>12</v>
      </c>
      <c r="C1184" s="103">
        <f>SUBTOTAL(109,Program218[(C)
Program
Costs])</f>
        <v>56184502</v>
      </c>
      <c r="D1184" s="103">
        <f>SUBTOTAL(109,Program218[(D)
Prior Period Adjustments])</f>
        <v>-2859437</v>
      </c>
      <c r="E1184" s="103">
        <f>SUBTOTAL(109,Program218[(E)
Current Period Desk 
Reviews])</f>
        <v>0</v>
      </c>
      <c r="F1184" s="103">
        <f>SUBTOTAL(109,Program218[(F)
Current Period 
Final 
Audits])</f>
        <v>0</v>
      </c>
      <c r="G1184" s="103">
        <f>SUBTOTAL(109,Program218[(G)
Current Period 
Other Adjustments])</f>
        <v>0</v>
      </c>
      <c r="H1184" s="103">
        <f>SUBTOTAL(109,Program218[(H)
Net Program Costs
Sum (C through G)])</f>
        <v>53325065</v>
      </c>
      <c r="I1184" s="103">
        <f>SUBTOTAL(109,Program218[(I)
Payments
 and Offsets])</f>
        <v>-47625669</v>
      </c>
      <c r="J1184" s="103">
        <f>SUBTOTAL(109,Program218[(J)
Accounts Payable Balance
(H + I)])</f>
        <v>5699396</v>
      </c>
      <c r="K1184" s="103">
        <f>SUBTOTAL(109,Program218[(K)
Established 
Accounts Receivable])</f>
        <v>441775</v>
      </c>
      <c r="L1184" s="103">
        <f>SUBTOTAL(109,Program218[(L)
Recovered
 Accounts Receivable])</f>
        <v>-437972</v>
      </c>
      <c r="M1184" s="103">
        <f>SUBTOTAL(109,Program218[(M)
Accounts Receivable Balance
(K + L)])</f>
        <v>3803</v>
      </c>
      <c r="N1184" s="103">
        <f>SUBTOTAL(109,Program218[(N)
Net Balance
(J minus M)])</f>
        <v>5695593</v>
      </c>
    </row>
    <row r="1185" spans="1:14" ht="15" customHeight="1" outlineLevel="1" x14ac:dyDescent="0.35">
      <c r="A1185" s="116" t="s">
        <v>33</v>
      </c>
      <c r="B1185" s="115"/>
      <c r="C1185" s="114"/>
      <c r="D1185" s="114"/>
      <c r="E1185" s="114"/>
      <c r="F1185" s="114"/>
      <c r="G1185" s="114"/>
      <c r="H1185" s="114"/>
      <c r="I1185" s="114"/>
      <c r="J1185" s="114"/>
      <c r="K1185" s="114"/>
      <c r="L1185" s="114"/>
      <c r="M1185" s="114"/>
      <c r="N1185" s="114"/>
    </row>
    <row r="1186" spans="1:14" ht="77.5" outlineLevel="2" x14ac:dyDescent="0.35">
      <c r="A1186" s="113" t="s">
        <v>185</v>
      </c>
      <c r="B1186" s="112" t="s">
        <v>184</v>
      </c>
      <c r="C1186" s="111" t="s">
        <v>183</v>
      </c>
      <c r="D1186" s="111" t="s">
        <v>182</v>
      </c>
      <c r="E1186" s="111" t="s">
        <v>181</v>
      </c>
      <c r="F1186" s="111" t="s">
        <v>180</v>
      </c>
      <c r="G1186" s="111" t="s">
        <v>179</v>
      </c>
      <c r="H1186" s="110" t="s">
        <v>674</v>
      </c>
      <c r="I1186" s="110" t="s">
        <v>178</v>
      </c>
      <c r="J1186" s="110" t="s">
        <v>177</v>
      </c>
      <c r="K1186" s="111" t="s">
        <v>176</v>
      </c>
      <c r="L1186" s="110" t="s">
        <v>175</v>
      </c>
      <c r="M1186" s="110" t="s">
        <v>174</v>
      </c>
      <c r="N1186" s="109" t="s">
        <v>173</v>
      </c>
    </row>
    <row r="1187" spans="1:14" outlineLevel="2" x14ac:dyDescent="0.35">
      <c r="A1187" s="108" t="s">
        <v>523</v>
      </c>
      <c r="B1187" s="108" t="s">
        <v>202</v>
      </c>
      <c r="C1187" s="106">
        <v>19548</v>
      </c>
      <c r="D1187" s="106">
        <v>-19548</v>
      </c>
      <c r="E1187" s="106">
        <v>0</v>
      </c>
      <c r="F1187" s="106">
        <v>0</v>
      </c>
      <c r="G1187" s="106">
        <v>0</v>
      </c>
      <c r="H1187" s="106">
        <v>0</v>
      </c>
      <c r="I1187" s="106">
        <v>0</v>
      </c>
      <c r="J1187" s="106">
        <v>0</v>
      </c>
      <c r="K1187" s="106">
        <v>0</v>
      </c>
      <c r="L1187" s="106">
        <v>0</v>
      </c>
      <c r="M1187" s="106">
        <v>0</v>
      </c>
      <c r="N1187" s="106">
        <v>0</v>
      </c>
    </row>
    <row r="1188" spans="1:14" outlineLevel="2" x14ac:dyDescent="0.35">
      <c r="A1188" s="108" t="s">
        <v>523</v>
      </c>
      <c r="B1188" s="108" t="s">
        <v>201</v>
      </c>
      <c r="C1188" s="106">
        <v>26278</v>
      </c>
      <c r="D1188" s="106">
        <v>-26278</v>
      </c>
      <c r="E1188" s="106">
        <v>0</v>
      </c>
      <c r="F1188" s="106">
        <v>0</v>
      </c>
      <c r="G1188" s="106">
        <v>0</v>
      </c>
      <c r="H1188" s="106">
        <v>0</v>
      </c>
      <c r="I1188" s="106">
        <v>0</v>
      </c>
      <c r="J1188" s="106">
        <v>0</v>
      </c>
      <c r="K1188" s="106">
        <v>0</v>
      </c>
      <c r="L1188" s="106">
        <v>0</v>
      </c>
      <c r="M1188" s="106">
        <v>0</v>
      </c>
      <c r="N1188" s="106">
        <v>0</v>
      </c>
    </row>
    <row r="1189" spans="1:14" outlineLevel="2" x14ac:dyDescent="0.35">
      <c r="A1189" s="108" t="s">
        <v>523</v>
      </c>
      <c r="B1189" s="108" t="s">
        <v>200</v>
      </c>
      <c r="C1189" s="106">
        <v>129841</v>
      </c>
      <c r="D1189" s="106">
        <v>0</v>
      </c>
      <c r="E1189" s="106">
        <v>0</v>
      </c>
      <c r="F1189" s="106">
        <v>0</v>
      </c>
      <c r="G1189" s="106">
        <v>0</v>
      </c>
      <c r="H1189" s="106">
        <v>129841</v>
      </c>
      <c r="I1189" s="106">
        <v>-129841</v>
      </c>
      <c r="J1189" s="106">
        <v>0</v>
      </c>
      <c r="K1189" s="106">
        <v>0</v>
      </c>
      <c r="L1189" s="106">
        <v>0</v>
      </c>
      <c r="M1189" s="106">
        <v>0</v>
      </c>
      <c r="N1189" s="106">
        <v>0</v>
      </c>
    </row>
    <row r="1190" spans="1:14" outlineLevel="2" x14ac:dyDescent="0.35">
      <c r="A1190" s="108" t="s">
        <v>523</v>
      </c>
      <c r="B1190" s="108" t="s">
        <v>199</v>
      </c>
      <c r="C1190" s="106">
        <v>1407601</v>
      </c>
      <c r="D1190" s="106">
        <v>-367</v>
      </c>
      <c r="E1190" s="106">
        <v>0</v>
      </c>
      <c r="F1190" s="106">
        <v>0</v>
      </c>
      <c r="G1190" s="106">
        <v>0</v>
      </c>
      <c r="H1190" s="106">
        <v>1407234</v>
      </c>
      <c r="I1190" s="106">
        <v>-1407234</v>
      </c>
      <c r="J1190" s="106">
        <v>0</v>
      </c>
      <c r="K1190" s="106">
        <v>0</v>
      </c>
      <c r="L1190" s="106">
        <v>0</v>
      </c>
      <c r="M1190" s="106">
        <v>0</v>
      </c>
      <c r="N1190" s="106">
        <v>0</v>
      </c>
    </row>
    <row r="1191" spans="1:14" outlineLevel="2" x14ac:dyDescent="0.35">
      <c r="A1191" s="108" t="s">
        <v>523</v>
      </c>
      <c r="B1191" s="108" t="s">
        <v>198</v>
      </c>
      <c r="C1191" s="106">
        <v>615990</v>
      </c>
      <c r="D1191" s="106">
        <v>-1138</v>
      </c>
      <c r="E1191" s="106">
        <v>0</v>
      </c>
      <c r="F1191" s="106">
        <v>0</v>
      </c>
      <c r="G1191" s="106">
        <v>0</v>
      </c>
      <c r="H1191" s="106">
        <v>614852</v>
      </c>
      <c r="I1191" s="106">
        <v>-614852</v>
      </c>
      <c r="J1191" s="106">
        <v>0</v>
      </c>
      <c r="K1191" s="106">
        <v>0</v>
      </c>
      <c r="L1191" s="106">
        <v>0</v>
      </c>
      <c r="M1191" s="106">
        <v>0</v>
      </c>
      <c r="N1191" s="106">
        <v>0</v>
      </c>
    </row>
    <row r="1192" spans="1:14" outlineLevel="2" x14ac:dyDescent="0.35">
      <c r="A1192" s="108" t="s">
        <v>523</v>
      </c>
      <c r="B1192" s="108" t="s">
        <v>197</v>
      </c>
      <c r="C1192" s="106">
        <v>806929</v>
      </c>
      <c r="D1192" s="106">
        <v>-44677</v>
      </c>
      <c r="E1192" s="106">
        <v>0</v>
      </c>
      <c r="F1192" s="106">
        <v>0</v>
      </c>
      <c r="G1192" s="106">
        <v>0</v>
      </c>
      <c r="H1192" s="106">
        <v>762252</v>
      </c>
      <c r="I1192" s="106">
        <v>-762252</v>
      </c>
      <c r="J1192" s="106">
        <v>0</v>
      </c>
      <c r="K1192" s="106">
        <v>164347</v>
      </c>
      <c r="L1192" s="106">
        <v>-164347</v>
      </c>
      <c r="M1192" s="106">
        <v>0</v>
      </c>
      <c r="N1192" s="106">
        <v>0</v>
      </c>
    </row>
    <row r="1193" spans="1:14" outlineLevel="2" x14ac:dyDescent="0.35">
      <c r="A1193" s="108" t="s">
        <v>523</v>
      </c>
      <c r="B1193" s="108" t="s">
        <v>196</v>
      </c>
      <c r="C1193" s="106">
        <v>702553</v>
      </c>
      <c r="D1193" s="106">
        <v>-235055</v>
      </c>
      <c r="E1193" s="106">
        <v>0</v>
      </c>
      <c r="F1193" s="106">
        <v>0</v>
      </c>
      <c r="G1193" s="106">
        <v>0</v>
      </c>
      <c r="H1193" s="106">
        <v>467498</v>
      </c>
      <c r="I1193" s="106">
        <v>-467498</v>
      </c>
      <c r="J1193" s="106">
        <v>0</v>
      </c>
      <c r="K1193" s="106">
        <v>707011</v>
      </c>
      <c r="L1193" s="106">
        <v>-707011</v>
      </c>
      <c r="M1193" s="106">
        <v>0</v>
      </c>
      <c r="N1193" s="106">
        <v>0</v>
      </c>
    </row>
    <row r="1194" spans="1:14" outlineLevel="2" x14ac:dyDescent="0.35">
      <c r="A1194" s="108" t="s">
        <v>523</v>
      </c>
      <c r="B1194" s="108" t="s">
        <v>195</v>
      </c>
      <c r="C1194" s="106">
        <v>986805</v>
      </c>
      <c r="D1194" s="106">
        <v>-5423</v>
      </c>
      <c r="E1194" s="106">
        <v>0</v>
      </c>
      <c r="F1194" s="106">
        <v>0</v>
      </c>
      <c r="G1194" s="106">
        <v>0</v>
      </c>
      <c r="H1194" s="106">
        <v>981382</v>
      </c>
      <c r="I1194" s="106">
        <v>-981382</v>
      </c>
      <c r="J1194" s="106">
        <v>0</v>
      </c>
      <c r="K1194" s="106">
        <v>34327</v>
      </c>
      <c r="L1194" s="106">
        <v>-34327</v>
      </c>
      <c r="M1194" s="106">
        <v>0</v>
      </c>
      <c r="N1194" s="106">
        <v>0</v>
      </c>
    </row>
    <row r="1195" spans="1:14" outlineLevel="2" x14ac:dyDescent="0.35">
      <c r="A1195" s="108" t="s">
        <v>523</v>
      </c>
      <c r="B1195" s="108" t="s">
        <v>194</v>
      </c>
      <c r="C1195" s="106">
        <v>1012147</v>
      </c>
      <c r="D1195" s="106">
        <v>-4805</v>
      </c>
      <c r="E1195" s="106">
        <v>0</v>
      </c>
      <c r="F1195" s="106">
        <v>0</v>
      </c>
      <c r="G1195" s="106">
        <v>0</v>
      </c>
      <c r="H1195" s="106">
        <v>1007342</v>
      </c>
      <c r="I1195" s="106">
        <v>-1007342</v>
      </c>
      <c r="J1195" s="106">
        <v>0</v>
      </c>
      <c r="K1195" s="106">
        <v>329242</v>
      </c>
      <c r="L1195" s="106">
        <v>-329242</v>
      </c>
      <c r="M1195" s="106">
        <v>0</v>
      </c>
      <c r="N1195" s="106">
        <v>0</v>
      </c>
    </row>
    <row r="1196" spans="1:14" outlineLevel="2" x14ac:dyDescent="0.35">
      <c r="A1196" s="108" t="s">
        <v>523</v>
      </c>
      <c r="B1196" s="108" t="s">
        <v>193</v>
      </c>
      <c r="C1196" s="106">
        <v>969721</v>
      </c>
      <c r="D1196" s="106">
        <v>-3756</v>
      </c>
      <c r="E1196" s="106">
        <v>0</v>
      </c>
      <c r="F1196" s="106">
        <v>0</v>
      </c>
      <c r="G1196" s="106">
        <v>0</v>
      </c>
      <c r="H1196" s="106">
        <v>965965</v>
      </c>
      <c r="I1196" s="106">
        <v>-965965</v>
      </c>
      <c r="J1196" s="106">
        <v>0</v>
      </c>
      <c r="K1196" s="106">
        <v>48886</v>
      </c>
      <c r="L1196" s="106">
        <v>-48886</v>
      </c>
      <c r="M1196" s="106">
        <v>0</v>
      </c>
      <c r="N1196" s="106">
        <v>0</v>
      </c>
    </row>
    <row r="1197" spans="1:14" outlineLevel="2" x14ac:dyDescent="0.35">
      <c r="A1197" s="108" t="s">
        <v>523</v>
      </c>
      <c r="B1197" s="108" t="s">
        <v>192</v>
      </c>
      <c r="C1197" s="106">
        <v>670637</v>
      </c>
      <c r="D1197" s="106">
        <v>-92086</v>
      </c>
      <c r="E1197" s="106">
        <v>0</v>
      </c>
      <c r="F1197" s="106">
        <v>0</v>
      </c>
      <c r="G1197" s="106">
        <v>0</v>
      </c>
      <c r="H1197" s="106">
        <v>578551</v>
      </c>
      <c r="I1197" s="106">
        <v>-578551</v>
      </c>
      <c r="J1197" s="106">
        <v>0</v>
      </c>
      <c r="K1197" s="106">
        <v>15380</v>
      </c>
      <c r="L1197" s="106">
        <v>-15380</v>
      </c>
      <c r="M1197" s="106">
        <v>0</v>
      </c>
      <c r="N1197" s="106">
        <v>0</v>
      </c>
    </row>
    <row r="1198" spans="1:14" outlineLevel="2" x14ac:dyDescent="0.35">
      <c r="A1198" s="108" t="s">
        <v>523</v>
      </c>
      <c r="B1198" s="108" t="s">
        <v>191</v>
      </c>
      <c r="C1198" s="106">
        <v>528097</v>
      </c>
      <c r="D1198" s="106">
        <v>-71280</v>
      </c>
      <c r="E1198" s="106">
        <v>0</v>
      </c>
      <c r="F1198" s="106">
        <v>0</v>
      </c>
      <c r="G1198" s="106">
        <v>0</v>
      </c>
      <c r="H1198" s="106">
        <v>456817</v>
      </c>
      <c r="I1198" s="106">
        <v>-456817</v>
      </c>
      <c r="J1198" s="106">
        <v>0</v>
      </c>
      <c r="K1198" s="106">
        <v>6144</v>
      </c>
      <c r="L1198" s="106">
        <v>-6144</v>
      </c>
      <c r="M1198" s="106">
        <v>0</v>
      </c>
      <c r="N1198" s="106">
        <v>0</v>
      </c>
    </row>
    <row r="1199" spans="1:14" outlineLevel="2" x14ac:dyDescent="0.35">
      <c r="A1199" s="108" t="s">
        <v>523</v>
      </c>
      <c r="B1199" s="108" t="s">
        <v>190</v>
      </c>
      <c r="C1199" s="106">
        <v>441743</v>
      </c>
      <c r="D1199" s="106">
        <v>-56811</v>
      </c>
      <c r="E1199" s="106">
        <v>0</v>
      </c>
      <c r="F1199" s="106">
        <v>0</v>
      </c>
      <c r="G1199" s="106">
        <v>0</v>
      </c>
      <c r="H1199" s="106">
        <v>384932</v>
      </c>
      <c r="I1199" s="106">
        <v>-384932</v>
      </c>
      <c r="J1199" s="106">
        <v>0</v>
      </c>
      <c r="K1199" s="106">
        <v>3684</v>
      </c>
      <c r="L1199" s="106">
        <v>-3684</v>
      </c>
      <c r="M1199" s="106">
        <v>0</v>
      </c>
      <c r="N1199" s="106">
        <v>0</v>
      </c>
    </row>
    <row r="1200" spans="1:14" outlineLevel="2" x14ac:dyDescent="0.35">
      <c r="A1200" s="108" t="s">
        <v>523</v>
      </c>
      <c r="B1200" s="108" t="s">
        <v>189</v>
      </c>
      <c r="C1200" s="106">
        <v>318194</v>
      </c>
      <c r="D1200" s="106">
        <v>-2360</v>
      </c>
      <c r="E1200" s="106">
        <v>0</v>
      </c>
      <c r="F1200" s="106">
        <v>0</v>
      </c>
      <c r="G1200" s="106">
        <v>0</v>
      </c>
      <c r="H1200" s="106">
        <v>315834</v>
      </c>
      <c r="I1200" s="106">
        <v>-315834</v>
      </c>
      <c r="J1200" s="106">
        <v>0</v>
      </c>
      <c r="K1200" s="106">
        <v>1070</v>
      </c>
      <c r="L1200" s="106">
        <v>-1070</v>
      </c>
      <c r="M1200" s="106">
        <v>0</v>
      </c>
      <c r="N1200" s="106">
        <v>0</v>
      </c>
    </row>
    <row r="1201" spans="1:14" ht="16" outlineLevel="2" thickBot="1" x14ac:dyDescent="0.4">
      <c r="A1201" s="105" t="s">
        <v>402</v>
      </c>
      <c r="B1201" s="79" t="s">
        <v>12</v>
      </c>
      <c r="C1201" s="103">
        <f>SUBTOTAL(109,Program154[(C)
Program
Costs])</f>
        <v>8636084</v>
      </c>
      <c r="D1201" s="103">
        <f>SUBTOTAL(109,Program154[(D)
Prior Period Adjustments])</f>
        <v>-563584</v>
      </c>
      <c r="E1201" s="103">
        <f>SUBTOTAL(109,Program154[(E)
Current Period Desk 
Reviews])</f>
        <v>0</v>
      </c>
      <c r="F1201" s="103">
        <f>SUBTOTAL(109,Program154[(F)
Current Period 
Final 
Audits])</f>
        <v>0</v>
      </c>
      <c r="G1201" s="103">
        <f>SUBTOTAL(109,Program154[(G)
Current Period 
Other Adjustments])</f>
        <v>0</v>
      </c>
      <c r="H1201" s="103">
        <f>SUBTOTAL(109,Program154[(H)
Net Program Costs
Sum (C through G)])</f>
        <v>8072500</v>
      </c>
      <c r="I1201" s="103">
        <f>SUBTOTAL(109,Program154[(I)
Payments
 and Offsets])</f>
        <v>-8072500</v>
      </c>
      <c r="J1201" s="103">
        <f>SUBTOTAL(109,Program154[(J)
Accounts Payable Balance
(H + I)])</f>
        <v>0</v>
      </c>
      <c r="K1201" s="103">
        <f>SUBTOTAL(109,Program154[(K)
Established 
Accounts Receivable])</f>
        <v>1310091</v>
      </c>
      <c r="L1201" s="103">
        <f>SUBTOTAL(109,Program154[(L)
Recovered
 Accounts Receivable])</f>
        <v>-1310091</v>
      </c>
      <c r="M1201" s="103">
        <f>SUBTOTAL(109,Program154[(M)
Accounts Receivable Balance
(K + L)])</f>
        <v>0</v>
      </c>
      <c r="N1201" s="103">
        <f>SUBTOTAL(109,Program154[(N)
Net Balance
(J minus M)])</f>
        <v>0</v>
      </c>
    </row>
    <row r="1202" spans="1:14" outlineLevel="2" x14ac:dyDescent="0.35">
      <c r="A1202" s="116" t="s">
        <v>33</v>
      </c>
      <c r="B1202" s="115"/>
      <c r="C1202" s="114"/>
      <c r="D1202" s="114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</row>
    <row r="1203" spans="1:14" ht="77.5" outlineLevel="2" x14ac:dyDescent="0.35">
      <c r="A1203" s="113" t="s">
        <v>185</v>
      </c>
      <c r="B1203" s="112" t="s">
        <v>184</v>
      </c>
      <c r="C1203" s="111" t="s">
        <v>183</v>
      </c>
      <c r="D1203" s="111" t="s">
        <v>182</v>
      </c>
      <c r="E1203" s="111" t="s">
        <v>181</v>
      </c>
      <c r="F1203" s="111" t="s">
        <v>180</v>
      </c>
      <c r="G1203" s="111" t="s">
        <v>179</v>
      </c>
      <c r="H1203" s="110" t="s">
        <v>674</v>
      </c>
      <c r="I1203" s="110" t="s">
        <v>178</v>
      </c>
      <c r="J1203" s="110" t="s">
        <v>177</v>
      </c>
      <c r="K1203" s="111" t="s">
        <v>176</v>
      </c>
      <c r="L1203" s="110" t="s">
        <v>175</v>
      </c>
      <c r="M1203" s="110" t="s">
        <v>174</v>
      </c>
      <c r="N1203" s="109" t="s">
        <v>173</v>
      </c>
    </row>
    <row r="1204" spans="1:14" outlineLevel="2" x14ac:dyDescent="0.35">
      <c r="A1204" s="108" t="s">
        <v>522</v>
      </c>
      <c r="B1204" s="108" t="s">
        <v>215</v>
      </c>
      <c r="C1204" s="106">
        <v>3858</v>
      </c>
      <c r="D1204" s="106">
        <v>0</v>
      </c>
      <c r="E1204" s="106">
        <v>0</v>
      </c>
      <c r="F1204" s="106">
        <v>0</v>
      </c>
      <c r="G1204" s="106">
        <v>0</v>
      </c>
      <c r="H1204" s="106">
        <v>3858</v>
      </c>
      <c r="I1204" s="106">
        <v>0</v>
      </c>
      <c r="J1204" s="106">
        <v>3858</v>
      </c>
      <c r="K1204" s="106">
        <v>0</v>
      </c>
      <c r="L1204" s="106">
        <v>0</v>
      </c>
      <c r="M1204" s="106">
        <v>0</v>
      </c>
      <c r="N1204" s="106">
        <v>3858</v>
      </c>
    </row>
    <row r="1205" spans="1:14" outlineLevel="2" x14ac:dyDescent="0.35">
      <c r="A1205" s="108" t="s">
        <v>522</v>
      </c>
      <c r="B1205" s="108" t="s">
        <v>214</v>
      </c>
      <c r="C1205" s="106">
        <v>5051</v>
      </c>
      <c r="D1205" s="106">
        <v>0</v>
      </c>
      <c r="E1205" s="106">
        <v>0</v>
      </c>
      <c r="F1205" s="106">
        <v>0</v>
      </c>
      <c r="G1205" s="106">
        <v>0</v>
      </c>
      <c r="H1205" s="106">
        <v>5051</v>
      </c>
      <c r="I1205" s="106">
        <v>-1000</v>
      </c>
      <c r="J1205" s="106">
        <v>4051</v>
      </c>
      <c r="K1205" s="106">
        <v>0</v>
      </c>
      <c r="L1205" s="106">
        <v>0</v>
      </c>
      <c r="M1205" s="106">
        <v>0</v>
      </c>
      <c r="N1205" s="106">
        <v>4051</v>
      </c>
    </row>
    <row r="1206" spans="1:14" outlineLevel="2" x14ac:dyDescent="0.35">
      <c r="A1206" s="108" t="s">
        <v>522</v>
      </c>
      <c r="B1206" s="108" t="s">
        <v>212</v>
      </c>
      <c r="C1206" s="106">
        <v>5687</v>
      </c>
      <c r="D1206" s="106">
        <v>0</v>
      </c>
      <c r="E1206" s="106">
        <v>0</v>
      </c>
      <c r="F1206" s="106">
        <v>0</v>
      </c>
      <c r="G1206" s="106">
        <v>0</v>
      </c>
      <c r="H1206" s="106">
        <v>5687</v>
      </c>
      <c r="I1206" s="106">
        <v>-2260</v>
      </c>
      <c r="J1206" s="106">
        <v>3427</v>
      </c>
      <c r="K1206" s="106">
        <v>0</v>
      </c>
      <c r="L1206" s="106">
        <v>0</v>
      </c>
      <c r="M1206" s="106">
        <v>0</v>
      </c>
      <c r="N1206" s="106">
        <v>3427</v>
      </c>
    </row>
    <row r="1207" spans="1:14" outlineLevel="2" x14ac:dyDescent="0.35">
      <c r="A1207" s="108" t="s">
        <v>522</v>
      </c>
      <c r="B1207" s="108" t="s">
        <v>220</v>
      </c>
      <c r="C1207" s="106">
        <v>2499</v>
      </c>
      <c r="D1207" s="106">
        <v>-1128</v>
      </c>
      <c r="E1207" s="106">
        <v>0</v>
      </c>
      <c r="F1207" s="106">
        <v>0</v>
      </c>
      <c r="G1207" s="106">
        <v>0</v>
      </c>
      <c r="H1207" s="106">
        <v>1371</v>
      </c>
      <c r="I1207" s="106">
        <v>-1000</v>
      </c>
      <c r="J1207" s="106">
        <v>371</v>
      </c>
      <c r="K1207" s="106">
        <v>0</v>
      </c>
      <c r="L1207" s="106">
        <v>0</v>
      </c>
      <c r="M1207" s="106">
        <v>0</v>
      </c>
      <c r="N1207" s="106">
        <v>371</v>
      </c>
    </row>
    <row r="1208" spans="1:14" outlineLevel="2" x14ac:dyDescent="0.35">
      <c r="A1208" s="108" t="s">
        <v>522</v>
      </c>
      <c r="B1208" s="108" t="s">
        <v>219</v>
      </c>
      <c r="C1208" s="106">
        <v>34239</v>
      </c>
      <c r="D1208" s="106">
        <v>0</v>
      </c>
      <c r="E1208" s="106">
        <v>0</v>
      </c>
      <c r="F1208" s="106">
        <v>0</v>
      </c>
      <c r="G1208" s="106">
        <v>0</v>
      </c>
      <c r="H1208" s="106">
        <v>34239</v>
      </c>
      <c r="I1208" s="106">
        <v>-9495</v>
      </c>
      <c r="J1208" s="106">
        <v>24744</v>
      </c>
      <c r="K1208" s="106">
        <v>0</v>
      </c>
      <c r="L1208" s="106">
        <v>0</v>
      </c>
      <c r="M1208" s="106">
        <v>0</v>
      </c>
      <c r="N1208" s="106">
        <v>24744</v>
      </c>
    </row>
    <row r="1209" spans="1:14" outlineLevel="1" x14ac:dyDescent="0.35">
      <c r="A1209" s="108" t="s">
        <v>522</v>
      </c>
      <c r="B1209" s="108" t="s">
        <v>218</v>
      </c>
      <c r="C1209" s="106">
        <v>141602</v>
      </c>
      <c r="D1209" s="106">
        <v>-2465</v>
      </c>
      <c r="E1209" s="106">
        <v>0</v>
      </c>
      <c r="F1209" s="106">
        <v>0</v>
      </c>
      <c r="G1209" s="106">
        <v>0</v>
      </c>
      <c r="H1209" s="106">
        <v>139137</v>
      </c>
      <c r="I1209" s="106">
        <v>-54044</v>
      </c>
      <c r="J1209" s="106">
        <v>85093</v>
      </c>
      <c r="K1209" s="106">
        <v>0</v>
      </c>
      <c r="L1209" s="106">
        <v>0</v>
      </c>
      <c r="M1209" s="106">
        <v>0</v>
      </c>
      <c r="N1209" s="106">
        <v>85093</v>
      </c>
    </row>
    <row r="1210" spans="1:14" ht="15.65" customHeight="1" outlineLevel="1" x14ac:dyDescent="0.35">
      <c r="A1210" s="108" t="s">
        <v>522</v>
      </c>
      <c r="B1210" s="108" t="s">
        <v>209</v>
      </c>
      <c r="C1210" s="106">
        <v>263075</v>
      </c>
      <c r="D1210" s="106">
        <v>-58744</v>
      </c>
      <c r="E1210" s="106">
        <v>0</v>
      </c>
      <c r="F1210" s="106">
        <v>0</v>
      </c>
      <c r="G1210" s="106">
        <v>0</v>
      </c>
      <c r="H1210" s="106">
        <v>204331</v>
      </c>
      <c r="I1210" s="106">
        <v>-92283</v>
      </c>
      <c r="J1210" s="106">
        <v>112048</v>
      </c>
      <c r="K1210" s="106">
        <v>1000</v>
      </c>
      <c r="L1210" s="106">
        <v>-1000</v>
      </c>
      <c r="M1210" s="106">
        <v>0</v>
      </c>
      <c r="N1210" s="106">
        <v>112048</v>
      </c>
    </row>
    <row r="1211" spans="1:14" ht="15" customHeight="1" outlineLevel="1" x14ac:dyDescent="0.35">
      <c r="A1211" s="108" t="s">
        <v>522</v>
      </c>
      <c r="B1211" s="108" t="s">
        <v>208</v>
      </c>
      <c r="C1211" s="106">
        <v>143901</v>
      </c>
      <c r="D1211" s="106">
        <v>-66788</v>
      </c>
      <c r="E1211" s="106">
        <v>0</v>
      </c>
      <c r="F1211" s="106">
        <v>0</v>
      </c>
      <c r="G1211" s="106">
        <v>0</v>
      </c>
      <c r="H1211" s="106">
        <v>77113</v>
      </c>
      <c r="I1211" s="106">
        <v>-40229</v>
      </c>
      <c r="J1211" s="106">
        <v>36884</v>
      </c>
      <c r="K1211" s="106">
        <v>0</v>
      </c>
      <c r="L1211" s="106">
        <v>0</v>
      </c>
      <c r="M1211" s="106">
        <v>0</v>
      </c>
      <c r="N1211" s="106">
        <v>36884</v>
      </c>
    </row>
    <row r="1212" spans="1:14" outlineLevel="2" x14ac:dyDescent="0.35">
      <c r="A1212" s="108" t="s">
        <v>522</v>
      </c>
      <c r="B1212" s="108" t="s">
        <v>206</v>
      </c>
      <c r="C1212" s="106">
        <v>125252</v>
      </c>
      <c r="D1212" s="106">
        <v>-49669</v>
      </c>
      <c r="E1212" s="106">
        <v>0</v>
      </c>
      <c r="F1212" s="106">
        <v>0</v>
      </c>
      <c r="G1212" s="106">
        <v>0</v>
      </c>
      <c r="H1212" s="106">
        <v>75583</v>
      </c>
      <c r="I1212" s="106">
        <v>-67957</v>
      </c>
      <c r="J1212" s="106">
        <v>7626</v>
      </c>
      <c r="K1212" s="106">
        <v>0</v>
      </c>
      <c r="L1212" s="106">
        <v>0</v>
      </c>
      <c r="M1212" s="106">
        <v>0</v>
      </c>
      <c r="N1212" s="106">
        <v>7626</v>
      </c>
    </row>
    <row r="1213" spans="1:14" outlineLevel="2" x14ac:dyDescent="0.35">
      <c r="A1213" s="108" t="s">
        <v>522</v>
      </c>
      <c r="B1213" s="108" t="s">
        <v>205</v>
      </c>
      <c r="C1213" s="106">
        <v>106651</v>
      </c>
      <c r="D1213" s="106">
        <v>-40204</v>
      </c>
      <c r="E1213" s="106">
        <v>0</v>
      </c>
      <c r="F1213" s="106">
        <v>0</v>
      </c>
      <c r="G1213" s="106">
        <v>0</v>
      </c>
      <c r="H1213" s="106">
        <v>66447</v>
      </c>
      <c r="I1213" s="106">
        <v>-54751</v>
      </c>
      <c r="J1213" s="106">
        <v>11696</v>
      </c>
      <c r="K1213" s="106">
        <v>0</v>
      </c>
      <c r="L1213" s="106">
        <v>0</v>
      </c>
      <c r="M1213" s="106">
        <v>0</v>
      </c>
      <c r="N1213" s="106">
        <v>11696</v>
      </c>
    </row>
    <row r="1214" spans="1:14" outlineLevel="2" x14ac:dyDescent="0.35">
      <c r="A1214" s="108" t="s">
        <v>522</v>
      </c>
      <c r="B1214" s="108" t="s">
        <v>204</v>
      </c>
      <c r="C1214" s="106">
        <v>108967</v>
      </c>
      <c r="D1214" s="106">
        <v>-49405</v>
      </c>
      <c r="E1214" s="106">
        <v>0</v>
      </c>
      <c r="F1214" s="106">
        <v>0</v>
      </c>
      <c r="G1214" s="106">
        <v>0</v>
      </c>
      <c r="H1214" s="106">
        <v>59562</v>
      </c>
      <c r="I1214" s="106">
        <v>-51005</v>
      </c>
      <c r="J1214" s="106">
        <v>8557</v>
      </c>
      <c r="K1214" s="106">
        <v>0</v>
      </c>
      <c r="L1214" s="106">
        <v>0</v>
      </c>
      <c r="M1214" s="106">
        <v>0</v>
      </c>
      <c r="N1214" s="106">
        <v>8557</v>
      </c>
    </row>
    <row r="1215" spans="1:14" outlineLevel="2" x14ac:dyDescent="0.35">
      <c r="A1215" s="108" t="s">
        <v>522</v>
      </c>
      <c r="B1215" s="108" t="s">
        <v>203</v>
      </c>
      <c r="C1215" s="106">
        <v>51370</v>
      </c>
      <c r="D1215" s="106">
        <v>0</v>
      </c>
      <c r="E1215" s="106">
        <v>0</v>
      </c>
      <c r="F1215" s="106">
        <v>0</v>
      </c>
      <c r="G1215" s="106">
        <v>0</v>
      </c>
      <c r="H1215" s="106">
        <v>51370</v>
      </c>
      <c r="I1215" s="106">
        <v>-39338</v>
      </c>
      <c r="J1215" s="106">
        <v>12032</v>
      </c>
      <c r="K1215" s="106">
        <v>0</v>
      </c>
      <c r="L1215" s="106">
        <v>0</v>
      </c>
      <c r="M1215" s="106">
        <v>0</v>
      </c>
      <c r="N1215" s="106">
        <v>12032</v>
      </c>
    </row>
    <row r="1216" spans="1:14" outlineLevel="2" x14ac:dyDescent="0.35">
      <c r="A1216" s="108" t="s">
        <v>522</v>
      </c>
      <c r="B1216" s="108" t="s">
        <v>202</v>
      </c>
      <c r="C1216" s="106">
        <v>30310</v>
      </c>
      <c r="D1216" s="106">
        <v>0</v>
      </c>
      <c r="E1216" s="106">
        <v>0</v>
      </c>
      <c r="F1216" s="106">
        <v>0</v>
      </c>
      <c r="G1216" s="106">
        <v>0</v>
      </c>
      <c r="H1216" s="106">
        <v>30310</v>
      </c>
      <c r="I1216" s="106">
        <v>-30310</v>
      </c>
      <c r="J1216" s="106">
        <v>0</v>
      </c>
      <c r="K1216" s="106">
        <v>0</v>
      </c>
      <c r="L1216" s="106">
        <v>0</v>
      </c>
      <c r="M1216" s="106">
        <v>0</v>
      </c>
      <c r="N1216" s="106">
        <v>0</v>
      </c>
    </row>
    <row r="1217" spans="1:14" outlineLevel="2" x14ac:dyDescent="0.35">
      <c r="A1217" s="108" t="s">
        <v>522</v>
      </c>
      <c r="B1217" s="108" t="s">
        <v>201</v>
      </c>
      <c r="C1217" s="106">
        <v>13324</v>
      </c>
      <c r="D1217" s="106">
        <v>0</v>
      </c>
      <c r="E1217" s="106">
        <v>0</v>
      </c>
      <c r="F1217" s="106">
        <v>0</v>
      </c>
      <c r="G1217" s="106">
        <v>0</v>
      </c>
      <c r="H1217" s="106">
        <v>13324</v>
      </c>
      <c r="I1217" s="106">
        <v>-13324</v>
      </c>
      <c r="J1217" s="106">
        <v>0</v>
      </c>
      <c r="K1217" s="106">
        <v>0</v>
      </c>
      <c r="L1217" s="106">
        <v>0</v>
      </c>
      <c r="M1217" s="106">
        <v>0</v>
      </c>
      <c r="N1217" s="106">
        <v>0</v>
      </c>
    </row>
    <row r="1218" spans="1:14" outlineLevel="2" x14ac:dyDescent="0.35">
      <c r="A1218" s="108" t="s">
        <v>522</v>
      </c>
      <c r="B1218" s="108" t="s">
        <v>200</v>
      </c>
      <c r="C1218" s="106">
        <v>31751</v>
      </c>
      <c r="D1218" s="106">
        <v>-21486</v>
      </c>
      <c r="E1218" s="106">
        <v>0</v>
      </c>
      <c r="F1218" s="106">
        <v>0</v>
      </c>
      <c r="G1218" s="106">
        <v>0</v>
      </c>
      <c r="H1218" s="106">
        <v>10265</v>
      </c>
      <c r="I1218" s="106">
        <v>-10265</v>
      </c>
      <c r="J1218" s="106">
        <v>0</v>
      </c>
      <c r="K1218" s="106">
        <v>0</v>
      </c>
      <c r="L1218" s="106">
        <v>0</v>
      </c>
      <c r="M1218" s="106">
        <v>0</v>
      </c>
      <c r="N1218" s="106">
        <v>0</v>
      </c>
    </row>
    <row r="1219" spans="1:14" outlineLevel="2" x14ac:dyDescent="0.35">
      <c r="A1219" s="108" t="s">
        <v>522</v>
      </c>
      <c r="B1219" s="108" t="s">
        <v>199</v>
      </c>
      <c r="C1219" s="106">
        <v>8372</v>
      </c>
      <c r="D1219" s="106">
        <v>0</v>
      </c>
      <c r="E1219" s="106">
        <v>0</v>
      </c>
      <c r="F1219" s="106">
        <v>0</v>
      </c>
      <c r="G1219" s="106">
        <v>0</v>
      </c>
      <c r="H1219" s="106">
        <v>8372</v>
      </c>
      <c r="I1219" s="106">
        <v>-8372</v>
      </c>
      <c r="J1219" s="106">
        <v>0</v>
      </c>
      <c r="K1219" s="106">
        <v>0</v>
      </c>
      <c r="L1219" s="106">
        <v>0</v>
      </c>
      <c r="M1219" s="106">
        <v>0</v>
      </c>
      <c r="N1219" s="106">
        <v>0</v>
      </c>
    </row>
    <row r="1220" spans="1:14" outlineLevel="2" x14ac:dyDescent="0.35">
      <c r="A1220" s="108" t="s">
        <v>522</v>
      </c>
      <c r="B1220" s="108" t="s">
        <v>198</v>
      </c>
      <c r="C1220" s="106">
        <v>6277</v>
      </c>
      <c r="D1220" s="106">
        <v>0</v>
      </c>
      <c r="E1220" s="106">
        <v>0</v>
      </c>
      <c r="F1220" s="106">
        <v>0</v>
      </c>
      <c r="G1220" s="106">
        <v>0</v>
      </c>
      <c r="H1220" s="106">
        <v>6277</v>
      </c>
      <c r="I1220" s="106">
        <v>-6277</v>
      </c>
      <c r="J1220" s="106">
        <v>0</v>
      </c>
      <c r="K1220" s="106">
        <v>0</v>
      </c>
      <c r="L1220" s="106">
        <v>0</v>
      </c>
      <c r="M1220" s="106">
        <v>0</v>
      </c>
      <c r="N1220" s="106">
        <v>0</v>
      </c>
    </row>
    <row r="1221" spans="1:14" ht="15.65" customHeight="1" outlineLevel="1" thickBot="1" x14ac:dyDescent="0.4">
      <c r="A1221" s="105" t="s">
        <v>401</v>
      </c>
      <c r="B1221" s="79" t="s">
        <v>12</v>
      </c>
      <c r="C1221" s="103">
        <f>SUBTOTAL(109,program350[(C)
Program
Costs])</f>
        <v>1082186</v>
      </c>
      <c r="D1221" s="103">
        <f>SUBTOTAL(109,program350[(D)
Prior Period Adjustments])</f>
        <v>-289889</v>
      </c>
      <c r="E1221" s="103">
        <f>SUBTOTAL(109,program350[(E)
Current Period Desk 
Reviews])</f>
        <v>0</v>
      </c>
      <c r="F1221" s="103">
        <f>SUBTOTAL(109,program350[(F)
Current Period 
Final 
Audits])</f>
        <v>0</v>
      </c>
      <c r="G1221" s="103">
        <f>SUBTOTAL(109,program350[(G)
Current Period 
Other Adjustments])</f>
        <v>0</v>
      </c>
      <c r="H1221" s="103">
        <f>SUBTOTAL(109,program350[(H)
Net Program Costs
Sum (C through G)])</f>
        <v>792297</v>
      </c>
      <c r="I1221" s="103">
        <f>SUBTOTAL(109,program350[(I)
Payments
 and Offsets])</f>
        <v>-481910</v>
      </c>
      <c r="J1221" s="103">
        <f>SUBTOTAL(109,program350[(J)
Accounts Payable Balance
(H + I)])</f>
        <v>310387</v>
      </c>
      <c r="K1221" s="103">
        <f>SUBTOTAL(109,program350[(K)
Established 
Accounts Receivable])</f>
        <v>1000</v>
      </c>
      <c r="L1221" s="103">
        <f>SUBTOTAL(109,program350[(L)
Recovered
 Accounts Receivable])</f>
        <v>-1000</v>
      </c>
      <c r="M1221" s="103">
        <f>SUBTOTAL(109,program350[(M)
Accounts Receivable Balance
(K + L)])</f>
        <v>0</v>
      </c>
      <c r="N1221" s="103">
        <f>SUBTOTAL(109,program350[(N)
Net Balance
(J minus M)])</f>
        <v>310387</v>
      </c>
    </row>
    <row r="1222" spans="1:14" ht="15" customHeight="1" outlineLevel="1" x14ac:dyDescent="0.35">
      <c r="A1222" s="116" t="s">
        <v>33</v>
      </c>
      <c r="B1222" s="115"/>
      <c r="C1222" s="114"/>
      <c r="D1222" s="114"/>
      <c r="E1222" s="114"/>
      <c r="F1222" s="114"/>
      <c r="G1222" s="114"/>
      <c r="H1222" s="114"/>
      <c r="I1222" s="114"/>
      <c r="J1222" s="114"/>
      <c r="K1222" s="114"/>
      <c r="L1222" s="114"/>
      <c r="M1222" s="114"/>
      <c r="N1222" s="114"/>
    </row>
    <row r="1223" spans="1:14" ht="77.5" outlineLevel="2" x14ac:dyDescent="0.35">
      <c r="A1223" s="113" t="s">
        <v>185</v>
      </c>
      <c r="B1223" s="112" t="s">
        <v>184</v>
      </c>
      <c r="C1223" s="111" t="s">
        <v>183</v>
      </c>
      <c r="D1223" s="111" t="s">
        <v>182</v>
      </c>
      <c r="E1223" s="111" t="s">
        <v>181</v>
      </c>
      <c r="F1223" s="111" t="s">
        <v>180</v>
      </c>
      <c r="G1223" s="111" t="s">
        <v>179</v>
      </c>
      <c r="H1223" s="110" t="s">
        <v>674</v>
      </c>
      <c r="I1223" s="110" t="s">
        <v>178</v>
      </c>
      <c r="J1223" s="110" t="s">
        <v>177</v>
      </c>
      <c r="K1223" s="111" t="s">
        <v>176</v>
      </c>
      <c r="L1223" s="110" t="s">
        <v>175</v>
      </c>
      <c r="M1223" s="110" t="s">
        <v>174</v>
      </c>
      <c r="N1223" s="109" t="s">
        <v>173</v>
      </c>
    </row>
    <row r="1224" spans="1:14" ht="15.5" customHeight="1" outlineLevel="2" x14ac:dyDescent="0.35">
      <c r="A1224" s="77" t="s">
        <v>521</v>
      </c>
      <c r="B1224" s="108" t="s">
        <v>203</v>
      </c>
      <c r="C1224" s="106">
        <v>16942</v>
      </c>
      <c r="D1224" s="106">
        <v>-16942</v>
      </c>
      <c r="E1224" s="106">
        <v>0</v>
      </c>
      <c r="F1224" s="106">
        <v>0</v>
      </c>
      <c r="G1224" s="106">
        <v>0</v>
      </c>
      <c r="H1224" s="106">
        <v>0</v>
      </c>
      <c r="I1224" s="106">
        <v>0</v>
      </c>
      <c r="J1224" s="106">
        <v>0</v>
      </c>
      <c r="K1224" s="106">
        <v>0</v>
      </c>
      <c r="L1224" s="106">
        <v>0</v>
      </c>
      <c r="M1224" s="106">
        <v>0</v>
      </c>
      <c r="N1224" s="106">
        <v>0</v>
      </c>
    </row>
    <row r="1225" spans="1:14" ht="15.5" customHeight="1" outlineLevel="2" x14ac:dyDescent="0.35">
      <c r="A1225" s="77" t="s">
        <v>521</v>
      </c>
      <c r="B1225" s="108" t="s">
        <v>202</v>
      </c>
      <c r="C1225" s="106">
        <v>15050</v>
      </c>
      <c r="D1225" s="106">
        <v>-15050</v>
      </c>
      <c r="E1225" s="106">
        <v>0</v>
      </c>
      <c r="F1225" s="106">
        <v>0</v>
      </c>
      <c r="G1225" s="106">
        <v>0</v>
      </c>
      <c r="H1225" s="106">
        <v>0</v>
      </c>
      <c r="I1225" s="106">
        <v>0</v>
      </c>
      <c r="J1225" s="106">
        <v>0</v>
      </c>
      <c r="K1225" s="106">
        <v>0</v>
      </c>
      <c r="L1225" s="106">
        <v>0</v>
      </c>
      <c r="M1225" s="106">
        <v>0</v>
      </c>
      <c r="N1225" s="106">
        <v>0</v>
      </c>
    </row>
    <row r="1226" spans="1:14" ht="15.5" customHeight="1" outlineLevel="2" x14ac:dyDescent="0.35">
      <c r="A1226" s="77" t="s">
        <v>521</v>
      </c>
      <c r="B1226" s="108" t="s">
        <v>197</v>
      </c>
      <c r="C1226" s="106">
        <v>4600</v>
      </c>
      <c r="D1226" s="106">
        <v>0</v>
      </c>
      <c r="E1226" s="106">
        <v>0</v>
      </c>
      <c r="F1226" s="106">
        <v>0</v>
      </c>
      <c r="G1226" s="106">
        <v>0</v>
      </c>
      <c r="H1226" s="106">
        <v>4600</v>
      </c>
      <c r="I1226" s="106">
        <v>-4600</v>
      </c>
      <c r="J1226" s="106">
        <v>0</v>
      </c>
      <c r="K1226" s="106">
        <v>0</v>
      </c>
      <c r="L1226" s="106">
        <v>0</v>
      </c>
      <c r="M1226" s="106">
        <v>0</v>
      </c>
      <c r="N1226" s="106">
        <v>0</v>
      </c>
    </row>
    <row r="1227" spans="1:14" ht="15.5" customHeight="1" outlineLevel="2" x14ac:dyDescent="0.35">
      <c r="A1227" s="77" t="s">
        <v>521</v>
      </c>
      <c r="B1227" s="108" t="s">
        <v>196</v>
      </c>
      <c r="C1227" s="106">
        <v>9966</v>
      </c>
      <c r="D1227" s="106">
        <v>0</v>
      </c>
      <c r="E1227" s="106">
        <v>0</v>
      </c>
      <c r="F1227" s="106">
        <v>0</v>
      </c>
      <c r="G1227" s="106">
        <v>0</v>
      </c>
      <c r="H1227" s="106">
        <v>9966</v>
      </c>
      <c r="I1227" s="106">
        <v>-9966</v>
      </c>
      <c r="J1227" s="106">
        <v>0</v>
      </c>
      <c r="K1227" s="106">
        <v>0</v>
      </c>
      <c r="L1227" s="106">
        <v>0</v>
      </c>
      <c r="M1227" s="106">
        <v>0</v>
      </c>
      <c r="N1227" s="106">
        <v>0</v>
      </c>
    </row>
    <row r="1228" spans="1:14" ht="15.5" customHeight="1" outlineLevel="2" x14ac:dyDescent="0.35">
      <c r="A1228" s="77" t="s">
        <v>521</v>
      </c>
      <c r="B1228" s="108" t="s">
        <v>195</v>
      </c>
      <c r="C1228" s="106">
        <v>26382</v>
      </c>
      <c r="D1228" s="106">
        <v>-1000</v>
      </c>
      <c r="E1228" s="106">
        <v>0</v>
      </c>
      <c r="F1228" s="106">
        <v>0</v>
      </c>
      <c r="G1228" s="106">
        <v>0</v>
      </c>
      <c r="H1228" s="106">
        <v>25382</v>
      </c>
      <c r="I1228" s="106">
        <v>-25382</v>
      </c>
      <c r="J1228" s="106">
        <v>0</v>
      </c>
      <c r="K1228" s="106">
        <v>0</v>
      </c>
      <c r="L1228" s="106">
        <v>0</v>
      </c>
      <c r="M1228" s="106">
        <v>0</v>
      </c>
      <c r="N1228" s="106">
        <v>0</v>
      </c>
    </row>
    <row r="1229" spans="1:14" ht="15.5" customHeight="1" outlineLevel="2" x14ac:dyDescent="0.35">
      <c r="A1229" s="77" t="s">
        <v>521</v>
      </c>
      <c r="B1229" s="108" t="s">
        <v>194</v>
      </c>
      <c r="C1229" s="106">
        <v>7434</v>
      </c>
      <c r="D1229" s="106">
        <v>0</v>
      </c>
      <c r="E1229" s="106">
        <v>0</v>
      </c>
      <c r="F1229" s="106">
        <v>0</v>
      </c>
      <c r="G1229" s="106">
        <v>0</v>
      </c>
      <c r="H1229" s="106">
        <v>7434</v>
      </c>
      <c r="I1229" s="106">
        <v>-7434</v>
      </c>
      <c r="J1229" s="106">
        <v>0</v>
      </c>
      <c r="K1229" s="106">
        <v>0</v>
      </c>
      <c r="L1229" s="106">
        <v>0</v>
      </c>
      <c r="M1229" s="106">
        <v>0</v>
      </c>
      <c r="N1229" s="106">
        <v>0</v>
      </c>
    </row>
    <row r="1230" spans="1:14" ht="15.5" customHeight="1" outlineLevel="2" x14ac:dyDescent="0.35">
      <c r="A1230" s="77" t="s">
        <v>521</v>
      </c>
      <c r="B1230" s="108" t="s">
        <v>193</v>
      </c>
      <c r="C1230" s="106">
        <v>7045</v>
      </c>
      <c r="D1230" s="106">
        <v>0</v>
      </c>
      <c r="E1230" s="106">
        <v>0</v>
      </c>
      <c r="F1230" s="106">
        <v>0</v>
      </c>
      <c r="G1230" s="106">
        <v>0</v>
      </c>
      <c r="H1230" s="106">
        <v>7045</v>
      </c>
      <c r="I1230" s="106">
        <v>-7045</v>
      </c>
      <c r="J1230" s="106">
        <v>0</v>
      </c>
      <c r="K1230" s="106">
        <v>0</v>
      </c>
      <c r="L1230" s="106">
        <v>0</v>
      </c>
      <c r="M1230" s="106">
        <v>0</v>
      </c>
      <c r="N1230" s="106">
        <v>0</v>
      </c>
    </row>
    <row r="1231" spans="1:14" ht="15.5" customHeight="1" outlineLevel="2" x14ac:dyDescent="0.35">
      <c r="A1231" s="77" t="s">
        <v>521</v>
      </c>
      <c r="B1231" s="108" t="s">
        <v>192</v>
      </c>
      <c r="C1231" s="106">
        <v>7491</v>
      </c>
      <c r="D1231" s="106">
        <v>0</v>
      </c>
      <c r="E1231" s="106">
        <v>0</v>
      </c>
      <c r="F1231" s="106">
        <v>0</v>
      </c>
      <c r="G1231" s="106">
        <v>0</v>
      </c>
      <c r="H1231" s="106">
        <v>7491</v>
      </c>
      <c r="I1231" s="106">
        <v>-7491</v>
      </c>
      <c r="J1231" s="106">
        <v>0</v>
      </c>
      <c r="K1231" s="106">
        <v>0</v>
      </c>
      <c r="L1231" s="106">
        <v>0</v>
      </c>
      <c r="M1231" s="106">
        <v>0</v>
      </c>
      <c r="N1231" s="106">
        <v>0</v>
      </c>
    </row>
    <row r="1232" spans="1:14" ht="15.5" customHeight="1" outlineLevel="2" x14ac:dyDescent="0.35">
      <c r="A1232" s="77" t="s">
        <v>521</v>
      </c>
      <c r="B1232" s="108" t="s">
        <v>191</v>
      </c>
      <c r="C1232" s="106">
        <v>2601</v>
      </c>
      <c r="D1232" s="106">
        <v>0</v>
      </c>
      <c r="E1232" s="106">
        <v>0</v>
      </c>
      <c r="F1232" s="106">
        <v>0</v>
      </c>
      <c r="G1232" s="106">
        <v>0</v>
      </c>
      <c r="H1232" s="106">
        <v>2601</v>
      </c>
      <c r="I1232" s="106">
        <v>-2601</v>
      </c>
      <c r="J1232" s="106">
        <v>0</v>
      </c>
      <c r="K1232" s="106">
        <v>0</v>
      </c>
      <c r="L1232" s="106">
        <v>0</v>
      </c>
      <c r="M1232" s="106">
        <v>0</v>
      </c>
      <c r="N1232" s="106">
        <v>0</v>
      </c>
    </row>
    <row r="1233" spans="1:14" ht="15.5" customHeight="1" outlineLevel="2" x14ac:dyDescent="0.35">
      <c r="A1233" s="77" t="s">
        <v>521</v>
      </c>
      <c r="B1233" s="108" t="s">
        <v>190</v>
      </c>
      <c r="C1233" s="106">
        <v>13120</v>
      </c>
      <c r="D1233" s="106">
        <v>-521</v>
      </c>
      <c r="E1233" s="106">
        <v>0</v>
      </c>
      <c r="F1233" s="106">
        <v>0</v>
      </c>
      <c r="G1233" s="106">
        <v>0</v>
      </c>
      <c r="H1233" s="106">
        <v>12599</v>
      </c>
      <c r="I1233" s="106">
        <v>-12599</v>
      </c>
      <c r="J1233" s="106">
        <v>0</v>
      </c>
      <c r="K1233" s="106">
        <v>0</v>
      </c>
      <c r="L1233" s="106">
        <v>0</v>
      </c>
      <c r="M1233" s="106">
        <v>0</v>
      </c>
      <c r="N1233" s="106">
        <v>0</v>
      </c>
    </row>
    <row r="1234" spans="1:14" ht="16" outlineLevel="2" thickBot="1" x14ac:dyDescent="0.4">
      <c r="A1234" s="105" t="s">
        <v>400</v>
      </c>
      <c r="B1234" s="79" t="s">
        <v>12</v>
      </c>
      <c r="C1234" s="103">
        <f>SUBTOTAL(109,Program186[(C)
Program
Costs])</f>
        <v>110631</v>
      </c>
      <c r="D1234" s="103">
        <f>SUBTOTAL(109,Program186[(D)
Prior Period Adjustments])</f>
        <v>-33513</v>
      </c>
      <c r="E1234" s="103">
        <f>SUBTOTAL(109,Program186[(E)
Current Period Desk 
Reviews])</f>
        <v>0</v>
      </c>
      <c r="F1234" s="103">
        <f>SUBTOTAL(109,Program186[(F)
Current Period 
Final 
Audits])</f>
        <v>0</v>
      </c>
      <c r="G1234" s="103">
        <f>SUBTOTAL(109,Program186[(G)
Current Period 
Other Adjustments])</f>
        <v>0</v>
      </c>
      <c r="H1234" s="103">
        <f>SUBTOTAL(109,Program186[(H)
Net Program Costs
Sum (C through G)])</f>
        <v>77118</v>
      </c>
      <c r="I1234" s="103">
        <f>SUBTOTAL(109,Program186[(I)
Payments
 and Offsets])</f>
        <v>-77118</v>
      </c>
      <c r="J1234" s="103">
        <f>SUBTOTAL(109,Program186[(J)
Accounts Payable Balance
(H + I)])</f>
        <v>0</v>
      </c>
      <c r="K1234" s="103">
        <f>SUBTOTAL(109,Program186[(K)
Established 
Accounts Receivable])</f>
        <v>0</v>
      </c>
      <c r="L1234" s="103">
        <f>SUBTOTAL(109,Program186[(L)
Recovered
 Accounts Receivable])</f>
        <v>0</v>
      </c>
      <c r="M1234" s="103">
        <f>SUBTOTAL(109,Program186[(M)
Accounts Receivable Balance
(K + L)])</f>
        <v>0</v>
      </c>
      <c r="N1234" s="103">
        <f>SUBTOTAL(109,Program186[(N)
Net Balance
(J minus M)])</f>
        <v>0</v>
      </c>
    </row>
    <row r="1235" spans="1:14" outlineLevel="1" x14ac:dyDescent="0.35">
      <c r="A1235" s="116" t="s">
        <v>33</v>
      </c>
      <c r="B1235" s="115"/>
      <c r="C1235" s="114"/>
      <c r="D1235" s="114"/>
      <c r="E1235" s="114"/>
      <c r="F1235" s="114"/>
      <c r="G1235" s="114"/>
      <c r="H1235" s="114"/>
      <c r="I1235" s="114"/>
      <c r="J1235" s="114"/>
      <c r="K1235" s="114"/>
      <c r="L1235" s="114"/>
      <c r="M1235" s="114"/>
      <c r="N1235" s="114"/>
    </row>
    <row r="1236" spans="1:14" ht="78.75" customHeight="1" outlineLevel="1" x14ac:dyDescent="0.35">
      <c r="A1236" s="113" t="s">
        <v>185</v>
      </c>
      <c r="B1236" s="112" t="s">
        <v>184</v>
      </c>
      <c r="C1236" s="111" t="s">
        <v>183</v>
      </c>
      <c r="D1236" s="111" t="s">
        <v>182</v>
      </c>
      <c r="E1236" s="111" t="s">
        <v>181</v>
      </c>
      <c r="F1236" s="111" t="s">
        <v>180</v>
      </c>
      <c r="G1236" s="111" t="s">
        <v>179</v>
      </c>
      <c r="H1236" s="110" t="s">
        <v>674</v>
      </c>
      <c r="I1236" s="110" t="s">
        <v>178</v>
      </c>
      <c r="J1236" s="110" t="s">
        <v>177</v>
      </c>
      <c r="K1236" s="111" t="s">
        <v>176</v>
      </c>
      <c r="L1236" s="110" t="s">
        <v>175</v>
      </c>
      <c r="M1236" s="110" t="s">
        <v>174</v>
      </c>
      <c r="N1236" s="109" t="s">
        <v>173</v>
      </c>
    </row>
    <row r="1237" spans="1:14" ht="15" customHeight="1" outlineLevel="1" x14ac:dyDescent="0.35">
      <c r="A1237" s="108" t="s">
        <v>520</v>
      </c>
      <c r="B1237" s="108" t="s">
        <v>197</v>
      </c>
      <c r="C1237" s="106">
        <v>3180</v>
      </c>
      <c r="D1237" s="106">
        <v>0</v>
      </c>
      <c r="E1237" s="106">
        <v>0</v>
      </c>
      <c r="F1237" s="106">
        <v>0</v>
      </c>
      <c r="G1237" s="106">
        <v>0</v>
      </c>
      <c r="H1237" s="106">
        <v>3180</v>
      </c>
      <c r="I1237" s="106">
        <v>-3180</v>
      </c>
      <c r="J1237" s="106">
        <v>0</v>
      </c>
      <c r="K1237" s="106">
        <v>0</v>
      </c>
      <c r="L1237" s="106">
        <v>0</v>
      </c>
      <c r="M1237" s="106">
        <v>0</v>
      </c>
      <c r="N1237" s="106">
        <v>0</v>
      </c>
    </row>
    <row r="1238" spans="1:14" outlineLevel="2" x14ac:dyDescent="0.35">
      <c r="A1238" s="108" t="s">
        <v>520</v>
      </c>
      <c r="B1238" s="108" t="s">
        <v>196</v>
      </c>
      <c r="C1238" s="106">
        <v>29446</v>
      </c>
      <c r="D1238" s="106">
        <v>0</v>
      </c>
      <c r="E1238" s="106">
        <v>0</v>
      </c>
      <c r="F1238" s="106">
        <v>0</v>
      </c>
      <c r="G1238" s="106">
        <v>0</v>
      </c>
      <c r="H1238" s="106">
        <v>29446</v>
      </c>
      <c r="I1238" s="106">
        <v>-29446</v>
      </c>
      <c r="J1238" s="106">
        <v>0</v>
      </c>
      <c r="K1238" s="106">
        <v>0</v>
      </c>
      <c r="L1238" s="106">
        <v>0</v>
      </c>
      <c r="M1238" s="106">
        <v>0</v>
      </c>
      <c r="N1238" s="106">
        <v>0</v>
      </c>
    </row>
    <row r="1239" spans="1:14" outlineLevel="2" x14ac:dyDescent="0.35">
      <c r="A1239" s="108" t="s">
        <v>520</v>
      </c>
      <c r="B1239" s="108" t="s">
        <v>195</v>
      </c>
      <c r="C1239" s="106">
        <v>28856</v>
      </c>
      <c r="D1239" s="106">
        <v>0</v>
      </c>
      <c r="E1239" s="106">
        <v>0</v>
      </c>
      <c r="F1239" s="106">
        <v>0</v>
      </c>
      <c r="G1239" s="106">
        <v>0</v>
      </c>
      <c r="H1239" s="106">
        <v>28856</v>
      </c>
      <c r="I1239" s="106">
        <v>-28856</v>
      </c>
      <c r="J1239" s="106">
        <v>0</v>
      </c>
      <c r="K1239" s="106">
        <v>0</v>
      </c>
      <c r="L1239" s="106">
        <v>0</v>
      </c>
      <c r="M1239" s="106">
        <v>0</v>
      </c>
      <c r="N1239" s="106">
        <v>0</v>
      </c>
    </row>
    <row r="1240" spans="1:14" outlineLevel="2" x14ac:dyDescent="0.35">
      <c r="A1240" s="108" t="s">
        <v>520</v>
      </c>
      <c r="B1240" s="108" t="s">
        <v>194</v>
      </c>
      <c r="C1240" s="106">
        <v>31392</v>
      </c>
      <c r="D1240" s="106">
        <v>0</v>
      </c>
      <c r="E1240" s="106">
        <v>0</v>
      </c>
      <c r="F1240" s="106">
        <v>0</v>
      </c>
      <c r="G1240" s="106">
        <v>0</v>
      </c>
      <c r="H1240" s="106">
        <v>31392</v>
      </c>
      <c r="I1240" s="106">
        <v>-31392</v>
      </c>
      <c r="J1240" s="106">
        <v>0</v>
      </c>
      <c r="K1240" s="106">
        <v>0</v>
      </c>
      <c r="L1240" s="106">
        <v>0</v>
      </c>
      <c r="M1240" s="106">
        <v>0</v>
      </c>
      <c r="N1240" s="106">
        <v>0</v>
      </c>
    </row>
    <row r="1241" spans="1:14" outlineLevel="2" x14ac:dyDescent="0.35">
      <c r="A1241" s="108" t="s">
        <v>520</v>
      </c>
      <c r="B1241" s="108" t="s">
        <v>193</v>
      </c>
      <c r="C1241" s="106">
        <v>28461</v>
      </c>
      <c r="D1241" s="106">
        <v>0</v>
      </c>
      <c r="E1241" s="106">
        <v>0</v>
      </c>
      <c r="F1241" s="106">
        <v>0</v>
      </c>
      <c r="G1241" s="106">
        <v>0</v>
      </c>
      <c r="H1241" s="106">
        <v>28461</v>
      </c>
      <c r="I1241" s="106">
        <v>-28461</v>
      </c>
      <c r="J1241" s="106">
        <v>0</v>
      </c>
      <c r="K1241" s="106">
        <v>0</v>
      </c>
      <c r="L1241" s="106">
        <v>0</v>
      </c>
      <c r="M1241" s="106">
        <v>0</v>
      </c>
      <c r="N1241" s="106">
        <v>0</v>
      </c>
    </row>
    <row r="1242" spans="1:14" ht="16" outlineLevel="2" thickBot="1" x14ac:dyDescent="0.4">
      <c r="A1242" s="105" t="s">
        <v>399</v>
      </c>
      <c r="B1242" s="79" t="s">
        <v>12</v>
      </c>
      <c r="C1242" s="103">
        <f>SUBTOTAL(109,Program214[(C)
Program
Costs])</f>
        <v>121335</v>
      </c>
      <c r="D1242" s="103">
        <f>SUBTOTAL(109,Program214[(D)
Prior Period Adjustments])</f>
        <v>0</v>
      </c>
      <c r="E1242" s="103">
        <f>SUBTOTAL(109,Program214[(E)
Current Period Desk 
Reviews])</f>
        <v>0</v>
      </c>
      <c r="F1242" s="103">
        <f>SUBTOTAL(109,Program214[(F)
Current Period 
Final 
Audits])</f>
        <v>0</v>
      </c>
      <c r="G1242" s="103">
        <f>SUBTOTAL(109,Program214[(G)
Current Period 
Other Adjustments])</f>
        <v>0</v>
      </c>
      <c r="H1242" s="103">
        <f>SUBTOTAL(109,Program214[(H)
Net Program Costs
Sum (C through G)])</f>
        <v>121335</v>
      </c>
      <c r="I1242" s="103">
        <f>SUBTOTAL(109,Program214[(I)
Payments
 and Offsets])</f>
        <v>-121335</v>
      </c>
      <c r="J1242" s="103">
        <f>SUBTOTAL(109,Program214[(J)
Accounts Payable Balance
(H + I)])</f>
        <v>0</v>
      </c>
      <c r="K1242" s="103">
        <f>SUBTOTAL(109,Program214[(K)
Established 
Accounts Receivable])</f>
        <v>0</v>
      </c>
      <c r="L1242" s="103">
        <f>SUBTOTAL(109,Program214[(L)
Recovered
 Accounts Receivable])</f>
        <v>0</v>
      </c>
      <c r="M1242" s="103">
        <f>SUBTOTAL(109,Program214[(M)
Accounts Receivable Balance
(K + L)])</f>
        <v>0</v>
      </c>
      <c r="N1242" s="103">
        <f>SUBTOTAL(109,Program214[(N)
Net Balance
(J minus M)])</f>
        <v>0</v>
      </c>
    </row>
    <row r="1243" spans="1:14" outlineLevel="2" x14ac:dyDescent="0.35">
      <c r="A1243" s="116" t="s">
        <v>33</v>
      </c>
      <c r="B1243" s="115"/>
      <c r="C1243" s="114"/>
      <c r="D1243" s="114"/>
      <c r="E1243" s="114"/>
      <c r="F1243" s="114"/>
      <c r="G1243" s="114"/>
      <c r="H1243" s="114"/>
      <c r="I1243" s="114"/>
      <c r="J1243" s="114"/>
      <c r="K1243" s="114"/>
      <c r="L1243" s="114"/>
      <c r="M1243" s="114"/>
      <c r="N1243" s="114"/>
    </row>
    <row r="1244" spans="1:14" ht="77.5" outlineLevel="2" x14ac:dyDescent="0.35">
      <c r="A1244" s="113" t="s">
        <v>185</v>
      </c>
      <c r="B1244" s="112" t="s">
        <v>184</v>
      </c>
      <c r="C1244" s="111" t="s">
        <v>183</v>
      </c>
      <c r="D1244" s="111" t="s">
        <v>182</v>
      </c>
      <c r="E1244" s="111" t="s">
        <v>181</v>
      </c>
      <c r="F1244" s="111" t="s">
        <v>180</v>
      </c>
      <c r="G1244" s="111" t="s">
        <v>179</v>
      </c>
      <c r="H1244" s="110" t="s">
        <v>674</v>
      </c>
      <c r="I1244" s="110" t="s">
        <v>178</v>
      </c>
      <c r="J1244" s="110" t="s">
        <v>177</v>
      </c>
      <c r="K1244" s="111" t="s">
        <v>176</v>
      </c>
      <c r="L1244" s="110" t="s">
        <v>175</v>
      </c>
      <c r="M1244" s="110" t="s">
        <v>174</v>
      </c>
      <c r="N1244" s="109" t="s">
        <v>173</v>
      </c>
    </row>
    <row r="1245" spans="1:14" outlineLevel="2" x14ac:dyDescent="0.35">
      <c r="A1245" s="108" t="s">
        <v>519</v>
      </c>
      <c r="B1245" s="108" t="s">
        <v>206</v>
      </c>
      <c r="C1245" s="106">
        <v>9273</v>
      </c>
      <c r="D1245" s="106">
        <v>-273</v>
      </c>
      <c r="E1245" s="106">
        <v>0</v>
      </c>
      <c r="F1245" s="106">
        <v>0</v>
      </c>
      <c r="G1245" s="106">
        <v>0</v>
      </c>
      <c r="H1245" s="106">
        <v>9000</v>
      </c>
      <c r="I1245" s="106">
        <v>-4735</v>
      </c>
      <c r="J1245" s="106">
        <v>4265</v>
      </c>
      <c r="K1245" s="106">
        <v>0</v>
      </c>
      <c r="L1245" s="106">
        <v>0</v>
      </c>
      <c r="M1245" s="106">
        <v>0</v>
      </c>
      <c r="N1245" s="106">
        <v>4265</v>
      </c>
    </row>
    <row r="1246" spans="1:14" outlineLevel="2" x14ac:dyDescent="0.35">
      <c r="A1246" s="108" t="s">
        <v>519</v>
      </c>
      <c r="B1246" s="108" t="s">
        <v>205</v>
      </c>
      <c r="C1246" s="106">
        <v>10552</v>
      </c>
      <c r="D1246" s="106">
        <v>0</v>
      </c>
      <c r="E1246" s="106">
        <v>0</v>
      </c>
      <c r="F1246" s="106">
        <v>0</v>
      </c>
      <c r="G1246" s="106">
        <v>0</v>
      </c>
      <c r="H1246" s="106">
        <v>10552</v>
      </c>
      <c r="I1246" s="106">
        <v>-10552</v>
      </c>
      <c r="J1246" s="106">
        <v>0</v>
      </c>
      <c r="K1246" s="106">
        <v>0</v>
      </c>
      <c r="L1246" s="106">
        <v>0</v>
      </c>
      <c r="M1246" s="106">
        <v>0</v>
      </c>
      <c r="N1246" s="106">
        <v>0</v>
      </c>
    </row>
    <row r="1247" spans="1:14" outlineLevel="2" x14ac:dyDescent="0.35">
      <c r="A1247" s="108" t="s">
        <v>519</v>
      </c>
      <c r="B1247" s="108" t="s">
        <v>204</v>
      </c>
      <c r="C1247" s="106">
        <v>4262</v>
      </c>
      <c r="D1247" s="106">
        <v>0</v>
      </c>
      <c r="E1247" s="106">
        <v>0</v>
      </c>
      <c r="F1247" s="106">
        <v>0</v>
      </c>
      <c r="G1247" s="106">
        <v>0</v>
      </c>
      <c r="H1247" s="106">
        <v>4262</v>
      </c>
      <c r="I1247" s="106">
        <v>-4262</v>
      </c>
      <c r="J1247" s="106">
        <v>0</v>
      </c>
      <c r="K1247" s="106">
        <v>0</v>
      </c>
      <c r="L1247" s="106">
        <v>0</v>
      </c>
      <c r="M1247" s="106">
        <v>0</v>
      </c>
      <c r="N1247" s="106">
        <v>0</v>
      </c>
    </row>
    <row r="1248" spans="1:14" outlineLevel="2" x14ac:dyDescent="0.35">
      <c r="A1248" s="108" t="s">
        <v>519</v>
      </c>
      <c r="B1248" s="108" t="s">
        <v>203</v>
      </c>
      <c r="C1248" s="106">
        <v>9014</v>
      </c>
      <c r="D1248" s="106">
        <v>0</v>
      </c>
      <c r="E1248" s="106">
        <v>0</v>
      </c>
      <c r="F1248" s="106">
        <v>0</v>
      </c>
      <c r="G1248" s="106">
        <v>0</v>
      </c>
      <c r="H1248" s="106">
        <v>9014</v>
      </c>
      <c r="I1248" s="106">
        <v>-9014</v>
      </c>
      <c r="J1248" s="106">
        <v>0</v>
      </c>
      <c r="K1248" s="106">
        <v>0</v>
      </c>
      <c r="L1248" s="106">
        <v>0</v>
      </c>
      <c r="M1248" s="106">
        <v>0</v>
      </c>
      <c r="N1248" s="106">
        <v>0</v>
      </c>
    </row>
    <row r="1249" spans="1:14" outlineLevel="2" x14ac:dyDescent="0.35">
      <c r="A1249" s="108" t="s">
        <v>519</v>
      </c>
      <c r="B1249" s="108" t="s">
        <v>202</v>
      </c>
      <c r="C1249" s="106">
        <v>6689</v>
      </c>
      <c r="D1249" s="106">
        <v>0</v>
      </c>
      <c r="E1249" s="106">
        <v>0</v>
      </c>
      <c r="F1249" s="106">
        <v>0</v>
      </c>
      <c r="G1249" s="106">
        <v>0</v>
      </c>
      <c r="H1249" s="106">
        <v>6689</v>
      </c>
      <c r="I1249" s="106">
        <v>-6689</v>
      </c>
      <c r="J1249" s="106">
        <v>0</v>
      </c>
      <c r="K1249" s="106">
        <v>0</v>
      </c>
      <c r="L1249" s="106">
        <v>0</v>
      </c>
      <c r="M1249" s="106">
        <v>0</v>
      </c>
      <c r="N1249" s="106">
        <v>0</v>
      </c>
    </row>
    <row r="1250" spans="1:14" outlineLevel="2" x14ac:dyDescent="0.35">
      <c r="A1250" s="108" t="s">
        <v>519</v>
      </c>
      <c r="B1250" s="108" t="s">
        <v>201</v>
      </c>
      <c r="C1250" s="106">
        <v>1938</v>
      </c>
      <c r="D1250" s="106">
        <v>0</v>
      </c>
      <c r="E1250" s="106">
        <v>0</v>
      </c>
      <c r="F1250" s="106">
        <v>0</v>
      </c>
      <c r="G1250" s="106">
        <v>0</v>
      </c>
      <c r="H1250" s="106">
        <v>1938</v>
      </c>
      <c r="I1250" s="106">
        <v>-1938</v>
      </c>
      <c r="J1250" s="106">
        <v>0</v>
      </c>
      <c r="K1250" s="106">
        <v>0</v>
      </c>
      <c r="L1250" s="106">
        <v>0</v>
      </c>
      <c r="M1250" s="106">
        <v>0</v>
      </c>
      <c r="N1250" s="106">
        <v>0</v>
      </c>
    </row>
    <row r="1251" spans="1:14" outlineLevel="1" x14ac:dyDescent="0.35">
      <c r="A1251" s="108" t="s">
        <v>519</v>
      </c>
      <c r="B1251" s="108" t="s">
        <v>200</v>
      </c>
      <c r="C1251" s="106">
        <v>3125</v>
      </c>
      <c r="D1251" s="106">
        <v>0</v>
      </c>
      <c r="E1251" s="106">
        <v>0</v>
      </c>
      <c r="F1251" s="106">
        <v>0</v>
      </c>
      <c r="G1251" s="106">
        <v>0</v>
      </c>
      <c r="H1251" s="106">
        <v>3125</v>
      </c>
      <c r="I1251" s="106">
        <v>-3125</v>
      </c>
      <c r="J1251" s="106">
        <v>0</v>
      </c>
      <c r="K1251" s="106">
        <v>0</v>
      </c>
      <c r="L1251" s="106">
        <v>0</v>
      </c>
      <c r="M1251" s="106">
        <v>0</v>
      </c>
      <c r="N1251" s="106">
        <v>0</v>
      </c>
    </row>
    <row r="1252" spans="1:14" ht="15.65" customHeight="1" outlineLevel="1" x14ac:dyDescent="0.35">
      <c r="A1252" s="108" t="s">
        <v>519</v>
      </c>
      <c r="B1252" s="108" t="s">
        <v>199</v>
      </c>
      <c r="C1252" s="106">
        <v>3078</v>
      </c>
      <c r="D1252" s="106">
        <v>0</v>
      </c>
      <c r="E1252" s="106">
        <v>0</v>
      </c>
      <c r="F1252" s="106">
        <v>0</v>
      </c>
      <c r="G1252" s="106">
        <v>0</v>
      </c>
      <c r="H1252" s="106">
        <v>3078</v>
      </c>
      <c r="I1252" s="106">
        <v>-3078</v>
      </c>
      <c r="J1252" s="106">
        <v>0</v>
      </c>
      <c r="K1252" s="106">
        <v>0</v>
      </c>
      <c r="L1252" s="106">
        <v>0</v>
      </c>
      <c r="M1252" s="106">
        <v>0</v>
      </c>
      <c r="N1252" s="106">
        <v>0</v>
      </c>
    </row>
    <row r="1253" spans="1:14" ht="15" customHeight="1" outlineLevel="1" x14ac:dyDescent="0.35">
      <c r="A1253" s="108" t="s">
        <v>519</v>
      </c>
      <c r="B1253" s="108" t="s">
        <v>198</v>
      </c>
      <c r="C1253" s="106">
        <v>24423</v>
      </c>
      <c r="D1253" s="106">
        <v>0</v>
      </c>
      <c r="E1253" s="106">
        <v>0</v>
      </c>
      <c r="F1253" s="106">
        <v>0</v>
      </c>
      <c r="G1253" s="106">
        <v>0</v>
      </c>
      <c r="H1253" s="106">
        <v>24423</v>
      </c>
      <c r="I1253" s="106">
        <v>-24423</v>
      </c>
      <c r="J1253" s="106">
        <v>0</v>
      </c>
      <c r="K1253" s="106">
        <v>0</v>
      </c>
      <c r="L1253" s="106">
        <v>0</v>
      </c>
      <c r="M1253" s="106">
        <v>0</v>
      </c>
      <c r="N1253" s="106">
        <v>0</v>
      </c>
    </row>
    <row r="1254" spans="1:14" outlineLevel="2" x14ac:dyDescent="0.35">
      <c r="A1254" s="108" t="s">
        <v>519</v>
      </c>
      <c r="B1254" s="108" t="s">
        <v>197</v>
      </c>
      <c r="C1254" s="106">
        <v>13795</v>
      </c>
      <c r="D1254" s="106">
        <v>-1714</v>
      </c>
      <c r="E1254" s="106">
        <v>0</v>
      </c>
      <c r="F1254" s="106">
        <v>0</v>
      </c>
      <c r="G1254" s="106">
        <v>0</v>
      </c>
      <c r="H1254" s="106">
        <v>12081</v>
      </c>
      <c r="I1254" s="106">
        <v>-12081</v>
      </c>
      <c r="J1254" s="106">
        <v>0</v>
      </c>
      <c r="K1254" s="106">
        <v>0</v>
      </c>
      <c r="L1254" s="106">
        <v>0</v>
      </c>
      <c r="M1254" s="106">
        <v>0</v>
      </c>
      <c r="N1254" s="106">
        <v>0</v>
      </c>
    </row>
    <row r="1255" spans="1:14" outlineLevel="2" x14ac:dyDescent="0.35">
      <c r="A1255" s="108" t="s">
        <v>519</v>
      </c>
      <c r="B1255" s="108" t="s">
        <v>196</v>
      </c>
      <c r="C1255" s="106">
        <v>55555</v>
      </c>
      <c r="D1255" s="106">
        <v>-716</v>
      </c>
      <c r="E1255" s="106">
        <v>0</v>
      </c>
      <c r="F1255" s="106">
        <v>0</v>
      </c>
      <c r="G1255" s="106">
        <v>0</v>
      </c>
      <c r="H1255" s="106">
        <v>54839</v>
      </c>
      <c r="I1255" s="106">
        <v>-54839</v>
      </c>
      <c r="J1255" s="106">
        <v>0</v>
      </c>
      <c r="K1255" s="106">
        <v>0</v>
      </c>
      <c r="L1255" s="106">
        <v>0</v>
      </c>
      <c r="M1255" s="106">
        <v>0</v>
      </c>
      <c r="N1255" s="106">
        <v>0</v>
      </c>
    </row>
    <row r="1256" spans="1:14" outlineLevel="2" x14ac:dyDescent="0.35">
      <c r="A1256" s="108" t="s">
        <v>519</v>
      </c>
      <c r="B1256" s="108" t="s">
        <v>195</v>
      </c>
      <c r="C1256" s="106">
        <v>11452</v>
      </c>
      <c r="D1256" s="106">
        <v>0</v>
      </c>
      <c r="E1256" s="106">
        <v>0</v>
      </c>
      <c r="F1256" s="106">
        <v>0</v>
      </c>
      <c r="G1256" s="106">
        <v>0</v>
      </c>
      <c r="H1256" s="106">
        <v>11452</v>
      </c>
      <c r="I1256" s="106">
        <v>-11452</v>
      </c>
      <c r="J1256" s="106">
        <v>0</v>
      </c>
      <c r="K1256" s="106">
        <v>0</v>
      </c>
      <c r="L1256" s="106">
        <v>0</v>
      </c>
      <c r="M1256" s="106">
        <v>0</v>
      </c>
      <c r="N1256" s="106">
        <v>0</v>
      </c>
    </row>
    <row r="1257" spans="1:14" outlineLevel="2" x14ac:dyDescent="0.35">
      <c r="A1257" s="108" t="s">
        <v>519</v>
      </c>
      <c r="B1257" s="108" t="s">
        <v>194</v>
      </c>
      <c r="C1257" s="106">
        <v>12706</v>
      </c>
      <c r="D1257" s="106">
        <v>0</v>
      </c>
      <c r="E1257" s="106">
        <v>0</v>
      </c>
      <c r="F1257" s="106">
        <v>0</v>
      </c>
      <c r="G1257" s="106">
        <v>0</v>
      </c>
      <c r="H1257" s="106">
        <v>12706</v>
      </c>
      <c r="I1257" s="106">
        <v>-12706</v>
      </c>
      <c r="J1257" s="106">
        <v>0</v>
      </c>
      <c r="K1257" s="106">
        <v>0</v>
      </c>
      <c r="L1257" s="106">
        <v>0</v>
      </c>
      <c r="M1257" s="106">
        <v>0</v>
      </c>
      <c r="N1257" s="106">
        <v>0</v>
      </c>
    </row>
    <row r="1258" spans="1:14" outlineLevel="2" x14ac:dyDescent="0.35">
      <c r="A1258" s="108" t="s">
        <v>519</v>
      </c>
      <c r="B1258" s="108" t="s">
        <v>193</v>
      </c>
      <c r="C1258" s="106">
        <v>404</v>
      </c>
      <c r="D1258" s="106">
        <v>0</v>
      </c>
      <c r="E1258" s="106">
        <v>0</v>
      </c>
      <c r="F1258" s="106">
        <v>0</v>
      </c>
      <c r="G1258" s="106">
        <v>0</v>
      </c>
      <c r="H1258" s="106">
        <v>404</v>
      </c>
      <c r="I1258" s="106">
        <v>-404</v>
      </c>
      <c r="J1258" s="106">
        <v>0</v>
      </c>
      <c r="K1258" s="106">
        <v>0</v>
      </c>
      <c r="L1258" s="106">
        <v>0</v>
      </c>
      <c r="M1258" s="106">
        <v>0</v>
      </c>
      <c r="N1258" s="106">
        <v>0</v>
      </c>
    </row>
    <row r="1259" spans="1:14" ht="16" outlineLevel="1" thickBot="1" x14ac:dyDescent="0.4">
      <c r="A1259" s="105" t="s">
        <v>398</v>
      </c>
      <c r="B1259" s="79" t="s">
        <v>12</v>
      </c>
      <c r="C1259" s="103">
        <f>SUBTOTAL(109,Program195[(C)
Program
Costs])</f>
        <v>166266</v>
      </c>
      <c r="D1259" s="103">
        <f>SUBTOTAL(109,Program195[(D)
Prior Period Adjustments])</f>
        <v>-2703</v>
      </c>
      <c r="E1259" s="103">
        <f>SUBTOTAL(109,Program195[(E)
Current Period Desk 
Reviews])</f>
        <v>0</v>
      </c>
      <c r="F1259" s="103">
        <f>SUBTOTAL(109,Program195[(F)
Current Period 
Final 
Audits])</f>
        <v>0</v>
      </c>
      <c r="G1259" s="103">
        <f>SUBTOTAL(109,Program195[(G)
Current Period 
Other Adjustments])</f>
        <v>0</v>
      </c>
      <c r="H1259" s="103">
        <f>SUBTOTAL(109,Program195[(H)
Net Program Costs
Sum (C through G)])</f>
        <v>163563</v>
      </c>
      <c r="I1259" s="103">
        <f>SUBTOTAL(109,Program195[(I)
Payments
 and Offsets])</f>
        <v>-159298</v>
      </c>
      <c r="J1259" s="103">
        <f>SUBTOTAL(109,Program195[(J)
Accounts Payable Balance
(H + I)])</f>
        <v>4265</v>
      </c>
      <c r="K1259" s="103">
        <f>SUBTOTAL(109,Program195[(K)
Established 
Accounts Receivable])</f>
        <v>0</v>
      </c>
      <c r="L1259" s="103">
        <f>SUBTOTAL(109,Program195[(L)
Recovered
 Accounts Receivable])</f>
        <v>0</v>
      </c>
      <c r="M1259" s="103">
        <f>SUBTOTAL(109,Program195[(M)
Accounts Receivable Balance
(K + L)])</f>
        <v>0</v>
      </c>
      <c r="N1259" s="103">
        <f>SUBTOTAL(109,Program195[(N)
Net Balance
(J minus M)])</f>
        <v>4265</v>
      </c>
    </row>
    <row r="1260" spans="1:14" ht="15.65" customHeight="1" outlineLevel="1" x14ac:dyDescent="0.35">
      <c r="A1260" s="116" t="s">
        <v>33</v>
      </c>
      <c r="B1260" s="115"/>
      <c r="C1260" s="114"/>
      <c r="D1260" s="114"/>
      <c r="E1260" s="114"/>
      <c r="F1260" s="114"/>
      <c r="G1260" s="114"/>
      <c r="H1260" s="114"/>
      <c r="I1260" s="114"/>
      <c r="J1260" s="114"/>
      <c r="K1260" s="114"/>
      <c r="L1260" s="114"/>
      <c r="M1260" s="114"/>
      <c r="N1260" s="114"/>
    </row>
    <row r="1261" spans="1:14" ht="78.75" customHeight="1" outlineLevel="1" x14ac:dyDescent="0.35">
      <c r="A1261" s="113" t="s">
        <v>185</v>
      </c>
      <c r="B1261" s="112" t="s">
        <v>184</v>
      </c>
      <c r="C1261" s="111" t="s">
        <v>183</v>
      </c>
      <c r="D1261" s="111" t="s">
        <v>182</v>
      </c>
      <c r="E1261" s="111" t="s">
        <v>181</v>
      </c>
      <c r="F1261" s="111" t="s">
        <v>180</v>
      </c>
      <c r="G1261" s="111" t="s">
        <v>179</v>
      </c>
      <c r="H1261" s="110" t="s">
        <v>674</v>
      </c>
      <c r="I1261" s="110" t="s">
        <v>178</v>
      </c>
      <c r="J1261" s="110" t="s">
        <v>177</v>
      </c>
      <c r="K1261" s="111" t="s">
        <v>176</v>
      </c>
      <c r="L1261" s="110" t="s">
        <v>175</v>
      </c>
      <c r="M1261" s="110" t="s">
        <v>174</v>
      </c>
      <c r="N1261" s="109" t="s">
        <v>173</v>
      </c>
    </row>
    <row r="1262" spans="1:14" outlineLevel="2" x14ac:dyDescent="0.35">
      <c r="A1262" s="108" t="s">
        <v>518</v>
      </c>
      <c r="B1262" s="108" t="s">
        <v>215</v>
      </c>
      <c r="C1262" s="106">
        <v>7912</v>
      </c>
      <c r="D1262" s="106">
        <v>0</v>
      </c>
      <c r="E1262" s="106">
        <v>0</v>
      </c>
      <c r="F1262" s="106">
        <v>0</v>
      </c>
      <c r="G1262" s="106">
        <v>0</v>
      </c>
      <c r="H1262" s="106">
        <v>7912</v>
      </c>
      <c r="I1262" s="106">
        <v>0</v>
      </c>
      <c r="J1262" s="106">
        <v>7912</v>
      </c>
      <c r="K1262" s="106">
        <v>0</v>
      </c>
      <c r="L1262" s="106">
        <v>0</v>
      </c>
      <c r="M1262" s="106">
        <v>0</v>
      </c>
      <c r="N1262" s="106">
        <v>7912</v>
      </c>
    </row>
    <row r="1263" spans="1:14" outlineLevel="2" x14ac:dyDescent="0.35">
      <c r="A1263" s="108" t="s">
        <v>518</v>
      </c>
      <c r="B1263" s="108" t="s">
        <v>214</v>
      </c>
      <c r="C1263" s="106">
        <v>19997</v>
      </c>
      <c r="D1263" s="106">
        <v>0</v>
      </c>
      <c r="E1263" s="106">
        <v>0</v>
      </c>
      <c r="F1263" s="106">
        <v>0</v>
      </c>
      <c r="G1263" s="106">
        <v>0</v>
      </c>
      <c r="H1263" s="106">
        <v>19997</v>
      </c>
      <c r="I1263" s="106">
        <v>-1000</v>
      </c>
      <c r="J1263" s="106">
        <v>18997</v>
      </c>
      <c r="K1263" s="106">
        <v>0</v>
      </c>
      <c r="L1263" s="106">
        <v>0</v>
      </c>
      <c r="M1263" s="106">
        <v>0</v>
      </c>
      <c r="N1263" s="106">
        <v>18997</v>
      </c>
    </row>
    <row r="1264" spans="1:14" outlineLevel="2" x14ac:dyDescent="0.35">
      <c r="A1264" s="108" t="s">
        <v>518</v>
      </c>
      <c r="B1264" s="108" t="s">
        <v>212</v>
      </c>
      <c r="C1264" s="106">
        <v>21944</v>
      </c>
      <c r="D1264" s="106">
        <v>0</v>
      </c>
      <c r="E1264" s="106">
        <v>0</v>
      </c>
      <c r="F1264" s="106">
        <v>0</v>
      </c>
      <c r="G1264" s="106">
        <v>0</v>
      </c>
      <c r="H1264" s="106">
        <v>21944</v>
      </c>
      <c r="I1264" s="106">
        <v>-5333</v>
      </c>
      <c r="J1264" s="106">
        <v>16611</v>
      </c>
      <c r="K1264" s="106">
        <v>0</v>
      </c>
      <c r="L1264" s="106">
        <v>0</v>
      </c>
      <c r="M1264" s="106">
        <v>0</v>
      </c>
      <c r="N1264" s="106">
        <v>16611</v>
      </c>
    </row>
    <row r="1265" spans="1:14" outlineLevel="2" x14ac:dyDescent="0.35">
      <c r="A1265" s="108" t="s">
        <v>518</v>
      </c>
      <c r="B1265" s="108" t="s">
        <v>220</v>
      </c>
      <c r="C1265" s="106">
        <v>29638</v>
      </c>
      <c r="D1265" s="106">
        <v>-1208</v>
      </c>
      <c r="E1265" s="106">
        <v>0</v>
      </c>
      <c r="F1265" s="106">
        <v>0</v>
      </c>
      <c r="G1265" s="106">
        <v>0</v>
      </c>
      <c r="H1265" s="106">
        <v>28430</v>
      </c>
      <c r="I1265" s="106">
        <v>-6232</v>
      </c>
      <c r="J1265" s="106">
        <v>22198</v>
      </c>
      <c r="K1265" s="106">
        <v>0</v>
      </c>
      <c r="L1265" s="106">
        <v>0</v>
      </c>
      <c r="M1265" s="106">
        <v>0</v>
      </c>
      <c r="N1265" s="106">
        <v>22198</v>
      </c>
    </row>
    <row r="1266" spans="1:14" outlineLevel="2" x14ac:dyDescent="0.35">
      <c r="A1266" s="108" t="s">
        <v>518</v>
      </c>
      <c r="B1266" s="108" t="s">
        <v>219</v>
      </c>
      <c r="C1266" s="106">
        <v>63370</v>
      </c>
      <c r="D1266" s="106">
        <v>-145</v>
      </c>
      <c r="E1266" s="106">
        <v>0</v>
      </c>
      <c r="F1266" s="106">
        <v>0</v>
      </c>
      <c r="G1266" s="106">
        <v>0</v>
      </c>
      <c r="H1266" s="106">
        <v>63225</v>
      </c>
      <c r="I1266" s="106">
        <v>-18060</v>
      </c>
      <c r="J1266" s="106">
        <v>45165</v>
      </c>
      <c r="K1266" s="106">
        <v>0</v>
      </c>
      <c r="L1266" s="106">
        <v>0</v>
      </c>
      <c r="M1266" s="106">
        <v>0</v>
      </c>
      <c r="N1266" s="106">
        <v>45165</v>
      </c>
    </row>
    <row r="1267" spans="1:14" outlineLevel="2" x14ac:dyDescent="0.35">
      <c r="A1267" s="108" t="s">
        <v>518</v>
      </c>
      <c r="B1267" s="108" t="s">
        <v>218</v>
      </c>
      <c r="C1267" s="106">
        <v>76582</v>
      </c>
      <c r="D1267" s="106">
        <v>0</v>
      </c>
      <c r="E1267" s="106">
        <v>0</v>
      </c>
      <c r="F1267" s="106">
        <v>0</v>
      </c>
      <c r="G1267" s="106">
        <v>0</v>
      </c>
      <c r="H1267" s="106">
        <v>76582</v>
      </c>
      <c r="I1267" s="106">
        <v>-41508</v>
      </c>
      <c r="J1267" s="106">
        <v>35074</v>
      </c>
      <c r="K1267" s="106">
        <v>0</v>
      </c>
      <c r="L1267" s="106">
        <v>0</v>
      </c>
      <c r="M1267" s="106">
        <v>0</v>
      </c>
      <c r="N1267" s="106">
        <v>35074</v>
      </c>
    </row>
    <row r="1268" spans="1:14" outlineLevel="2" x14ac:dyDescent="0.35">
      <c r="A1268" s="108" t="s">
        <v>518</v>
      </c>
      <c r="B1268" s="108" t="s">
        <v>209</v>
      </c>
      <c r="C1268" s="106">
        <v>271059</v>
      </c>
      <c r="D1268" s="106">
        <v>-1499</v>
      </c>
      <c r="E1268" s="106">
        <v>0</v>
      </c>
      <c r="F1268" s="106">
        <v>0</v>
      </c>
      <c r="G1268" s="106">
        <v>0</v>
      </c>
      <c r="H1268" s="106">
        <v>269560</v>
      </c>
      <c r="I1268" s="106">
        <v>-180691</v>
      </c>
      <c r="J1268" s="106">
        <v>88869</v>
      </c>
      <c r="K1268" s="106">
        <v>0</v>
      </c>
      <c r="L1268" s="106">
        <v>0</v>
      </c>
      <c r="M1268" s="106">
        <v>0</v>
      </c>
      <c r="N1268" s="106">
        <v>88869</v>
      </c>
    </row>
    <row r="1269" spans="1:14" outlineLevel="2" x14ac:dyDescent="0.35">
      <c r="A1269" s="108" t="s">
        <v>518</v>
      </c>
      <c r="B1269" s="108" t="s">
        <v>208</v>
      </c>
      <c r="C1269" s="106">
        <v>1513302</v>
      </c>
      <c r="D1269" s="106">
        <v>-38212</v>
      </c>
      <c r="E1269" s="106">
        <v>0</v>
      </c>
      <c r="F1269" s="106">
        <v>0</v>
      </c>
      <c r="G1269" s="106">
        <v>0</v>
      </c>
      <c r="H1269" s="106">
        <v>1475090</v>
      </c>
      <c r="I1269" s="106">
        <v>-1254514</v>
      </c>
      <c r="J1269" s="106">
        <v>220576</v>
      </c>
      <c r="K1269" s="106">
        <v>0</v>
      </c>
      <c r="L1269" s="106">
        <v>0</v>
      </c>
      <c r="M1269" s="106">
        <v>0</v>
      </c>
      <c r="N1269" s="106">
        <v>220576</v>
      </c>
    </row>
    <row r="1270" spans="1:14" outlineLevel="2" x14ac:dyDescent="0.35">
      <c r="A1270" s="108" t="s">
        <v>518</v>
      </c>
      <c r="B1270" s="108" t="s">
        <v>206</v>
      </c>
      <c r="C1270" s="106">
        <v>1560438</v>
      </c>
      <c r="D1270" s="106">
        <v>-13115</v>
      </c>
      <c r="E1270" s="106">
        <v>0</v>
      </c>
      <c r="F1270" s="106">
        <v>0</v>
      </c>
      <c r="G1270" s="106">
        <v>0</v>
      </c>
      <c r="H1270" s="106">
        <v>1547323</v>
      </c>
      <c r="I1270" s="106">
        <v>-1294523</v>
      </c>
      <c r="J1270" s="106">
        <v>252800</v>
      </c>
      <c r="K1270" s="106">
        <v>0</v>
      </c>
      <c r="L1270" s="106">
        <v>0</v>
      </c>
      <c r="M1270" s="106">
        <v>0</v>
      </c>
      <c r="N1270" s="106">
        <v>252800</v>
      </c>
    </row>
    <row r="1271" spans="1:14" outlineLevel="2" x14ac:dyDescent="0.35">
      <c r="A1271" s="108" t="s">
        <v>518</v>
      </c>
      <c r="B1271" s="108" t="s">
        <v>205</v>
      </c>
      <c r="C1271" s="106">
        <v>1601988</v>
      </c>
      <c r="D1271" s="106">
        <v>-61593</v>
      </c>
      <c r="E1271" s="106">
        <v>0</v>
      </c>
      <c r="F1271" s="106">
        <v>0</v>
      </c>
      <c r="G1271" s="106">
        <v>0</v>
      </c>
      <c r="H1271" s="106">
        <v>1540395</v>
      </c>
      <c r="I1271" s="106">
        <v>-1540395</v>
      </c>
      <c r="J1271" s="106">
        <v>0</v>
      </c>
      <c r="K1271" s="106">
        <v>1826</v>
      </c>
      <c r="L1271" s="106">
        <v>-1826</v>
      </c>
      <c r="M1271" s="106">
        <v>0</v>
      </c>
      <c r="N1271" s="106">
        <v>0</v>
      </c>
    </row>
    <row r="1272" spans="1:14" outlineLevel="2" x14ac:dyDescent="0.35">
      <c r="A1272" s="108" t="s">
        <v>518</v>
      </c>
      <c r="B1272" s="108" t="s">
        <v>204</v>
      </c>
      <c r="C1272" s="106">
        <v>1817645</v>
      </c>
      <c r="D1272" s="106">
        <v>-653</v>
      </c>
      <c r="E1272" s="106">
        <v>0</v>
      </c>
      <c r="F1272" s="106">
        <v>0</v>
      </c>
      <c r="G1272" s="106">
        <v>0</v>
      </c>
      <c r="H1272" s="106">
        <v>1816992</v>
      </c>
      <c r="I1272" s="106">
        <v>-1816992</v>
      </c>
      <c r="J1272" s="106">
        <v>0</v>
      </c>
      <c r="K1272" s="106">
        <v>4260</v>
      </c>
      <c r="L1272" s="106">
        <v>-1109</v>
      </c>
      <c r="M1272" s="106">
        <v>3151</v>
      </c>
      <c r="N1272" s="106">
        <v>-3151</v>
      </c>
    </row>
    <row r="1273" spans="1:14" outlineLevel="2" x14ac:dyDescent="0.35">
      <c r="A1273" s="108" t="s">
        <v>518</v>
      </c>
      <c r="B1273" s="108" t="s">
        <v>203</v>
      </c>
      <c r="C1273" s="106">
        <v>1962647</v>
      </c>
      <c r="D1273" s="106">
        <v>-48082</v>
      </c>
      <c r="E1273" s="106">
        <v>0</v>
      </c>
      <c r="F1273" s="106">
        <v>0</v>
      </c>
      <c r="G1273" s="106">
        <v>0</v>
      </c>
      <c r="H1273" s="106">
        <v>1914565</v>
      </c>
      <c r="I1273" s="106">
        <v>-1846192</v>
      </c>
      <c r="J1273" s="106">
        <v>68373</v>
      </c>
      <c r="K1273" s="106">
        <v>2</v>
      </c>
      <c r="L1273" s="106">
        <v>0</v>
      </c>
      <c r="M1273" s="106">
        <v>2</v>
      </c>
      <c r="N1273" s="106">
        <v>68371</v>
      </c>
    </row>
    <row r="1274" spans="1:14" outlineLevel="2" x14ac:dyDescent="0.35">
      <c r="A1274" s="108" t="s">
        <v>518</v>
      </c>
      <c r="B1274" s="108" t="s">
        <v>202</v>
      </c>
      <c r="C1274" s="106">
        <v>1788132</v>
      </c>
      <c r="D1274" s="106">
        <v>-28402</v>
      </c>
      <c r="E1274" s="106">
        <v>0</v>
      </c>
      <c r="F1274" s="106">
        <v>0</v>
      </c>
      <c r="G1274" s="106">
        <v>0</v>
      </c>
      <c r="H1274" s="106">
        <v>1759730</v>
      </c>
      <c r="I1274" s="106">
        <v>-1759730</v>
      </c>
      <c r="J1274" s="106">
        <v>0</v>
      </c>
      <c r="K1274" s="106">
        <v>43451</v>
      </c>
      <c r="L1274" s="106">
        <v>-38616</v>
      </c>
      <c r="M1274" s="106">
        <v>4835</v>
      </c>
      <c r="N1274" s="106">
        <v>-4835</v>
      </c>
    </row>
    <row r="1275" spans="1:14" outlineLevel="2" x14ac:dyDescent="0.35">
      <c r="A1275" s="108" t="s">
        <v>518</v>
      </c>
      <c r="B1275" s="108" t="s">
        <v>201</v>
      </c>
      <c r="C1275" s="106">
        <v>1908356</v>
      </c>
      <c r="D1275" s="106">
        <v>-34311</v>
      </c>
      <c r="E1275" s="106">
        <v>0</v>
      </c>
      <c r="F1275" s="106">
        <v>0</v>
      </c>
      <c r="G1275" s="106">
        <v>0</v>
      </c>
      <c r="H1275" s="106">
        <v>1874045</v>
      </c>
      <c r="I1275" s="106">
        <v>-1874045</v>
      </c>
      <c r="J1275" s="106">
        <v>0</v>
      </c>
      <c r="K1275" s="106">
        <v>0</v>
      </c>
      <c r="L1275" s="106">
        <v>0</v>
      </c>
      <c r="M1275" s="106">
        <v>0</v>
      </c>
      <c r="N1275" s="106">
        <v>0</v>
      </c>
    </row>
    <row r="1276" spans="1:14" outlineLevel="2" x14ac:dyDescent="0.35">
      <c r="A1276" s="108" t="s">
        <v>518</v>
      </c>
      <c r="B1276" s="108" t="s">
        <v>200</v>
      </c>
      <c r="C1276" s="106">
        <v>1664891</v>
      </c>
      <c r="D1276" s="106">
        <v>-19808</v>
      </c>
      <c r="E1276" s="106">
        <v>0</v>
      </c>
      <c r="F1276" s="106">
        <v>0</v>
      </c>
      <c r="G1276" s="106">
        <v>0</v>
      </c>
      <c r="H1276" s="106">
        <v>1645083</v>
      </c>
      <c r="I1276" s="106">
        <v>-1645083</v>
      </c>
      <c r="J1276" s="106">
        <v>0</v>
      </c>
      <c r="K1276" s="106">
        <v>16194</v>
      </c>
      <c r="L1276" s="106">
        <v>-2044</v>
      </c>
      <c r="M1276" s="106">
        <v>14150</v>
      </c>
      <c r="N1276" s="106">
        <v>-14150</v>
      </c>
    </row>
    <row r="1277" spans="1:14" outlineLevel="1" x14ac:dyDescent="0.35">
      <c r="A1277" s="108" t="s">
        <v>518</v>
      </c>
      <c r="B1277" s="108" t="s">
        <v>199</v>
      </c>
      <c r="C1277" s="106">
        <v>2094550</v>
      </c>
      <c r="D1277" s="106">
        <v>-4563</v>
      </c>
      <c r="E1277" s="106">
        <v>0</v>
      </c>
      <c r="F1277" s="106">
        <v>0</v>
      </c>
      <c r="G1277" s="106">
        <v>0</v>
      </c>
      <c r="H1277" s="106">
        <v>2089987</v>
      </c>
      <c r="I1277" s="106">
        <v>-2089987</v>
      </c>
      <c r="J1277" s="106">
        <v>0</v>
      </c>
      <c r="K1277" s="106">
        <v>0</v>
      </c>
      <c r="L1277" s="106">
        <v>0</v>
      </c>
      <c r="M1277" s="106">
        <v>0</v>
      </c>
      <c r="N1277" s="106">
        <v>0</v>
      </c>
    </row>
    <row r="1278" spans="1:14" ht="15.65" customHeight="1" outlineLevel="1" x14ac:dyDescent="0.35">
      <c r="A1278" s="108" t="s">
        <v>518</v>
      </c>
      <c r="B1278" s="108" t="s">
        <v>198</v>
      </c>
      <c r="C1278" s="106">
        <v>2471041</v>
      </c>
      <c r="D1278" s="106">
        <v>-10696</v>
      </c>
      <c r="E1278" s="106">
        <v>0</v>
      </c>
      <c r="F1278" s="106">
        <v>0</v>
      </c>
      <c r="G1278" s="106">
        <v>0</v>
      </c>
      <c r="H1278" s="106">
        <v>2460345</v>
      </c>
      <c r="I1278" s="106">
        <v>-2460345</v>
      </c>
      <c r="J1278" s="106">
        <v>0</v>
      </c>
      <c r="K1278" s="106">
        <v>0</v>
      </c>
      <c r="L1278" s="106">
        <v>0</v>
      </c>
      <c r="M1278" s="106">
        <v>0</v>
      </c>
      <c r="N1278" s="106">
        <v>0</v>
      </c>
    </row>
    <row r="1279" spans="1:14" ht="15" customHeight="1" outlineLevel="1" x14ac:dyDescent="0.35">
      <c r="A1279" s="108" t="s">
        <v>518</v>
      </c>
      <c r="B1279" s="108" t="s">
        <v>197</v>
      </c>
      <c r="C1279" s="106">
        <v>2389222</v>
      </c>
      <c r="D1279" s="106">
        <v>-87746</v>
      </c>
      <c r="E1279" s="106">
        <v>0</v>
      </c>
      <c r="F1279" s="106">
        <v>0</v>
      </c>
      <c r="G1279" s="106">
        <v>0</v>
      </c>
      <c r="H1279" s="106">
        <v>2301476</v>
      </c>
      <c r="I1279" s="106">
        <v>-2301476</v>
      </c>
      <c r="J1279" s="106">
        <v>0</v>
      </c>
      <c r="K1279" s="106">
        <v>299866</v>
      </c>
      <c r="L1279" s="106">
        <v>-299485</v>
      </c>
      <c r="M1279" s="106">
        <v>381</v>
      </c>
      <c r="N1279" s="106">
        <v>-381</v>
      </c>
    </row>
    <row r="1280" spans="1:14" outlineLevel="2" x14ac:dyDescent="0.35">
      <c r="A1280" s="108" t="s">
        <v>518</v>
      </c>
      <c r="B1280" s="108" t="s">
        <v>196</v>
      </c>
      <c r="C1280" s="106">
        <v>2376410</v>
      </c>
      <c r="D1280" s="106">
        <v>-47786</v>
      </c>
      <c r="E1280" s="106">
        <v>0</v>
      </c>
      <c r="F1280" s="106">
        <v>0</v>
      </c>
      <c r="G1280" s="106">
        <v>0</v>
      </c>
      <c r="H1280" s="106">
        <v>2328624</v>
      </c>
      <c r="I1280" s="106">
        <v>-2328624</v>
      </c>
      <c r="J1280" s="106">
        <v>0</v>
      </c>
      <c r="K1280" s="106">
        <v>237134</v>
      </c>
      <c r="L1280" s="106">
        <v>-236756</v>
      </c>
      <c r="M1280" s="106">
        <v>378</v>
      </c>
      <c r="N1280" s="106">
        <v>-378</v>
      </c>
    </row>
    <row r="1281" spans="1:14" outlineLevel="2" x14ac:dyDescent="0.35">
      <c r="A1281" s="108" t="s">
        <v>518</v>
      </c>
      <c r="B1281" s="108" t="s">
        <v>195</v>
      </c>
      <c r="C1281" s="106">
        <v>1784616</v>
      </c>
      <c r="D1281" s="106">
        <v>43591</v>
      </c>
      <c r="E1281" s="106">
        <v>0</v>
      </c>
      <c r="F1281" s="106">
        <v>0</v>
      </c>
      <c r="G1281" s="106">
        <v>0</v>
      </c>
      <c r="H1281" s="106">
        <v>1828207</v>
      </c>
      <c r="I1281" s="106">
        <v>-1828207</v>
      </c>
      <c r="J1281" s="106">
        <v>0</v>
      </c>
      <c r="K1281" s="106">
        <v>296027</v>
      </c>
      <c r="L1281" s="106">
        <v>-296027</v>
      </c>
      <c r="M1281" s="106">
        <v>0</v>
      </c>
      <c r="N1281" s="106">
        <v>0</v>
      </c>
    </row>
    <row r="1282" spans="1:14" outlineLevel="2" x14ac:dyDescent="0.35">
      <c r="A1282" s="108" t="s">
        <v>518</v>
      </c>
      <c r="B1282" s="108" t="s">
        <v>194</v>
      </c>
      <c r="C1282" s="106">
        <v>1584472</v>
      </c>
      <c r="D1282" s="106">
        <v>-9674</v>
      </c>
      <c r="E1282" s="106">
        <v>0</v>
      </c>
      <c r="F1282" s="106">
        <v>0</v>
      </c>
      <c r="G1282" s="106">
        <v>0</v>
      </c>
      <c r="H1282" s="106">
        <v>1574798</v>
      </c>
      <c r="I1282" s="106">
        <v>-1574798</v>
      </c>
      <c r="J1282" s="106">
        <v>0</v>
      </c>
      <c r="K1282" s="106">
        <v>224135</v>
      </c>
      <c r="L1282" s="106">
        <v>-224135</v>
      </c>
      <c r="M1282" s="106">
        <v>0</v>
      </c>
      <c r="N1282" s="106">
        <v>0</v>
      </c>
    </row>
    <row r="1283" spans="1:14" outlineLevel="2" x14ac:dyDescent="0.35">
      <c r="A1283" s="108" t="s">
        <v>518</v>
      </c>
      <c r="B1283" s="108" t="s">
        <v>193</v>
      </c>
      <c r="C1283" s="106">
        <v>1217336</v>
      </c>
      <c r="D1283" s="106">
        <v>-1950</v>
      </c>
      <c r="E1283" s="106">
        <v>0</v>
      </c>
      <c r="F1283" s="106">
        <v>0</v>
      </c>
      <c r="G1283" s="106">
        <v>0</v>
      </c>
      <c r="H1283" s="106">
        <v>1215386</v>
      </c>
      <c r="I1283" s="106">
        <v>-1215386</v>
      </c>
      <c r="J1283" s="106">
        <v>0</v>
      </c>
      <c r="K1283" s="106">
        <v>4419</v>
      </c>
      <c r="L1283" s="106">
        <v>-4419</v>
      </c>
      <c r="M1283" s="106">
        <v>0</v>
      </c>
      <c r="N1283" s="106">
        <v>0</v>
      </c>
    </row>
    <row r="1284" spans="1:14" outlineLevel="2" x14ac:dyDescent="0.35">
      <c r="A1284" s="108" t="s">
        <v>518</v>
      </c>
      <c r="B1284" s="108" t="s">
        <v>192</v>
      </c>
      <c r="C1284" s="106">
        <v>1489775</v>
      </c>
      <c r="D1284" s="106">
        <v>-7851</v>
      </c>
      <c r="E1284" s="106">
        <v>0</v>
      </c>
      <c r="F1284" s="106">
        <v>0</v>
      </c>
      <c r="G1284" s="106">
        <v>0</v>
      </c>
      <c r="H1284" s="106">
        <v>1481924</v>
      </c>
      <c r="I1284" s="106">
        <v>-1481924</v>
      </c>
      <c r="J1284" s="106">
        <v>0</v>
      </c>
      <c r="K1284" s="106">
        <v>349147</v>
      </c>
      <c r="L1284" s="106">
        <v>-349147</v>
      </c>
      <c r="M1284" s="106">
        <v>0</v>
      </c>
      <c r="N1284" s="106">
        <v>0</v>
      </c>
    </row>
    <row r="1285" spans="1:14" outlineLevel="2" x14ac:dyDescent="0.35">
      <c r="A1285" s="108" t="s">
        <v>518</v>
      </c>
      <c r="B1285" s="108" t="s">
        <v>191</v>
      </c>
      <c r="C1285" s="106">
        <v>565781</v>
      </c>
      <c r="D1285" s="106">
        <v>-1055</v>
      </c>
      <c r="E1285" s="106">
        <v>0</v>
      </c>
      <c r="F1285" s="106">
        <v>0</v>
      </c>
      <c r="G1285" s="106">
        <v>0</v>
      </c>
      <c r="H1285" s="106">
        <v>564726</v>
      </c>
      <c r="I1285" s="106">
        <v>-564726</v>
      </c>
      <c r="J1285" s="106">
        <v>0</v>
      </c>
      <c r="K1285" s="106">
        <v>683</v>
      </c>
      <c r="L1285" s="106">
        <v>-683</v>
      </c>
      <c r="M1285" s="106">
        <v>0</v>
      </c>
      <c r="N1285" s="106">
        <v>0</v>
      </c>
    </row>
    <row r="1286" spans="1:14" ht="16" outlineLevel="2" thickBot="1" x14ac:dyDescent="0.4">
      <c r="A1286" s="105" t="s">
        <v>397</v>
      </c>
      <c r="B1286" s="79" t="s">
        <v>12</v>
      </c>
      <c r="C1286" s="103">
        <f>SUBTOTAL(109,Program173[(C)
Program
Costs])</f>
        <v>30281104</v>
      </c>
      <c r="D1286" s="103">
        <f>SUBTOTAL(109,Program173[(D)
Prior Period Adjustments])</f>
        <v>-374758</v>
      </c>
      <c r="E1286" s="103">
        <f>SUBTOTAL(109,Program173[(E)
Current Period Desk 
Reviews])</f>
        <v>0</v>
      </c>
      <c r="F1286" s="103">
        <f>SUBTOTAL(109,Program173[(F)
Current Period 
Final 
Audits])</f>
        <v>0</v>
      </c>
      <c r="G1286" s="103">
        <f>SUBTOTAL(109,Program173[(G)
Current Period 
Other Adjustments])</f>
        <v>0</v>
      </c>
      <c r="H1286" s="103">
        <f>SUBTOTAL(109,Program173[(H)
Net Program Costs
Sum (C through G)])</f>
        <v>29906346</v>
      </c>
      <c r="I1286" s="103">
        <f>SUBTOTAL(109,Program173[(I)
Payments
 and Offsets])</f>
        <v>-29129771</v>
      </c>
      <c r="J1286" s="103">
        <f>SUBTOTAL(109,Program173[(J)
Accounts Payable Balance
(H + I)])</f>
        <v>776575</v>
      </c>
      <c r="K1286" s="103">
        <f>SUBTOTAL(109,Program173[(K)
Established 
Accounts Receivable])</f>
        <v>1477144</v>
      </c>
      <c r="L1286" s="103">
        <f>SUBTOTAL(109,Program173[(L)
Recovered
 Accounts Receivable])</f>
        <v>-1454247</v>
      </c>
      <c r="M1286" s="103">
        <f>SUBTOTAL(109,Program173[(M)
Accounts Receivable Balance
(K + L)])</f>
        <v>22897</v>
      </c>
      <c r="N1286" s="103">
        <f>SUBTOTAL(109,Program173[(N)
Net Balance
(J minus M)])</f>
        <v>753678</v>
      </c>
    </row>
    <row r="1287" spans="1:14" outlineLevel="2" x14ac:dyDescent="0.35">
      <c r="A1287" s="116" t="s">
        <v>33</v>
      </c>
      <c r="B1287" s="115"/>
      <c r="C1287" s="114"/>
      <c r="D1287" s="114"/>
      <c r="E1287" s="114"/>
      <c r="F1287" s="114"/>
      <c r="G1287" s="114"/>
      <c r="H1287" s="114"/>
      <c r="I1287" s="114"/>
      <c r="J1287" s="114"/>
      <c r="K1287" s="114"/>
      <c r="L1287" s="114"/>
      <c r="M1287" s="114"/>
      <c r="N1287" s="114"/>
    </row>
    <row r="1288" spans="1:14" ht="77.5" outlineLevel="2" x14ac:dyDescent="0.35">
      <c r="A1288" s="113" t="s">
        <v>185</v>
      </c>
      <c r="B1288" s="112" t="s">
        <v>184</v>
      </c>
      <c r="C1288" s="111" t="s">
        <v>183</v>
      </c>
      <c r="D1288" s="111" t="s">
        <v>182</v>
      </c>
      <c r="E1288" s="111" t="s">
        <v>181</v>
      </c>
      <c r="F1288" s="111" t="s">
        <v>180</v>
      </c>
      <c r="G1288" s="111" t="s">
        <v>179</v>
      </c>
      <c r="H1288" s="110" t="s">
        <v>674</v>
      </c>
      <c r="I1288" s="110" t="s">
        <v>178</v>
      </c>
      <c r="J1288" s="110" t="s">
        <v>177</v>
      </c>
      <c r="K1288" s="111" t="s">
        <v>176</v>
      </c>
      <c r="L1288" s="110" t="s">
        <v>175</v>
      </c>
      <c r="M1288" s="110" t="s">
        <v>174</v>
      </c>
      <c r="N1288" s="109" t="s">
        <v>173</v>
      </c>
    </row>
    <row r="1289" spans="1:14" outlineLevel="2" x14ac:dyDescent="0.35">
      <c r="A1289" s="108" t="s">
        <v>517</v>
      </c>
      <c r="B1289" s="108" t="s">
        <v>208</v>
      </c>
      <c r="C1289" s="106">
        <v>159665</v>
      </c>
      <c r="D1289" s="106">
        <v>0</v>
      </c>
      <c r="E1289" s="106">
        <v>0</v>
      </c>
      <c r="F1289" s="106">
        <v>0</v>
      </c>
      <c r="G1289" s="106">
        <v>0</v>
      </c>
      <c r="H1289" s="106">
        <v>159665</v>
      </c>
      <c r="I1289" s="106">
        <v>-26698</v>
      </c>
      <c r="J1289" s="106">
        <v>132967</v>
      </c>
      <c r="K1289" s="106">
        <v>0</v>
      </c>
      <c r="L1289" s="106">
        <v>0</v>
      </c>
      <c r="M1289" s="106">
        <v>0</v>
      </c>
      <c r="N1289" s="106">
        <v>132967</v>
      </c>
    </row>
    <row r="1290" spans="1:14" outlineLevel="2" x14ac:dyDescent="0.35">
      <c r="A1290" s="108" t="s">
        <v>517</v>
      </c>
      <c r="B1290" s="108" t="s">
        <v>206</v>
      </c>
      <c r="C1290" s="106">
        <v>201323</v>
      </c>
      <c r="D1290" s="106">
        <v>0</v>
      </c>
      <c r="E1290" s="106">
        <v>0</v>
      </c>
      <c r="F1290" s="106">
        <v>0</v>
      </c>
      <c r="G1290" s="106">
        <v>0</v>
      </c>
      <c r="H1290" s="106">
        <v>201323</v>
      </c>
      <c r="I1290" s="106">
        <v>-12323</v>
      </c>
      <c r="J1290" s="106">
        <v>189000</v>
      </c>
      <c r="K1290" s="106">
        <v>0</v>
      </c>
      <c r="L1290" s="106">
        <v>0</v>
      </c>
      <c r="M1290" s="106">
        <v>0</v>
      </c>
      <c r="N1290" s="106">
        <v>189000</v>
      </c>
    </row>
    <row r="1291" spans="1:14" outlineLevel="2" x14ac:dyDescent="0.35">
      <c r="A1291" s="108" t="s">
        <v>517</v>
      </c>
      <c r="B1291" s="108" t="s">
        <v>205</v>
      </c>
      <c r="C1291" s="106">
        <v>22338</v>
      </c>
      <c r="D1291" s="106">
        <v>-115</v>
      </c>
      <c r="E1291" s="106">
        <v>0</v>
      </c>
      <c r="F1291" s="106">
        <v>0</v>
      </c>
      <c r="G1291" s="106">
        <v>0</v>
      </c>
      <c r="H1291" s="106">
        <v>22223</v>
      </c>
      <c r="I1291" s="106">
        <v>-5219</v>
      </c>
      <c r="J1291" s="106">
        <v>17004</v>
      </c>
      <c r="K1291" s="106">
        <v>0</v>
      </c>
      <c r="L1291" s="106">
        <v>0</v>
      </c>
      <c r="M1291" s="106">
        <v>0</v>
      </c>
      <c r="N1291" s="106">
        <v>17004</v>
      </c>
    </row>
    <row r="1292" spans="1:14" outlineLevel="2" x14ac:dyDescent="0.35">
      <c r="A1292" s="108" t="s">
        <v>517</v>
      </c>
      <c r="B1292" s="108" t="s">
        <v>204</v>
      </c>
      <c r="C1292" s="106">
        <v>89256</v>
      </c>
      <c r="D1292" s="106">
        <v>0</v>
      </c>
      <c r="E1292" s="106">
        <v>0</v>
      </c>
      <c r="F1292" s="106">
        <v>0</v>
      </c>
      <c r="G1292" s="106">
        <v>0</v>
      </c>
      <c r="H1292" s="106">
        <v>89256</v>
      </c>
      <c r="I1292" s="106">
        <v>-89256</v>
      </c>
      <c r="J1292" s="106">
        <v>0</v>
      </c>
      <c r="K1292" s="106">
        <v>0</v>
      </c>
      <c r="L1292" s="106">
        <v>0</v>
      </c>
      <c r="M1292" s="106">
        <v>0</v>
      </c>
      <c r="N1292" s="106">
        <v>0</v>
      </c>
    </row>
    <row r="1293" spans="1:14" outlineLevel="2" x14ac:dyDescent="0.35">
      <c r="A1293" s="108" t="s">
        <v>517</v>
      </c>
      <c r="B1293" s="108" t="s">
        <v>203</v>
      </c>
      <c r="C1293" s="106">
        <v>150888</v>
      </c>
      <c r="D1293" s="106">
        <v>0</v>
      </c>
      <c r="E1293" s="106">
        <v>0</v>
      </c>
      <c r="F1293" s="106">
        <v>0</v>
      </c>
      <c r="G1293" s="106">
        <v>0</v>
      </c>
      <c r="H1293" s="106">
        <v>150888</v>
      </c>
      <c r="I1293" s="106">
        <v>-150888</v>
      </c>
      <c r="J1293" s="106">
        <v>0</v>
      </c>
      <c r="K1293" s="106">
        <v>0</v>
      </c>
      <c r="L1293" s="106">
        <v>0</v>
      </c>
      <c r="M1293" s="106">
        <v>0</v>
      </c>
      <c r="N1293" s="106">
        <v>0</v>
      </c>
    </row>
    <row r="1294" spans="1:14" outlineLevel="1" x14ac:dyDescent="0.35">
      <c r="A1294" s="108" t="s">
        <v>517</v>
      </c>
      <c r="B1294" s="108" t="s">
        <v>202</v>
      </c>
      <c r="C1294" s="106">
        <v>52810</v>
      </c>
      <c r="D1294" s="106">
        <v>0</v>
      </c>
      <c r="E1294" s="106">
        <v>0</v>
      </c>
      <c r="F1294" s="106">
        <v>0</v>
      </c>
      <c r="G1294" s="106">
        <v>0</v>
      </c>
      <c r="H1294" s="106">
        <v>52810</v>
      </c>
      <c r="I1294" s="106">
        <v>-52810</v>
      </c>
      <c r="J1294" s="106">
        <v>0</v>
      </c>
      <c r="K1294" s="106">
        <v>0</v>
      </c>
      <c r="L1294" s="106">
        <v>0</v>
      </c>
      <c r="M1294" s="106">
        <v>0</v>
      </c>
      <c r="N1294" s="106">
        <v>0</v>
      </c>
    </row>
    <row r="1295" spans="1:14" ht="15.65" customHeight="1" outlineLevel="1" x14ac:dyDescent="0.35">
      <c r="A1295" s="108" t="s">
        <v>517</v>
      </c>
      <c r="B1295" s="108" t="s">
        <v>201</v>
      </c>
      <c r="C1295" s="106">
        <v>6121</v>
      </c>
      <c r="D1295" s="106">
        <v>0</v>
      </c>
      <c r="E1295" s="106">
        <v>0</v>
      </c>
      <c r="F1295" s="106">
        <v>0</v>
      </c>
      <c r="G1295" s="106">
        <v>0</v>
      </c>
      <c r="H1295" s="106">
        <v>6121</v>
      </c>
      <c r="I1295" s="106">
        <v>-6121</v>
      </c>
      <c r="J1295" s="106">
        <v>0</v>
      </c>
      <c r="K1295" s="106">
        <v>0</v>
      </c>
      <c r="L1295" s="106">
        <v>0</v>
      </c>
      <c r="M1295" s="106">
        <v>0</v>
      </c>
      <c r="N1295" s="106">
        <v>0</v>
      </c>
    </row>
    <row r="1296" spans="1:14" ht="15" customHeight="1" outlineLevel="1" x14ac:dyDescent="0.35">
      <c r="A1296" s="108" t="s">
        <v>517</v>
      </c>
      <c r="B1296" s="108" t="s">
        <v>200</v>
      </c>
      <c r="C1296" s="106">
        <v>52254</v>
      </c>
      <c r="D1296" s="106">
        <v>0</v>
      </c>
      <c r="E1296" s="106">
        <v>0</v>
      </c>
      <c r="F1296" s="106">
        <v>0</v>
      </c>
      <c r="G1296" s="106">
        <v>0</v>
      </c>
      <c r="H1296" s="106">
        <v>52254</v>
      </c>
      <c r="I1296" s="106">
        <v>-52254</v>
      </c>
      <c r="J1296" s="106">
        <v>0</v>
      </c>
      <c r="K1296" s="106">
        <v>0</v>
      </c>
      <c r="L1296" s="106">
        <v>0</v>
      </c>
      <c r="M1296" s="106">
        <v>0</v>
      </c>
      <c r="N1296" s="106">
        <v>0</v>
      </c>
    </row>
    <row r="1297" spans="1:14" outlineLevel="2" x14ac:dyDescent="0.35">
      <c r="A1297" s="108" t="s">
        <v>517</v>
      </c>
      <c r="B1297" s="108" t="s">
        <v>199</v>
      </c>
      <c r="C1297" s="106">
        <v>117173</v>
      </c>
      <c r="D1297" s="106">
        <v>0</v>
      </c>
      <c r="E1297" s="106">
        <v>0</v>
      </c>
      <c r="F1297" s="106">
        <v>0</v>
      </c>
      <c r="G1297" s="106">
        <v>0</v>
      </c>
      <c r="H1297" s="106">
        <v>117173</v>
      </c>
      <c r="I1297" s="106">
        <v>-117173</v>
      </c>
      <c r="J1297" s="106">
        <v>0</v>
      </c>
      <c r="K1297" s="106">
        <v>0</v>
      </c>
      <c r="L1297" s="106">
        <v>0</v>
      </c>
      <c r="M1297" s="106">
        <v>0</v>
      </c>
      <c r="N1297" s="106">
        <v>0</v>
      </c>
    </row>
    <row r="1298" spans="1:14" ht="15.65" customHeight="1" outlineLevel="1" thickBot="1" x14ac:dyDescent="0.4">
      <c r="A1298" s="105" t="s">
        <v>396</v>
      </c>
      <c r="B1298" s="79" t="s">
        <v>12</v>
      </c>
      <c r="C1298" s="103">
        <f>SUBTOTAL(109,Program304[(C)
Program
Costs])</f>
        <v>851828</v>
      </c>
      <c r="D1298" s="103">
        <f>SUBTOTAL(109,Program304[(D)
Prior Period Adjustments])</f>
        <v>-115</v>
      </c>
      <c r="E1298" s="103">
        <f>SUBTOTAL(109,Program304[(E)
Current Period Desk 
Reviews])</f>
        <v>0</v>
      </c>
      <c r="F1298" s="103">
        <f>SUBTOTAL(109,Program304[(F)
Current Period 
Final 
Audits])</f>
        <v>0</v>
      </c>
      <c r="G1298" s="103">
        <f>SUBTOTAL(109,Program304[(G)
Current Period 
Other Adjustments])</f>
        <v>0</v>
      </c>
      <c r="H1298" s="103">
        <f>SUBTOTAL(109,Program304[(H)
Net Program Costs
Sum (C through G)])</f>
        <v>851713</v>
      </c>
      <c r="I1298" s="103">
        <f>SUBTOTAL(109,Program304[(I)
Payments
 and Offsets])</f>
        <v>-512742</v>
      </c>
      <c r="J1298" s="103">
        <f>SUBTOTAL(109,Program304[(J)
Accounts Payable Balance
(H + I)])</f>
        <v>338971</v>
      </c>
      <c r="K1298" s="103">
        <f>SUBTOTAL(109,Program304[(K)
Established 
Accounts Receivable])</f>
        <v>0</v>
      </c>
      <c r="L1298" s="103">
        <f>SUBTOTAL(109,Program304[(L)
Recovered
 Accounts Receivable])</f>
        <v>0</v>
      </c>
      <c r="M1298" s="103">
        <f>SUBTOTAL(109,Program304[(M)
Accounts Receivable Balance
(K + L)])</f>
        <v>0</v>
      </c>
      <c r="N1298" s="103">
        <f>SUBTOTAL(109,Program304[(N)
Net Balance
(J minus M)])</f>
        <v>338971</v>
      </c>
    </row>
    <row r="1299" spans="1:14" ht="15" customHeight="1" outlineLevel="1" x14ac:dyDescent="0.35">
      <c r="A1299" s="116" t="s">
        <v>33</v>
      </c>
      <c r="B1299" s="115"/>
      <c r="C1299" s="114"/>
      <c r="D1299" s="114"/>
      <c r="E1299" s="114"/>
      <c r="F1299" s="114"/>
      <c r="G1299" s="114"/>
      <c r="H1299" s="114"/>
      <c r="I1299" s="114"/>
      <c r="J1299" s="114"/>
      <c r="K1299" s="114"/>
      <c r="L1299" s="114"/>
      <c r="M1299" s="114"/>
      <c r="N1299" s="114"/>
    </row>
    <row r="1300" spans="1:14" ht="77.5" outlineLevel="2" x14ac:dyDescent="0.35">
      <c r="A1300" s="113" t="s">
        <v>185</v>
      </c>
      <c r="B1300" s="112" t="s">
        <v>184</v>
      </c>
      <c r="C1300" s="111" t="s">
        <v>183</v>
      </c>
      <c r="D1300" s="111" t="s">
        <v>182</v>
      </c>
      <c r="E1300" s="111" t="s">
        <v>181</v>
      </c>
      <c r="F1300" s="111" t="s">
        <v>180</v>
      </c>
      <c r="G1300" s="111" t="s">
        <v>179</v>
      </c>
      <c r="H1300" s="110" t="s">
        <v>674</v>
      </c>
      <c r="I1300" s="110" t="s">
        <v>178</v>
      </c>
      <c r="J1300" s="110" t="s">
        <v>177</v>
      </c>
      <c r="K1300" s="111" t="s">
        <v>176</v>
      </c>
      <c r="L1300" s="110" t="s">
        <v>175</v>
      </c>
      <c r="M1300" s="110" t="s">
        <v>174</v>
      </c>
      <c r="N1300" s="109" t="s">
        <v>173</v>
      </c>
    </row>
    <row r="1301" spans="1:14" outlineLevel="1" x14ac:dyDescent="0.35">
      <c r="A1301" s="108" t="s">
        <v>516</v>
      </c>
      <c r="B1301" s="108" t="s">
        <v>218</v>
      </c>
      <c r="C1301" s="106">
        <v>2455</v>
      </c>
      <c r="D1301" s="106">
        <v>0</v>
      </c>
      <c r="E1301" s="106">
        <v>0</v>
      </c>
      <c r="F1301" s="106">
        <v>0</v>
      </c>
      <c r="G1301" s="106">
        <v>0</v>
      </c>
      <c r="H1301" s="106">
        <v>2455</v>
      </c>
      <c r="I1301" s="106">
        <v>-2455</v>
      </c>
      <c r="J1301" s="106">
        <v>0</v>
      </c>
      <c r="K1301" s="106">
        <v>0</v>
      </c>
      <c r="L1301" s="106">
        <v>0</v>
      </c>
      <c r="M1301" s="106">
        <v>0</v>
      </c>
      <c r="N1301" s="106">
        <v>0</v>
      </c>
    </row>
    <row r="1302" spans="1:14" ht="15.65" customHeight="1" outlineLevel="1" x14ac:dyDescent="0.35">
      <c r="A1302" s="108" t="s">
        <v>516</v>
      </c>
      <c r="B1302" s="108" t="s">
        <v>209</v>
      </c>
      <c r="C1302" s="106">
        <v>3331</v>
      </c>
      <c r="D1302" s="106">
        <v>0</v>
      </c>
      <c r="E1302" s="106">
        <v>0</v>
      </c>
      <c r="F1302" s="106">
        <v>0</v>
      </c>
      <c r="G1302" s="106">
        <v>0</v>
      </c>
      <c r="H1302" s="106">
        <v>3331</v>
      </c>
      <c r="I1302" s="106">
        <v>-1000</v>
      </c>
      <c r="J1302" s="106">
        <v>2331</v>
      </c>
      <c r="K1302" s="106">
        <v>0</v>
      </c>
      <c r="L1302" s="106">
        <v>0</v>
      </c>
      <c r="M1302" s="106">
        <v>0</v>
      </c>
      <c r="N1302" s="106">
        <v>2331</v>
      </c>
    </row>
    <row r="1303" spans="1:14" ht="15" customHeight="1" outlineLevel="1" x14ac:dyDescent="0.35">
      <c r="A1303" s="108" t="s">
        <v>516</v>
      </c>
      <c r="B1303" s="108" t="s">
        <v>208</v>
      </c>
      <c r="C1303" s="106">
        <v>30695</v>
      </c>
      <c r="D1303" s="106">
        <v>0</v>
      </c>
      <c r="E1303" s="106">
        <v>0</v>
      </c>
      <c r="F1303" s="106">
        <v>0</v>
      </c>
      <c r="G1303" s="106">
        <v>0</v>
      </c>
      <c r="H1303" s="106">
        <v>30695</v>
      </c>
      <c r="I1303" s="106">
        <v>-27192</v>
      </c>
      <c r="J1303" s="106">
        <v>3503</v>
      </c>
      <c r="K1303" s="106">
        <v>0</v>
      </c>
      <c r="L1303" s="106">
        <v>0</v>
      </c>
      <c r="M1303" s="106">
        <v>0</v>
      </c>
      <c r="N1303" s="106">
        <v>3503</v>
      </c>
    </row>
    <row r="1304" spans="1:14" outlineLevel="2" x14ac:dyDescent="0.35">
      <c r="A1304" s="108" t="s">
        <v>516</v>
      </c>
      <c r="B1304" s="108" t="s">
        <v>206</v>
      </c>
      <c r="C1304" s="106">
        <v>17779</v>
      </c>
      <c r="D1304" s="106">
        <v>0</v>
      </c>
      <c r="E1304" s="106">
        <v>0</v>
      </c>
      <c r="F1304" s="106">
        <v>0</v>
      </c>
      <c r="G1304" s="106">
        <v>0</v>
      </c>
      <c r="H1304" s="106">
        <v>17779</v>
      </c>
      <c r="I1304" s="106">
        <v>-17779</v>
      </c>
      <c r="J1304" s="106">
        <v>0</v>
      </c>
      <c r="K1304" s="106">
        <v>0</v>
      </c>
      <c r="L1304" s="106">
        <v>0</v>
      </c>
      <c r="M1304" s="106">
        <v>0</v>
      </c>
      <c r="N1304" s="106">
        <v>0</v>
      </c>
    </row>
    <row r="1305" spans="1:14" outlineLevel="2" x14ac:dyDescent="0.35">
      <c r="A1305" s="108" t="s">
        <v>516</v>
      </c>
      <c r="B1305" s="108" t="s">
        <v>205</v>
      </c>
      <c r="C1305" s="106">
        <v>17399</v>
      </c>
      <c r="D1305" s="106">
        <v>0</v>
      </c>
      <c r="E1305" s="106">
        <v>0</v>
      </c>
      <c r="F1305" s="106">
        <v>0</v>
      </c>
      <c r="G1305" s="106">
        <v>0</v>
      </c>
      <c r="H1305" s="106">
        <v>17399</v>
      </c>
      <c r="I1305" s="106">
        <v>-17399</v>
      </c>
      <c r="J1305" s="106">
        <v>0</v>
      </c>
      <c r="K1305" s="106">
        <v>0</v>
      </c>
      <c r="L1305" s="106">
        <v>0</v>
      </c>
      <c r="M1305" s="106">
        <v>0</v>
      </c>
      <c r="N1305" s="106">
        <v>0</v>
      </c>
    </row>
    <row r="1306" spans="1:14" outlineLevel="1" x14ac:dyDescent="0.35">
      <c r="A1306" s="108" t="s">
        <v>516</v>
      </c>
      <c r="B1306" s="108" t="s">
        <v>204</v>
      </c>
      <c r="C1306" s="106">
        <v>33394</v>
      </c>
      <c r="D1306" s="106">
        <v>0</v>
      </c>
      <c r="E1306" s="106">
        <v>0</v>
      </c>
      <c r="F1306" s="106">
        <v>0</v>
      </c>
      <c r="G1306" s="106">
        <v>0</v>
      </c>
      <c r="H1306" s="106">
        <v>33394</v>
      </c>
      <c r="I1306" s="106">
        <v>-32132</v>
      </c>
      <c r="J1306" s="106">
        <v>1262</v>
      </c>
      <c r="K1306" s="106">
        <v>0</v>
      </c>
      <c r="L1306" s="106">
        <v>0</v>
      </c>
      <c r="M1306" s="106">
        <v>0</v>
      </c>
      <c r="N1306" s="106">
        <v>1262</v>
      </c>
    </row>
    <row r="1307" spans="1:14" ht="15.65" customHeight="1" outlineLevel="1" x14ac:dyDescent="0.35">
      <c r="A1307" s="108" t="s">
        <v>516</v>
      </c>
      <c r="B1307" s="108" t="s">
        <v>203</v>
      </c>
      <c r="C1307" s="106">
        <v>52155</v>
      </c>
      <c r="D1307" s="106">
        <v>0</v>
      </c>
      <c r="E1307" s="106">
        <v>0</v>
      </c>
      <c r="F1307" s="106">
        <v>0</v>
      </c>
      <c r="G1307" s="106">
        <v>0</v>
      </c>
      <c r="H1307" s="106">
        <v>52155</v>
      </c>
      <c r="I1307" s="106">
        <v>-50686</v>
      </c>
      <c r="J1307" s="106">
        <v>1469</v>
      </c>
      <c r="K1307" s="106">
        <v>0</v>
      </c>
      <c r="L1307" s="106">
        <v>0</v>
      </c>
      <c r="M1307" s="106">
        <v>0</v>
      </c>
      <c r="N1307" s="106">
        <v>1469</v>
      </c>
    </row>
    <row r="1308" spans="1:14" ht="15" customHeight="1" outlineLevel="1" x14ac:dyDescent="0.35">
      <c r="A1308" s="108" t="s">
        <v>516</v>
      </c>
      <c r="B1308" s="108" t="s">
        <v>202</v>
      </c>
      <c r="C1308" s="106">
        <v>51925</v>
      </c>
      <c r="D1308" s="106">
        <v>0</v>
      </c>
      <c r="E1308" s="106">
        <v>0</v>
      </c>
      <c r="F1308" s="106">
        <v>0</v>
      </c>
      <c r="G1308" s="106">
        <v>0</v>
      </c>
      <c r="H1308" s="106">
        <v>51925</v>
      </c>
      <c r="I1308" s="106">
        <v>-51925</v>
      </c>
      <c r="J1308" s="106">
        <v>0</v>
      </c>
      <c r="K1308" s="106">
        <v>0</v>
      </c>
      <c r="L1308" s="106">
        <v>0</v>
      </c>
      <c r="M1308" s="106">
        <v>0</v>
      </c>
      <c r="N1308" s="106">
        <v>0</v>
      </c>
    </row>
    <row r="1309" spans="1:14" outlineLevel="2" x14ac:dyDescent="0.35">
      <c r="A1309" s="108" t="s">
        <v>516</v>
      </c>
      <c r="B1309" s="108" t="s">
        <v>201</v>
      </c>
      <c r="C1309" s="106">
        <v>43853</v>
      </c>
      <c r="D1309" s="106">
        <v>0</v>
      </c>
      <c r="E1309" s="106">
        <v>0</v>
      </c>
      <c r="F1309" s="106">
        <v>0</v>
      </c>
      <c r="G1309" s="106">
        <v>0</v>
      </c>
      <c r="H1309" s="106">
        <v>43853</v>
      </c>
      <c r="I1309" s="106">
        <v>-43853</v>
      </c>
      <c r="J1309" s="106">
        <v>0</v>
      </c>
      <c r="K1309" s="106">
        <v>0</v>
      </c>
      <c r="L1309" s="106">
        <v>0</v>
      </c>
      <c r="M1309" s="106">
        <v>0</v>
      </c>
      <c r="N1309" s="106">
        <v>0</v>
      </c>
    </row>
    <row r="1310" spans="1:14" outlineLevel="2" x14ac:dyDescent="0.35">
      <c r="A1310" s="108" t="s">
        <v>516</v>
      </c>
      <c r="B1310" s="108" t="s">
        <v>200</v>
      </c>
      <c r="C1310" s="106">
        <v>34552</v>
      </c>
      <c r="D1310" s="106">
        <v>0</v>
      </c>
      <c r="E1310" s="106">
        <v>0</v>
      </c>
      <c r="F1310" s="106">
        <v>0</v>
      </c>
      <c r="G1310" s="106">
        <v>0</v>
      </c>
      <c r="H1310" s="106">
        <v>34552</v>
      </c>
      <c r="I1310" s="106">
        <v>-32163</v>
      </c>
      <c r="J1310" s="106">
        <v>2389</v>
      </c>
      <c r="K1310" s="106">
        <v>0</v>
      </c>
      <c r="L1310" s="106">
        <v>0</v>
      </c>
      <c r="M1310" s="106">
        <v>0</v>
      </c>
      <c r="N1310" s="106">
        <v>2389</v>
      </c>
    </row>
    <row r="1311" spans="1:14" outlineLevel="1" x14ac:dyDescent="0.35">
      <c r="A1311" s="108" t="s">
        <v>516</v>
      </c>
      <c r="B1311" s="108" t="s">
        <v>199</v>
      </c>
      <c r="C1311" s="106">
        <v>25928</v>
      </c>
      <c r="D1311" s="106">
        <v>0</v>
      </c>
      <c r="E1311" s="106">
        <v>0</v>
      </c>
      <c r="F1311" s="106">
        <v>0</v>
      </c>
      <c r="G1311" s="106">
        <v>0</v>
      </c>
      <c r="H1311" s="106">
        <v>25928</v>
      </c>
      <c r="I1311" s="106">
        <v>-25928</v>
      </c>
      <c r="J1311" s="106">
        <v>0</v>
      </c>
      <c r="K1311" s="106">
        <v>0</v>
      </c>
      <c r="L1311" s="106">
        <v>0</v>
      </c>
      <c r="M1311" s="106">
        <v>0</v>
      </c>
      <c r="N1311" s="106">
        <v>0</v>
      </c>
    </row>
    <row r="1312" spans="1:14" ht="15.65" customHeight="1" outlineLevel="1" x14ac:dyDescent="0.35">
      <c r="A1312" s="108" t="s">
        <v>516</v>
      </c>
      <c r="B1312" s="108" t="s">
        <v>198</v>
      </c>
      <c r="C1312" s="106">
        <v>35450</v>
      </c>
      <c r="D1312" s="106">
        <v>0</v>
      </c>
      <c r="E1312" s="106">
        <v>0</v>
      </c>
      <c r="F1312" s="106">
        <v>0</v>
      </c>
      <c r="G1312" s="106">
        <v>0</v>
      </c>
      <c r="H1312" s="106">
        <v>35450</v>
      </c>
      <c r="I1312" s="106">
        <v>-35450</v>
      </c>
      <c r="J1312" s="106">
        <v>0</v>
      </c>
      <c r="K1312" s="106">
        <v>0</v>
      </c>
      <c r="L1312" s="106">
        <v>0</v>
      </c>
      <c r="M1312" s="106">
        <v>0</v>
      </c>
      <c r="N1312" s="106">
        <v>0</v>
      </c>
    </row>
    <row r="1313" spans="1:14" ht="15" customHeight="1" outlineLevel="1" x14ac:dyDescent="0.35">
      <c r="A1313" s="108" t="s">
        <v>516</v>
      </c>
      <c r="B1313" s="108" t="s">
        <v>197</v>
      </c>
      <c r="C1313" s="106">
        <v>19123</v>
      </c>
      <c r="D1313" s="106">
        <v>0</v>
      </c>
      <c r="E1313" s="106">
        <v>0</v>
      </c>
      <c r="F1313" s="106">
        <v>0</v>
      </c>
      <c r="G1313" s="106">
        <v>0</v>
      </c>
      <c r="H1313" s="106">
        <v>19123</v>
      </c>
      <c r="I1313" s="106">
        <v>-19123</v>
      </c>
      <c r="J1313" s="106">
        <v>0</v>
      </c>
      <c r="K1313" s="106">
        <v>0</v>
      </c>
      <c r="L1313" s="106">
        <v>0</v>
      </c>
      <c r="M1313" s="106">
        <v>0</v>
      </c>
      <c r="N1313" s="106">
        <v>0</v>
      </c>
    </row>
    <row r="1314" spans="1:14" ht="16" outlineLevel="2" thickBot="1" x14ac:dyDescent="0.4">
      <c r="A1314" s="105" t="s">
        <v>395</v>
      </c>
      <c r="B1314" s="79" t="s">
        <v>12</v>
      </c>
      <c r="C1314" s="103">
        <f>SUBTOTAL(109,Program335[(C)
Program
Costs])</f>
        <v>368039</v>
      </c>
      <c r="D1314" s="103">
        <f>SUBTOTAL(109,Program335[(D)
Prior Period Adjustments])</f>
        <v>0</v>
      </c>
      <c r="E1314" s="103">
        <f>SUBTOTAL(109,Program335[(E)
Current Period Desk 
Reviews])</f>
        <v>0</v>
      </c>
      <c r="F1314" s="103">
        <f>SUBTOTAL(109,Program335[(F)
Current Period 
Final 
Audits])</f>
        <v>0</v>
      </c>
      <c r="G1314" s="103">
        <f>SUBTOTAL(109,Program335[(G)
Current Period 
Other Adjustments])</f>
        <v>0</v>
      </c>
      <c r="H1314" s="103">
        <f>SUBTOTAL(109,Program335[(H)
Net Program Costs
Sum (C through G)])</f>
        <v>368039</v>
      </c>
      <c r="I1314" s="103">
        <f>SUBTOTAL(109,Program335[(I)
Payments
 and Offsets])</f>
        <v>-357085</v>
      </c>
      <c r="J1314" s="103">
        <f>SUBTOTAL(109,Program335[(J)
Accounts Payable Balance
(H + I)])</f>
        <v>10954</v>
      </c>
      <c r="K1314" s="103">
        <f>SUBTOTAL(109,Program335[(K)
Established 
Accounts Receivable])</f>
        <v>0</v>
      </c>
      <c r="L1314" s="103">
        <f>SUBTOTAL(109,Program335[(L)
Recovered
 Accounts Receivable])</f>
        <v>0</v>
      </c>
      <c r="M1314" s="103">
        <f>SUBTOTAL(109,Program335[(M)
Accounts Receivable Balance
(K + L)])</f>
        <v>0</v>
      </c>
      <c r="N1314" s="103">
        <f>SUBTOTAL(109,Program335[(N)
Net Balance
(J minus M)])</f>
        <v>10954</v>
      </c>
    </row>
    <row r="1315" spans="1:14" outlineLevel="2" x14ac:dyDescent="0.35">
      <c r="A1315" s="116" t="s">
        <v>33</v>
      </c>
      <c r="B1315" s="115"/>
      <c r="C1315" s="114"/>
      <c r="D1315" s="114"/>
      <c r="E1315" s="114"/>
      <c r="F1315" s="114"/>
      <c r="G1315" s="114"/>
      <c r="H1315" s="114"/>
      <c r="I1315" s="114"/>
      <c r="J1315" s="114"/>
      <c r="K1315" s="114"/>
      <c r="L1315" s="114"/>
      <c r="M1315" s="114"/>
      <c r="N1315" s="114"/>
    </row>
    <row r="1316" spans="1:14" ht="77.5" outlineLevel="2" x14ac:dyDescent="0.35">
      <c r="A1316" s="113" t="s">
        <v>185</v>
      </c>
      <c r="B1316" s="112" t="s">
        <v>184</v>
      </c>
      <c r="C1316" s="111" t="s">
        <v>183</v>
      </c>
      <c r="D1316" s="111" t="s">
        <v>182</v>
      </c>
      <c r="E1316" s="111" t="s">
        <v>181</v>
      </c>
      <c r="F1316" s="111" t="s">
        <v>180</v>
      </c>
      <c r="G1316" s="111" t="s">
        <v>179</v>
      </c>
      <c r="H1316" s="110" t="s">
        <v>674</v>
      </c>
      <c r="I1316" s="110" t="s">
        <v>178</v>
      </c>
      <c r="J1316" s="110" t="s">
        <v>177</v>
      </c>
      <c r="K1316" s="111" t="s">
        <v>176</v>
      </c>
      <c r="L1316" s="110" t="s">
        <v>175</v>
      </c>
      <c r="M1316" s="110" t="s">
        <v>174</v>
      </c>
      <c r="N1316" s="109" t="s">
        <v>173</v>
      </c>
    </row>
    <row r="1317" spans="1:14" ht="15.5" customHeight="1" outlineLevel="2" x14ac:dyDescent="0.35">
      <c r="A1317" s="77" t="s">
        <v>515</v>
      </c>
      <c r="B1317" s="108" t="s">
        <v>202</v>
      </c>
      <c r="C1317" s="106">
        <v>48961</v>
      </c>
      <c r="D1317" s="106">
        <v>-48961</v>
      </c>
      <c r="E1317" s="106">
        <v>0</v>
      </c>
      <c r="F1317" s="106">
        <v>0</v>
      </c>
      <c r="G1317" s="106">
        <v>0</v>
      </c>
      <c r="H1317" s="106">
        <v>0</v>
      </c>
      <c r="I1317" s="106">
        <v>0</v>
      </c>
      <c r="J1317" s="106">
        <v>0</v>
      </c>
      <c r="K1317" s="106">
        <v>0</v>
      </c>
      <c r="L1317" s="106">
        <v>0</v>
      </c>
      <c r="M1317" s="106">
        <v>0</v>
      </c>
      <c r="N1317" s="106">
        <v>0</v>
      </c>
    </row>
    <row r="1318" spans="1:14" ht="15.5" customHeight="1" outlineLevel="2" x14ac:dyDescent="0.35">
      <c r="A1318" s="77" t="s">
        <v>515</v>
      </c>
      <c r="B1318" s="108" t="s">
        <v>201</v>
      </c>
      <c r="C1318" s="106">
        <v>62338</v>
      </c>
      <c r="D1318" s="106">
        <v>-62338</v>
      </c>
      <c r="E1318" s="106">
        <v>0</v>
      </c>
      <c r="F1318" s="106">
        <v>0</v>
      </c>
      <c r="G1318" s="106">
        <v>0</v>
      </c>
      <c r="H1318" s="106">
        <v>0</v>
      </c>
      <c r="I1318" s="106">
        <v>0</v>
      </c>
      <c r="J1318" s="106">
        <v>0</v>
      </c>
      <c r="K1318" s="106">
        <v>154522</v>
      </c>
      <c r="L1318" s="106">
        <v>-150626</v>
      </c>
      <c r="M1318" s="106">
        <v>3896</v>
      </c>
      <c r="N1318" s="106">
        <v>-3896</v>
      </c>
    </row>
    <row r="1319" spans="1:14" ht="15.5" customHeight="1" outlineLevel="2" x14ac:dyDescent="0.35">
      <c r="A1319" s="77" t="s">
        <v>515</v>
      </c>
      <c r="B1319" s="108" t="s">
        <v>200</v>
      </c>
      <c r="C1319" s="106">
        <v>306984</v>
      </c>
      <c r="D1319" s="106">
        <v>-22770</v>
      </c>
      <c r="E1319" s="106">
        <v>0</v>
      </c>
      <c r="F1319" s="106">
        <v>0</v>
      </c>
      <c r="G1319" s="106">
        <v>0</v>
      </c>
      <c r="H1319" s="106">
        <v>284214</v>
      </c>
      <c r="I1319" s="106">
        <v>-284214</v>
      </c>
      <c r="J1319" s="106">
        <v>0</v>
      </c>
      <c r="K1319" s="106">
        <v>21795</v>
      </c>
      <c r="L1319" s="106">
        <v>0</v>
      </c>
      <c r="M1319" s="106">
        <v>21795</v>
      </c>
      <c r="N1319" s="106">
        <v>-21795</v>
      </c>
    </row>
    <row r="1320" spans="1:14" ht="15.5" customHeight="1" outlineLevel="2" x14ac:dyDescent="0.35">
      <c r="A1320" s="77" t="s">
        <v>515</v>
      </c>
      <c r="B1320" s="108" t="s">
        <v>199</v>
      </c>
      <c r="C1320" s="106">
        <v>1927515</v>
      </c>
      <c r="D1320" s="106">
        <v>-590</v>
      </c>
      <c r="E1320" s="106">
        <v>0</v>
      </c>
      <c r="F1320" s="106">
        <v>0</v>
      </c>
      <c r="G1320" s="106">
        <v>0</v>
      </c>
      <c r="H1320" s="106">
        <v>1926925</v>
      </c>
      <c r="I1320" s="106">
        <v>-1926925</v>
      </c>
      <c r="J1320" s="106">
        <v>0</v>
      </c>
      <c r="K1320" s="106">
        <v>0</v>
      </c>
      <c r="L1320" s="106">
        <v>0</v>
      </c>
      <c r="M1320" s="106">
        <v>0</v>
      </c>
      <c r="N1320" s="106">
        <v>0</v>
      </c>
    </row>
    <row r="1321" spans="1:14" ht="15.5" customHeight="1" outlineLevel="2" x14ac:dyDescent="0.35">
      <c r="A1321" s="77" t="s">
        <v>515</v>
      </c>
      <c r="B1321" s="108" t="s">
        <v>198</v>
      </c>
      <c r="C1321" s="106">
        <v>1878716</v>
      </c>
      <c r="D1321" s="106">
        <v>-330</v>
      </c>
      <c r="E1321" s="106">
        <v>0</v>
      </c>
      <c r="F1321" s="106">
        <v>0</v>
      </c>
      <c r="G1321" s="106">
        <v>0</v>
      </c>
      <c r="H1321" s="106">
        <v>1878386</v>
      </c>
      <c r="I1321" s="106">
        <v>-1878386</v>
      </c>
      <c r="J1321" s="106">
        <v>0</v>
      </c>
      <c r="K1321" s="106">
        <v>0</v>
      </c>
      <c r="L1321" s="106">
        <v>0</v>
      </c>
      <c r="M1321" s="106">
        <v>0</v>
      </c>
      <c r="N1321" s="106">
        <v>0</v>
      </c>
    </row>
    <row r="1322" spans="1:14" ht="15.5" customHeight="1" outlineLevel="2" x14ac:dyDescent="0.35">
      <c r="A1322" s="77" t="s">
        <v>515</v>
      </c>
      <c r="B1322" s="108" t="s">
        <v>197</v>
      </c>
      <c r="C1322" s="106">
        <v>2654526</v>
      </c>
      <c r="D1322" s="106">
        <v>-64602</v>
      </c>
      <c r="E1322" s="106">
        <v>0</v>
      </c>
      <c r="F1322" s="106">
        <v>0</v>
      </c>
      <c r="G1322" s="106">
        <v>0</v>
      </c>
      <c r="H1322" s="106">
        <v>2589924</v>
      </c>
      <c r="I1322" s="106">
        <v>-2589924</v>
      </c>
      <c r="J1322" s="106">
        <v>0</v>
      </c>
      <c r="K1322" s="106">
        <v>269837</v>
      </c>
      <c r="L1322" s="106">
        <v>-268611</v>
      </c>
      <c r="M1322" s="106">
        <v>1226</v>
      </c>
      <c r="N1322" s="106">
        <v>-1226</v>
      </c>
    </row>
    <row r="1323" spans="1:14" ht="15.5" customHeight="1" outlineLevel="2" x14ac:dyDescent="0.35">
      <c r="A1323" s="77" t="s">
        <v>515</v>
      </c>
      <c r="B1323" s="108" t="s">
        <v>196</v>
      </c>
      <c r="C1323" s="106">
        <v>2382405</v>
      </c>
      <c r="D1323" s="106">
        <v>-307675</v>
      </c>
      <c r="E1323" s="106">
        <v>0</v>
      </c>
      <c r="F1323" s="106">
        <v>0</v>
      </c>
      <c r="G1323" s="106">
        <v>0</v>
      </c>
      <c r="H1323" s="106">
        <v>2074730</v>
      </c>
      <c r="I1323" s="106">
        <v>-2074730</v>
      </c>
      <c r="J1323" s="106">
        <v>0</v>
      </c>
      <c r="K1323" s="106">
        <v>726603</v>
      </c>
      <c r="L1323" s="106">
        <v>-726603</v>
      </c>
      <c r="M1323" s="106">
        <v>0</v>
      </c>
      <c r="N1323" s="106">
        <v>0</v>
      </c>
    </row>
    <row r="1324" spans="1:14" ht="15.5" customHeight="1" outlineLevel="1" x14ac:dyDescent="0.35">
      <c r="A1324" s="77" t="s">
        <v>515</v>
      </c>
      <c r="B1324" s="108" t="s">
        <v>195</v>
      </c>
      <c r="C1324" s="106">
        <v>2653930</v>
      </c>
      <c r="D1324" s="106">
        <v>-3355</v>
      </c>
      <c r="E1324" s="106">
        <v>0</v>
      </c>
      <c r="F1324" s="106">
        <v>0</v>
      </c>
      <c r="G1324" s="106">
        <v>0</v>
      </c>
      <c r="H1324" s="106">
        <v>2650575</v>
      </c>
      <c r="I1324" s="106">
        <v>-2650575</v>
      </c>
      <c r="J1324" s="106">
        <v>0</v>
      </c>
      <c r="K1324" s="106">
        <v>276676</v>
      </c>
      <c r="L1324" s="106">
        <v>-276676</v>
      </c>
      <c r="M1324" s="106">
        <v>0</v>
      </c>
      <c r="N1324" s="106">
        <v>0</v>
      </c>
    </row>
    <row r="1325" spans="1:14" ht="15.5" customHeight="1" outlineLevel="1" x14ac:dyDescent="0.35">
      <c r="A1325" s="77" t="s">
        <v>515</v>
      </c>
      <c r="B1325" s="108" t="s">
        <v>194</v>
      </c>
      <c r="C1325" s="106">
        <v>1885941</v>
      </c>
      <c r="D1325" s="106">
        <v>-12981</v>
      </c>
      <c r="E1325" s="106">
        <v>0</v>
      </c>
      <c r="F1325" s="106">
        <v>0</v>
      </c>
      <c r="G1325" s="106">
        <v>0</v>
      </c>
      <c r="H1325" s="106">
        <v>1872960</v>
      </c>
      <c r="I1325" s="106">
        <v>-1872960</v>
      </c>
      <c r="J1325" s="106">
        <v>0</v>
      </c>
      <c r="K1325" s="106">
        <v>394754</v>
      </c>
      <c r="L1325" s="106">
        <v>-394754</v>
      </c>
      <c r="M1325" s="106">
        <v>0</v>
      </c>
      <c r="N1325" s="106">
        <v>0</v>
      </c>
    </row>
    <row r="1326" spans="1:14" ht="15.5" customHeight="1" outlineLevel="1" x14ac:dyDescent="0.35">
      <c r="A1326" s="77" t="s">
        <v>515</v>
      </c>
      <c r="B1326" s="108" t="s">
        <v>193</v>
      </c>
      <c r="C1326" s="106">
        <v>1668208</v>
      </c>
      <c r="D1326" s="106">
        <v>21635</v>
      </c>
      <c r="E1326" s="106">
        <v>0</v>
      </c>
      <c r="F1326" s="106">
        <v>0</v>
      </c>
      <c r="G1326" s="106">
        <v>0</v>
      </c>
      <c r="H1326" s="106">
        <v>1689843</v>
      </c>
      <c r="I1326" s="106">
        <v>-1689843</v>
      </c>
      <c r="J1326" s="106">
        <v>0</v>
      </c>
      <c r="K1326" s="106">
        <v>222807</v>
      </c>
      <c r="L1326" s="106">
        <v>-222807</v>
      </c>
      <c r="M1326" s="106">
        <v>0</v>
      </c>
      <c r="N1326" s="106">
        <v>0</v>
      </c>
    </row>
    <row r="1327" spans="1:14" ht="15.5" customHeight="1" outlineLevel="2" x14ac:dyDescent="0.35">
      <c r="A1327" s="77" t="s">
        <v>515</v>
      </c>
      <c r="B1327" s="108" t="s">
        <v>192</v>
      </c>
      <c r="C1327" s="106">
        <v>1048740</v>
      </c>
      <c r="D1327" s="106">
        <v>-16803</v>
      </c>
      <c r="E1327" s="106">
        <v>0</v>
      </c>
      <c r="F1327" s="106">
        <v>0</v>
      </c>
      <c r="G1327" s="106">
        <v>0</v>
      </c>
      <c r="H1327" s="106">
        <v>1031937</v>
      </c>
      <c r="I1327" s="106">
        <v>-1031937</v>
      </c>
      <c r="J1327" s="106">
        <v>0</v>
      </c>
      <c r="K1327" s="106">
        <v>65114</v>
      </c>
      <c r="L1327" s="106">
        <v>-65114</v>
      </c>
      <c r="M1327" s="106">
        <v>0</v>
      </c>
      <c r="N1327" s="106">
        <v>0</v>
      </c>
    </row>
    <row r="1328" spans="1:14" ht="15.5" customHeight="1" outlineLevel="2" x14ac:dyDescent="0.35">
      <c r="A1328" s="77" t="s">
        <v>515</v>
      </c>
      <c r="B1328" s="108" t="s">
        <v>191</v>
      </c>
      <c r="C1328" s="106">
        <v>726872</v>
      </c>
      <c r="D1328" s="106">
        <v>-8855</v>
      </c>
      <c r="E1328" s="106">
        <v>0</v>
      </c>
      <c r="F1328" s="106">
        <v>0</v>
      </c>
      <c r="G1328" s="106">
        <v>0</v>
      </c>
      <c r="H1328" s="106">
        <v>718017</v>
      </c>
      <c r="I1328" s="106">
        <v>-718017</v>
      </c>
      <c r="J1328" s="106">
        <v>0</v>
      </c>
      <c r="K1328" s="106">
        <v>30734</v>
      </c>
      <c r="L1328" s="106">
        <v>-30734</v>
      </c>
      <c r="M1328" s="106">
        <v>0</v>
      </c>
      <c r="N1328" s="106">
        <v>0</v>
      </c>
    </row>
    <row r="1329" spans="1:14" ht="15.5" customHeight="1" outlineLevel="2" x14ac:dyDescent="0.35">
      <c r="A1329" s="77" t="s">
        <v>515</v>
      </c>
      <c r="B1329" s="108" t="s">
        <v>190</v>
      </c>
      <c r="C1329" s="106">
        <v>552947</v>
      </c>
      <c r="D1329" s="106">
        <v>-8316</v>
      </c>
      <c r="E1329" s="106">
        <v>0</v>
      </c>
      <c r="F1329" s="106">
        <v>0</v>
      </c>
      <c r="G1329" s="106">
        <v>0</v>
      </c>
      <c r="H1329" s="106">
        <v>544631</v>
      </c>
      <c r="I1329" s="106">
        <v>-544631</v>
      </c>
      <c r="J1329" s="106">
        <v>0</v>
      </c>
      <c r="K1329" s="106">
        <v>3055</v>
      </c>
      <c r="L1329" s="106">
        <v>-2643</v>
      </c>
      <c r="M1329" s="106">
        <v>412</v>
      </c>
      <c r="N1329" s="106">
        <v>-412</v>
      </c>
    </row>
    <row r="1330" spans="1:14" ht="15.5" customHeight="1" outlineLevel="2" x14ac:dyDescent="0.35">
      <c r="A1330" s="77" t="s">
        <v>515</v>
      </c>
      <c r="B1330" s="108" t="s">
        <v>189</v>
      </c>
      <c r="C1330" s="106">
        <v>484037</v>
      </c>
      <c r="D1330" s="106">
        <v>-6604</v>
      </c>
      <c r="E1330" s="106">
        <v>0</v>
      </c>
      <c r="F1330" s="106">
        <v>0</v>
      </c>
      <c r="G1330" s="106">
        <v>0</v>
      </c>
      <c r="H1330" s="106">
        <v>477433</v>
      </c>
      <c r="I1330" s="106">
        <v>-477433</v>
      </c>
      <c r="J1330" s="106">
        <v>0</v>
      </c>
      <c r="K1330" s="106">
        <v>7960</v>
      </c>
      <c r="L1330" s="106">
        <v>-7960</v>
      </c>
      <c r="M1330" s="106">
        <v>0</v>
      </c>
      <c r="N1330" s="106">
        <v>0</v>
      </c>
    </row>
    <row r="1331" spans="1:14" ht="16" outlineLevel="2" thickBot="1" x14ac:dyDescent="0.4">
      <c r="A1331" s="105" t="s">
        <v>394</v>
      </c>
      <c r="B1331" s="79" t="s">
        <v>12</v>
      </c>
      <c r="C1331" s="103">
        <f>SUBTOTAL(109,Program151[(C)
Program
Costs])</f>
        <v>18282120</v>
      </c>
      <c r="D1331" s="103">
        <f>SUBTOTAL(109,Program151[(D)
Prior Period Adjustments])</f>
        <v>-542545</v>
      </c>
      <c r="E1331" s="103">
        <f>SUBTOTAL(109,Program151[(E)
Current Period Desk 
Reviews])</f>
        <v>0</v>
      </c>
      <c r="F1331" s="103">
        <f>SUBTOTAL(109,Program151[(F)
Current Period 
Final 
Audits])</f>
        <v>0</v>
      </c>
      <c r="G1331" s="103">
        <f>SUBTOTAL(109,Program151[(G)
Current Period 
Other Adjustments])</f>
        <v>0</v>
      </c>
      <c r="H1331" s="103">
        <f>SUBTOTAL(109,Program151[(H)
Net Program Costs
Sum (C through G)])</f>
        <v>17739575</v>
      </c>
      <c r="I1331" s="103">
        <f>SUBTOTAL(109,Program151[(I)
Payments
 and Offsets])</f>
        <v>-17739575</v>
      </c>
      <c r="J1331" s="103">
        <f>SUBTOTAL(109,Program151[(J)
Accounts Payable Balance
(H + I)])</f>
        <v>0</v>
      </c>
      <c r="K1331" s="103">
        <f>SUBTOTAL(109,Program151[(K)
Established 
Accounts Receivable])</f>
        <v>2173857</v>
      </c>
      <c r="L1331" s="103">
        <f>SUBTOTAL(109,Program151[(L)
Recovered
 Accounts Receivable])</f>
        <v>-2146528</v>
      </c>
      <c r="M1331" s="103">
        <f>SUBTOTAL(109,Program151[(M)
Accounts Receivable Balance
(K + L)])</f>
        <v>27329</v>
      </c>
      <c r="N1331" s="103">
        <f>SUBTOTAL(109,Program151[(N)
Net Balance
(J minus M)])</f>
        <v>-27329</v>
      </c>
    </row>
    <row r="1332" spans="1:14" outlineLevel="2" x14ac:dyDescent="0.35">
      <c r="A1332" s="116" t="s">
        <v>33</v>
      </c>
      <c r="B1332" s="115"/>
      <c r="C1332" s="114"/>
      <c r="D1332" s="114"/>
      <c r="E1332" s="114"/>
      <c r="F1332" s="114"/>
      <c r="G1332" s="114"/>
      <c r="H1332" s="114"/>
      <c r="I1332" s="114"/>
      <c r="J1332" s="114"/>
      <c r="K1332" s="114"/>
      <c r="L1332" s="114"/>
      <c r="M1332" s="114"/>
      <c r="N1332" s="114"/>
    </row>
    <row r="1333" spans="1:14" ht="77.5" outlineLevel="2" x14ac:dyDescent="0.35">
      <c r="A1333" s="113" t="s">
        <v>185</v>
      </c>
      <c r="B1333" s="112" t="s">
        <v>184</v>
      </c>
      <c r="C1333" s="111" t="s">
        <v>183</v>
      </c>
      <c r="D1333" s="111" t="s">
        <v>182</v>
      </c>
      <c r="E1333" s="111" t="s">
        <v>181</v>
      </c>
      <c r="F1333" s="111" t="s">
        <v>180</v>
      </c>
      <c r="G1333" s="111" t="s">
        <v>179</v>
      </c>
      <c r="H1333" s="110" t="s">
        <v>674</v>
      </c>
      <c r="I1333" s="110" t="s">
        <v>178</v>
      </c>
      <c r="J1333" s="110" t="s">
        <v>177</v>
      </c>
      <c r="K1333" s="111" t="s">
        <v>176</v>
      </c>
      <c r="L1333" s="110" t="s">
        <v>175</v>
      </c>
      <c r="M1333" s="110" t="s">
        <v>174</v>
      </c>
      <c r="N1333" s="109" t="s">
        <v>173</v>
      </c>
    </row>
    <row r="1334" spans="1:14" ht="15.5" customHeight="1" outlineLevel="2" x14ac:dyDescent="0.35">
      <c r="A1334" s="77" t="s">
        <v>514</v>
      </c>
      <c r="B1334" s="108" t="s">
        <v>194</v>
      </c>
      <c r="C1334" s="106">
        <v>0</v>
      </c>
      <c r="D1334" s="106">
        <v>0</v>
      </c>
      <c r="E1334" s="106">
        <v>0</v>
      </c>
      <c r="F1334" s="106">
        <v>0</v>
      </c>
      <c r="G1334" s="106">
        <v>0</v>
      </c>
      <c r="H1334" s="106">
        <v>0</v>
      </c>
      <c r="I1334" s="106">
        <v>0</v>
      </c>
      <c r="J1334" s="106">
        <v>0</v>
      </c>
      <c r="K1334" s="106">
        <v>120605</v>
      </c>
      <c r="L1334" s="106">
        <v>-120605</v>
      </c>
      <c r="M1334" s="106">
        <v>0</v>
      </c>
      <c r="N1334" s="106">
        <v>0</v>
      </c>
    </row>
    <row r="1335" spans="1:14" ht="15.5" customHeight="1" outlineLevel="2" x14ac:dyDescent="0.35">
      <c r="A1335" s="77" t="s">
        <v>514</v>
      </c>
      <c r="B1335" s="108" t="s">
        <v>193</v>
      </c>
      <c r="C1335" s="106">
        <v>377740</v>
      </c>
      <c r="D1335" s="106">
        <v>4373</v>
      </c>
      <c r="E1335" s="106">
        <v>0</v>
      </c>
      <c r="F1335" s="106">
        <v>0</v>
      </c>
      <c r="G1335" s="106">
        <v>0</v>
      </c>
      <c r="H1335" s="106">
        <v>382113</v>
      </c>
      <c r="I1335" s="106">
        <v>-382113</v>
      </c>
      <c r="J1335" s="106">
        <v>0</v>
      </c>
      <c r="K1335" s="106">
        <v>219</v>
      </c>
      <c r="L1335" s="106">
        <v>-219</v>
      </c>
      <c r="M1335" s="106">
        <v>0</v>
      </c>
      <c r="N1335" s="106">
        <v>0</v>
      </c>
    </row>
    <row r="1336" spans="1:14" ht="15.5" customHeight="1" outlineLevel="2" x14ac:dyDescent="0.35">
      <c r="A1336" s="77" t="s">
        <v>514</v>
      </c>
      <c r="B1336" s="108" t="s">
        <v>192</v>
      </c>
      <c r="C1336" s="106">
        <v>464972</v>
      </c>
      <c r="D1336" s="106">
        <v>0</v>
      </c>
      <c r="E1336" s="106">
        <v>0</v>
      </c>
      <c r="F1336" s="106">
        <v>0</v>
      </c>
      <c r="G1336" s="106">
        <v>0</v>
      </c>
      <c r="H1336" s="106">
        <v>464972</v>
      </c>
      <c r="I1336" s="106">
        <v>-464972</v>
      </c>
      <c r="J1336" s="106">
        <v>0</v>
      </c>
      <c r="K1336" s="106">
        <v>0</v>
      </c>
      <c r="L1336" s="106">
        <v>0</v>
      </c>
      <c r="M1336" s="106">
        <v>0</v>
      </c>
      <c r="N1336" s="106">
        <v>0</v>
      </c>
    </row>
    <row r="1337" spans="1:14" ht="15.5" customHeight="1" outlineLevel="2" x14ac:dyDescent="0.35">
      <c r="A1337" s="77" t="s">
        <v>514</v>
      </c>
      <c r="B1337" s="108" t="s">
        <v>191</v>
      </c>
      <c r="C1337" s="106">
        <v>461867</v>
      </c>
      <c r="D1337" s="106">
        <v>0</v>
      </c>
      <c r="E1337" s="106">
        <v>0</v>
      </c>
      <c r="F1337" s="106">
        <v>0</v>
      </c>
      <c r="G1337" s="106">
        <v>0</v>
      </c>
      <c r="H1337" s="106">
        <v>461867</v>
      </c>
      <c r="I1337" s="106">
        <v>-461867</v>
      </c>
      <c r="J1337" s="106">
        <v>0</v>
      </c>
      <c r="K1337" s="106">
        <v>0</v>
      </c>
      <c r="L1337" s="106">
        <v>0</v>
      </c>
      <c r="M1337" s="106">
        <v>0</v>
      </c>
      <c r="N1337" s="106">
        <v>0</v>
      </c>
    </row>
    <row r="1338" spans="1:14" ht="15.5" customHeight="1" outlineLevel="2" x14ac:dyDescent="0.35">
      <c r="A1338" s="77" t="s">
        <v>514</v>
      </c>
      <c r="B1338" s="108" t="s">
        <v>190</v>
      </c>
      <c r="C1338" s="106">
        <v>453791</v>
      </c>
      <c r="D1338" s="106">
        <v>0</v>
      </c>
      <c r="E1338" s="106">
        <v>0</v>
      </c>
      <c r="F1338" s="106">
        <v>0</v>
      </c>
      <c r="G1338" s="106">
        <v>0</v>
      </c>
      <c r="H1338" s="106">
        <v>453791</v>
      </c>
      <c r="I1338" s="106">
        <v>-453791</v>
      </c>
      <c r="J1338" s="106">
        <v>0</v>
      </c>
      <c r="K1338" s="106">
        <v>0</v>
      </c>
      <c r="L1338" s="106">
        <v>0</v>
      </c>
      <c r="M1338" s="106">
        <v>0</v>
      </c>
      <c r="N1338" s="106">
        <v>0</v>
      </c>
    </row>
    <row r="1339" spans="1:14" ht="15.5" customHeight="1" outlineLevel="1" x14ac:dyDescent="0.35">
      <c r="A1339" s="77" t="s">
        <v>514</v>
      </c>
      <c r="B1339" s="108" t="s">
        <v>189</v>
      </c>
      <c r="C1339" s="106">
        <v>431833</v>
      </c>
      <c r="D1339" s="106">
        <v>0</v>
      </c>
      <c r="E1339" s="106">
        <v>0</v>
      </c>
      <c r="F1339" s="106">
        <v>0</v>
      </c>
      <c r="G1339" s="106">
        <v>0</v>
      </c>
      <c r="H1339" s="106">
        <v>431833</v>
      </c>
      <c r="I1339" s="106">
        <v>-431833</v>
      </c>
      <c r="J1339" s="106">
        <v>0</v>
      </c>
      <c r="K1339" s="106">
        <v>0</v>
      </c>
      <c r="L1339" s="106">
        <v>0</v>
      </c>
      <c r="M1339" s="106">
        <v>0</v>
      </c>
      <c r="N1339" s="106">
        <v>0</v>
      </c>
    </row>
    <row r="1340" spans="1:14" ht="15" customHeight="1" outlineLevel="1" thickBot="1" x14ac:dyDescent="0.4">
      <c r="A1340" s="105" t="s">
        <v>393</v>
      </c>
      <c r="B1340" s="79" t="s">
        <v>12</v>
      </c>
      <c r="C1340" s="103">
        <f>SUBTOTAL(109,Program160[(C)
Program
Costs])</f>
        <v>2190203</v>
      </c>
      <c r="D1340" s="103">
        <f>SUBTOTAL(109,Program160[(D)
Prior Period Adjustments])</f>
        <v>4373</v>
      </c>
      <c r="E1340" s="103">
        <f>SUBTOTAL(109,Program160[(E)
Current Period Desk 
Reviews])</f>
        <v>0</v>
      </c>
      <c r="F1340" s="103">
        <f>SUBTOTAL(109,Program160[(F)
Current Period 
Final 
Audits])</f>
        <v>0</v>
      </c>
      <c r="G1340" s="103">
        <f>SUBTOTAL(109,Program160[(G)
Current Period 
Other Adjustments])</f>
        <v>0</v>
      </c>
      <c r="H1340" s="103">
        <f>SUBTOTAL(109,Program160[(H)
Net Program Costs
Sum (C through G)])</f>
        <v>2194576</v>
      </c>
      <c r="I1340" s="103">
        <f>SUBTOTAL(109,Program160[(I)
Payments
 and Offsets])</f>
        <v>-2194576</v>
      </c>
      <c r="J1340" s="103">
        <f>SUBTOTAL(109,Program160[(J)
Accounts Payable Balance
(H + I)])</f>
        <v>0</v>
      </c>
      <c r="K1340" s="103">
        <f>SUBTOTAL(109,Program160[(K)
Established 
Accounts Receivable])</f>
        <v>120824</v>
      </c>
      <c r="L1340" s="103">
        <f>SUBTOTAL(109,Program160[(L)
Recovered
 Accounts Receivable])</f>
        <v>-120824</v>
      </c>
      <c r="M1340" s="103">
        <f>SUBTOTAL(109,Program160[(M)
Accounts Receivable Balance
(K + L)])</f>
        <v>0</v>
      </c>
      <c r="N1340" s="103">
        <f>SUBTOTAL(109,Program160[(N)
Net Balance
(J minus M)])</f>
        <v>0</v>
      </c>
    </row>
    <row r="1341" spans="1:14" outlineLevel="2" x14ac:dyDescent="0.35">
      <c r="A1341" s="116" t="s">
        <v>33</v>
      </c>
      <c r="B1341" s="115"/>
      <c r="C1341" s="114"/>
      <c r="D1341" s="114"/>
      <c r="E1341" s="114"/>
      <c r="F1341" s="114"/>
      <c r="G1341" s="114"/>
      <c r="H1341" s="114"/>
      <c r="I1341" s="114"/>
      <c r="J1341" s="114"/>
      <c r="K1341" s="114"/>
      <c r="L1341" s="114"/>
      <c r="M1341" s="114"/>
      <c r="N1341" s="114"/>
    </row>
    <row r="1342" spans="1:14" ht="77.5" outlineLevel="2" x14ac:dyDescent="0.35">
      <c r="A1342" s="113" t="s">
        <v>185</v>
      </c>
      <c r="B1342" s="112" t="s">
        <v>184</v>
      </c>
      <c r="C1342" s="111" t="s">
        <v>183</v>
      </c>
      <c r="D1342" s="111" t="s">
        <v>182</v>
      </c>
      <c r="E1342" s="111" t="s">
        <v>181</v>
      </c>
      <c r="F1342" s="111" t="s">
        <v>180</v>
      </c>
      <c r="G1342" s="111" t="s">
        <v>179</v>
      </c>
      <c r="H1342" s="110" t="s">
        <v>674</v>
      </c>
      <c r="I1342" s="110" t="s">
        <v>178</v>
      </c>
      <c r="J1342" s="110" t="s">
        <v>177</v>
      </c>
      <c r="K1342" s="111" t="s">
        <v>176</v>
      </c>
      <c r="L1342" s="110" t="s">
        <v>175</v>
      </c>
      <c r="M1342" s="110" t="s">
        <v>174</v>
      </c>
      <c r="N1342" s="109" t="s">
        <v>173</v>
      </c>
    </row>
    <row r="1343" spans="1:14" outlineLevel="2" x14ac:dyDescent="0.35">
      <c r="A1343" s="108" t="s">
        <v>513</v>
      </c>
      <c r="B1343" s="108" t="s">
        <v>203</v>
      </c>
      <c r="C1343" s="106">
        <v>60233</v>
      </c>
      <c r="D1343" s="106">
        <v>-60233</v>
      </c>
      <c r="E1343" s="106">
        <v>0</v>
      </c>
      <c r="F1343" s="106">
        <v>0</v>
      </c>
      <c r="G1343" s="106">
        <v>0</v>
      </c>
      <c r="H1343" s="106">
        <v>0</v>
      </c>
      <c r="I1343" s="106">
        <v>0</v>
      </c>
      <c r="J1343" s="106">
        <v>0</v>
      </c>
      <c r="K1343" s="106">
        <v>0</v>
      </c>
      <c r="L1343" s="106">
        <v>0</v>
      </c>
      <c r="M1343" s="106">
        <v>0</v>
      </c>
      <c r="N1343" s="106">
        <v>0</v>
      </c>
    </row>
    <row r="1344" spans="1:14" outlineLevel="2" x14ac:dyDescent="0.35">
      <c r="A1344" s="108" t="s">
        <v>513</v>
      </c>
      <c r="B1344" s="108" t="s">
        <v>202</v>
      </c>
      <c r="C1344" s="106">
        <v>77882</v>
      </c>
      <c r="D1344" s="106">
        <v>-77882</v>
      </c>
      <c r="E1344" s="106">
        <v>0</v>
      </c>
      <c r="F1344" s="106">
        <v>0</v>
      </c>
      <c r="G1344" s="106">
        <v>0</v>
      </c>
      <c r="H1344" s="106">
        <v>0</v>
      </c>
      <c r="I1344" s="106">
        <v>0</v>
      </c>
      <c r="J1344" s="106">
        <v>0</v>
      </c>
      <c r="K1344" s="106">
        <v>0</v>
      </c>
      <c r="L1344" s="106">
        <v>0</v>
      </c>
      <c r="M1344" s="106">
        <v>0</v>
      </c>
      <c r="N1344" s="106">
        <v>0</v>
      </c>
    </row>
    <row r="1345" spans="1:14" outlineLevel="2" x14ac:dyDescent="0.35">
      <c r="A1345" s="108" t="s">
        <v>513</v>
      </c>
      <c r="B1345" s="108" t="s">
        <v>201</v>
      </c>
      <c r="C1345" s="106">
        <v>862618</v>
      </c>
      <c r="D1345" s="106">
        <v>-4080</v>
      </c>
      <c r="E1345" s="106">
        <v>0</v>
      </c>
      <c r="F1345" s="106">
        <v>0</v>
      </c>
      <c r="G1345" s="106">
        <v>0</v>
      </c>
      <c r="H1345" s="106">
        <v>858538</v>
      </c>
      <c r="I1345" s="106">
        <v>-858538</v>
      </c>
      <c r="J1345" s="106">
        <v>0</v>
      </c>
      <c r="K1345" s="106">
        <v>0</v>
      </c>
      <c r="L1345" s="106">
        <v>0</v>
      </c>
      <c r="M1345" s="106">
        <v>0</v>
      </c>
      <c r="N1345" s="106">
        <v>0</v>
      </c>
    </row>
    <row r="1346" spans="1:14" outlineLevel="2" x14ac:dyDescent="0.35">
      <c r="A1346" s="108" t="s">
        <v>513</v>
      </c>
      <c r="B1346" s="108" t="s">
        <v>200</v>
      </c>
      <c r="C1346" s="106">
        <v>2733453</v>
      </c>
      <c r="D1346" s="106">
        <v>-3850</v>
      </c>
      <c r="E1346" s="106">
        <v>0</v>
      </c>
      <c r="F1346" s="106">
        <v>0</v>
      </c>
      <c r="G1346" s="106">
        <v>0</v>
      </c>
      <c r="H1346" s="106">
        <v>2729603</v>
      </c>
      <c r="I1346" s="106">
        <v>-2729603</v>
      </c>
      <c r="J1346" s="106">
        <v>0</v>
      </c>
      <c r="K1346" s="106">
        <v>3259</v>
      </c>
      <c r="L1346" s="106">
        <v>0</v>
      </c>
      <c r="M1346" s="106">
        <v>3259</v>
      </c>
      <c r="N1346" s="106">
        <v>-3259</v>
      </c>
    </row>
    <row r="1347" spans="1:14" outlineLevel="2" x14ac:dyDescent="0.35">
      <c r="A1347" s="108" t="s">
        <v>513</v>
      </c>
      <c r="B1347" s="108" t="s">
        <v>199</v>
      </c>
      <c r="C1347" s="106">
        <v>531446</v>
      </c>
      <c r="D1347" s="106">
        <v>-4052</v>
      </c>
      <c r="E1347" s="106">
        <v>0</v>
      </c>
      <c r="F1347" s="106">
        <v>0</v>
      </c>
      <c r="G1347" s="106">
        <v>0</v>
      </c>
      <c r="H1347" s="106">
        <v>527394</v>
      </c>
      <c r="I1347" s="106">
        <v>-527394</v>
      </c>
      <c r="J1347" s="106">
        <v>0</v>
      </c>
      <c r="K1347" s="106">
        <v>0</v>
      </c>
      <c r="L1347" s="106">
        <v>0</v>
      </c>
      <c r="M1347" s="106">
        <v>0</v>
      </c>
      <c r="N1347" s="106">
        <v>0</v>
      </c>
    </row>
    <row r="1348" spans="1:14" outlineLevel="2" x14ac:dyDescent="0.35">
      <c r="A1348" s="108" t="s">
        <v>513</v>
      </c>
      <c r="B1348" s="108" t="s">
        <v>198</v>
      </c>
      <c r="C1348" s="106">
        <v>537404</v>
      </c>
      <c r="D1348" s="106">
        <v>-601</v>
      </c>
      <c r="E1348" s="106">
        <v>0</v>
      </c>
      <c r="F1348" s="106">
        <v>0</v>
      </c>
      <c r="G1348" s="106">
        <v>0</v>
      </c>
      <c r="H1348" s="106">
        <v>536803</v>
      </c>
      <c r="I1348" s="106">
        <v>-536803</v>
      </c>
      <c r="J1348" s="106">
        <v>0</v>
      </c>
      <c r="K1348" s="106">
        <v>0</v>
      </c>
      <c r="L1348" s="106">
        <v>0</v>
      </c>
      <c r="M1348" s="106">
        <v>0</v>
      </c>
      <c r="N1348" s="106">
        <v>0</v>
      </c>
    </row>
    <row r="1349" spans="1:14" outlineLevel="2" x14ac:dyDescent="0.35">
      <c r="A1349" s="108" t="s">
        <v>513</v>
      </c>
      <c r="B1349" s="108" t="s">
        <v>197</v>
      </c>
      <c r="C1349" s="106">
        <v>1378219</v>
      </c>
      <c r="D1349" s="106">
        <v>-7600</v>
      </c>
      <c r="E1349" s="106">
        <v>0</v>
      </c>
      <c r="F1349" s="106">
        <v>0</v>
      </c>
      <c r="G1349" s="106">
        <v>0</v>
      </c>
      <c r="H1349" s="106">
        <v>1370619</v>
      </c>
      <c r="I1349" s="106">
        <v>-1370619</v>
      </c>
      <c r="J1349" s="106">
        <v>0</v>
      </c>
      <c r="K1349" s="106">
        <v>30647</v>
      </c>
      <c r="L1349" s="106">
        <v>-30647</v>
      </c>
      <c r="M1349" s="106">
        <v>0</v>
      </c>
      <c r="N1349" s="106">
        <v>0</v>
      </c>
    </row>
    <row r="1350" spans="1:14" outlineLevel="2" x14ac:dyDescent="0.35">
      <c r="A1350" s="108" t="s">
        <v>513</v>
      </c>
      <c r="B1350" s="108" t="s">
        <v>196</v>
      </c>
      <c r="C1350" s="106">
        <v>1332026</v>
      </c>
      <c r="D1350" s="106">
        <v>-519714</v>
      </c>
      <c r="E1350" s="106">
        <v>0</v>
      </c>
      <c r="F1350" s="106">
        <v>0</v>
      </c>
      <c r="G1350" s="106">
        <v>0</v>
      </c>
      <c r="H1350" s="106">
        <v>812312</v>
      </c>
      <c r="I1350" s="106">
        <v>-812312</v>
      </c>
      <c r="J1350" s="106">
        <v>0</v>
      </c>
      <c r="K1350" s="106">
        <v>1646971</v>
      </c>
      <c r="L1350" s="106">
        <v>-1646971</v>
      </c>
      <c r="M1350" s="106">
        <v>0</v>
      </c>
      <c r="N1350" s="106">
        <v>0</v>
      </c>
    </row>
    <row r="1351" spans="1:14" outlineLevel="2" x14ac:dyDescent="0.35">
      <c r="A1351" s="108" t="s">
        <v>513</v>
      </c>
      <c r="B1351" s="108" t="s">
        <v>195</v>
      </c>
      <c r="C1351" s="106">
        <v>1933929</v>
      </c>
      <c r="D1351" s="106">
        <v>-1134838</v>
      </c>
      <c r="E1351" s="106">
        <v>0</v>
      </c>
      <c r="F1351" s="106">
        <v>0</v>
      </c>
      <c r="G1351" s="106">
        <v>0</v>
      </c>
      <c r="H1351" s="106">
        <v>799091</v>
      </c>
      <c r="I1351" s="106">
        <v>-799091</v>
      </c>
      <c r="J1351" s="106">
        <v>0</v>
      </c>
      <c r="K1351" s="106">
        <v>1181772</v>
      </c>
      <c r="L1351" s="106">
        <v>-1181772</v>
      </c>
      <c r="M1351" s="106">
        <v>0</v>
      </c>
      <c r="N1351" s="106">
        <v>0</v>
      </c>
    </row>
    <row r="1352" spans="1:14" outlineLevel="2" x14ac:dyDescent="0.35">
      <c r="A1352" s="108" t="s">
        <v>513</v>
      </c>
      <c r="B1352" s="108" t="s">
        <v>194</v>
      </c>
      <c r="C1352" s="106">
        <v>2040650</v>
      </c>
      <c r="D1352" s="106">
        <v>-2543</v>
      </c>
      <c r="E1352" s="106">
        <v>0</v>
      </c>
      <c r="F1352" s="106">
        <v>0</v>
      </c>
      <c r="G1352" s="106">
        <v>0</v>
      </c>
      <c r="H1352" s="106">
        <v>2038107</v>
      </c>
      <c r="I1352" s="106">
        <v>-2038107</v>
      </c>
      <c r="J1352" s="106">
        <v>0</v>
      </c>
      <c r="K1352" s="106">
        <v>1443695</v>
      </c>
      <c r="L1352" s="106">
        <v>-1443695</v>
      </c>
      <c r="M1352" s="106">
        <v>0</v>
      </c>
      <c r="N1352" s="106">
        <v>0</v>
      </c>
    </row>
    <row r="1353" spans="1:14" outlineLevel="2" x14ac:dyDescent="0.35">
      <c r="A1353" s="108" t="s">
        <v>513</v>
      </c>
      <c r="B1353" s="108" t="s">
        <v>193</v>
      </c>
      <c r="C1353" s="106">
        <v>1780757</v>
      </c>
      <c r="D1353" s="106">
        <v>-41764</v>
      </c>
      <c r="E1353" s="106">
        <v>0</v>
      </c>
      <c r="F1353" s="106">
        <v>0</v>
      </c>
      <c r="G1353" s="106">
        <v>0</v>
      </c>
      <c r="H1353" s="106">
        <v>1738993</v>
      </c>
      <c r="I1353" s="106">
        <v>-1738993</v>
      </c>
      <c r="J1353" s="106">
        <v>0</v>
      </c>
      <c r="K1353" s="106">
        <v>12755</v>
      </c>
      <c r="L1353" s="106">
        <v>-12755</v>
      </c>
      <c r="M1353" s="106">
        <v>0</v>
      </c>
      <c r="N1353" s="106">
        <v>0</v>
      </c>
    </row>
    <row r="1354" spans="1:14" outlineLevel="2" x14ac:dyDescent="0.35">
      <c r="A1354" s="108" t="s">
        <v>513</v>
      </c>
      <c r="B1354" s="108" t="s">
        <v>192</v>
      </c>
      <c r="C1354" s="106">
        <v>395421</v>
      </c>
      <c r="D1354" s="106">
        <v>-83657</v>
      </c>
      <c r="E1354" s="106">
        <v>0</v>
      </c>
      <c r="F1354" s="106">
        <v>0</v>
      </c>
      <c r="G1354" s="106">
        <v>0</v>
      </c>
      <c r="H1354" s="106">
        <v>311764</v>
      </c>
      <c r="I1354" s="106">
        <v>-311764</v>
      </c>
      <c r="J1354" s="106">
        <v>0</v>
      </c>
      <c r="K1354" s="106">
        <v>0</v>
      </c>
      <c r="L1354" s="106">
        <v>0</v>
      </c>
      <c r="M1354" s="106">
        <v>0</v>
      </c>
      <c r="N1354" s="106">
        <v>0</v>
      </c>
    </row>
    <row r="1355" spans="1:14" outlineLevel="1" x14ac:dyDescent="0.35">
      <c r="A1355" s="108" t="s">
        <v>513</v>
      </c>
      <c r="B1355" s="108" t="s">
        <v>191</v>
      </c>
      <c r="C1355" s="106">
        <v>378327</v>
      </c>
      <c r="D1355" s="106">
        <v>-102353</v>
      </c>
      <c r="E1355" s="106">
        <v>0</v>
      </c>
      <c r="F1355" s="106">
        <v>0</v>
      </c>
      <c r="G1355" s="106">
        <v>0</v>
      </c>
      <c r="H1355" s="106">
        <v>275974</v>
      </c>
      <c r="I1355" s="106">
        <v>-275974</v>
      </c>
      <c r="J1355" s="106">
        <v>0</v>
      </c>
      <c r="K1355" s="106">
        <v>0</v>
      </c>
      <c r="L1355" s="106">
        <v>0</v>
      </c>
      <c r="M1355" s="106">
        <v>0</v>
      </c>
      <c r="N1355" s="106">
        <v>0</v>
      </c>
    </row>
    <row r="1356" spans="1:14" ht="15.65" customHeight="1" outlineLevel="1" x14ac:dyDescent="0.35">
      <c r="A1356" s="108" t="s">
        <v>513</v>
      </c>
      <c r="B1356" s="108" t="s">
        <v>190</v>
      </c>
      <c r="C1356" s="106">
        <v>352084</v>
      </c>
      <c r="D1356" s="106">
        <v>-97369</v>
      </c>
      <c r="E1356" s="106">
        <v>0</v>
      </c>
      <c r="F1356" s="106">
        <v>0</v>
      </c>
      <c r="G1356" s="106">
        <v>0</v>
      </c>
      <c r="H1356" s="106">
        <v>254715</v>
      </c>
      <c r="I1356" s="106">
        <v>-254715</v>
      </c>
      <c r="J1356" s="106">
        <v>0</v>
      </c>
      <c r="K1356" s="106">
        <v>0</v>
      </c>
      <c r="L1356" s="106">
        <v>0</v>
      </c>
      <c r="M1356" s="106">
        <v>0</v>
      </c>
      <c r="N1356" s="106">
        <v>0</v>
      </c>
    </row>
    <row r="1357" spans="1:14" ht="15" customHeight="1" outlineLevel="1" x14ac:dyDescent="0.35">
      <c r="A1357" s="108" t="s">
        <v>513</v>
      </c>
      <c r="B1357" s="108" t="s">
        <v>189</v>
      </c>
      <c r="C1357" s="106">
        <v>334777</v>
      </c>
      <c r="D1357" s="106">
        <v>-88069</v>
      </c>
      <c r="E1357" s="106">
        <v>0</v>
      </c>
      <c r="F1357" s="106">
        <v>0</v>
      </c>
      <c r="G1357" s="106">
        <v>0</v>
      </c>
      <c r="H1357" s="106">
        <v>246708</v>
      </c>
      <c r="I1357" s="106">
        <v>-246708</v>
      </c>
      <c r="J1357" s="106">
        <v>0</v>
      </c>
      <c r="K1357" s="106">
        <v>0</v>
      </c>
      <c r="L1357" s="106">
        <v>0</v>
      </c>
      <c r="M1357" s="106">
        <v>0</v>
      </c>
      <c r="N1357" s="106">
        <v>0</v>
      </c>
    </row>
    <row r="1358" spans="1:14" ht="16" outlineLevel="2" thickBot="1" x14ac:dyDescent="0.4">
      <c r="A1358" s="105" t="s">
        <v>392</v>
      </c>
      <c r="B1358" s="79" t="s">
        <v>12</v>
      </c>
      <c r="C1358" s="103">
        <f>SUBTOTAL(109,Program165[(C)
Program
Costs])</f>
        <v>14729226</v>
      </c>
      <c r="D1358" s="103">
        <f>SUBTOTAL(109,Program165[(D)
Prior Period Adjustments])</f>
        <v>-2228605</v>
      </c>
      <c r="E1358" s="103">
        <f>SUBTOTAL(109,Program165[(E)
Current Period Desk 
Reviews])</f>
        <v>0</v>
      </c>
      <c r="F1358" s="103">
        <f>SUBTOTAL(109,Program165[(F)
Current Period 
Final 
Audits])</f>
        <v>0</v>
      </c>
      <c r="G1358" s="103">
        <f>SUBTOTAL(109,Program165[(G)
Current Period 
Other Adjustments])</f>
        <v>0</v>
      </c>
      <c r="H1358" s="103">
        <f>SUBTOTAL(109,Program165[(H)
Net Program Costs
Sum (C through G)])</f>
        <v>12500621</v>
      </c>
      <c r="I1358" s="103">
        <f>SUBTOTAL(109,Program165[(I)
Payments
 and Offsets])</f>
        <v>-12500621</v>
      </c>
      <c r="J1358" s="103">
        <f>SUBTOTAL(109,Program165[(J)
Accounts Payable Balance
(H + I)])</f>
        <v>0</v>
      </c>
      <c r="K1358" s="103">
        <f>SUBTOTAL(109,Program165[(K)
Established 
Accounts Receivable])</f>
        <v>4319099</v>
      </c>
      <c r="L1358" s="103">
        <f>SUBTOTAL(109,Program165[(L)
Recovered
 Accounts Receivable])</f>
        <v>-4315840</v>
      </c>
      <c r="M1358" s="103">
        <f>SUBTOTAL(109,Program165[(M)
Accounts Receivable Balance
(K + L)])</f>
        <v>3259</v>
      </c>
      <c r="N1358" s="103">
        <f>SUBTOTAL(109,Program165[(N)
Net Balance
(J minus M)])</f>
        <v>-3259</v>
      </c>
    </row>
    <row r="1359" spans="1:14" outlineLevel="2" x14ac:dyDescent="0.35">
      <c r="A1359" s="116" t="s">
        <v>33</v>
      </c>
      <c r="B1359" s="115"/>
      <c r="C1359" s="114"/>
      <c r="D1359" s="114"/>
      <c r="E1359" s="114"/>
      <c r="F1359" s="114"/>
      <c r="G1359" s="114"/>
      <c r="H1359" s="114"/>
      <c r="I1359" s="114"/>
      <c r="J1359" s="114"/>
      <c r="K1359" s="114"/>
      <c r="L1359" s="114"/>
      <c r="M1359" s="114"/>
      <c r="N1359" s="114"/>
    </row>
    <row r="1360" spans="1:14" ht="77.5" outlineLevel="2" x14ac:dyDescent="0.35">
      <c r="A1360" s="113" t="s">
        <v>185</v>
      </c>
      <c r="B1360" s="112" t="s">
        <v>184</v>
      </c>
      <c r="C1360" s="111" t="s">
        <v>183</v>
      </c>
      <c r="D1360" s="111" t="s">
        <v>182</v>
      </c>
      <c r="E1360" s="111" t="s">
        <v>181</v>
      </c>
      <c r="F1360" s="111" t="s">
        <v>180</v>
      </c>
      <c r="G1360" s="111" t="s">
        <v>179</v>
      </c>
      <c r="H1360" s="110" t="s">
        <v>674</v>
      </c>
      <c r="I1360" s="110" t="s">
        <v>178</v>
      </c>
      <c r="J1360" s="110" t="s">
        <v>177</v>
      </c>
      <c r="K1360" s="111" t="s">
        <v>176</v>
      </c>
      <c r="L1360" s="110" t="s">
        <v>175</v>
      </c>
      <c r="M1360" s="110" t="s">
        <v>174</v>
      </c>
      <c r="N1360" s="109" t="s">
        <v>173</v>
      </c>
    </row>
    <row r="1361" spans="1:14" ht="46.5" outlineLevel="2" x14ac:dyDescent="0.35">
      <c r="A1361" s="77" t="s">
        <v>512</v>
      </c>
      <c r="B1361" s="108" t="s">
        <v>203</v>
      </c>
      <c r="C1361" s="106">
        <v>2467</v>
      </c>
      <c r="D1361" s="106">
        <v>-2467</v>
      </c>
      <c r="E1361" s="106">
        <v>0</v>
      </c>
      <c r="F1361" s="106">
        <v>0</v>
      </c>
      <c r="G1361" s="106">
        <v>0</v>
      </c>
      <c r="H1361" s="106">
        <v>0</v>
      </c>
      <c r="I1361" s="106">
        <v>0</v>
      </c>
      <c r="J1361" s="106">
        <v>0</v>
      </c>
      <c r="K1361" s="106">
        <v>0</v>
      </c>
      <c r="L1361" s="106">
        <v>0</v>
      </c>
      <c r="M1361" s="106">
        <v>0</v>
      </c>
      <c r="N1361" s="106">
        <v>0</v>
      </c>
    </row>
    <row r="1362" spans="1:14" ht="46.5" outlineLevel="2" x14ac:dyDescent="0.35">
      <c r="A1362" s="77" t="s">
        <v>512</v>
      </c>
      <c r="B1362" s="108" t="s">
        <v>202</v>
      </c>
      <c r="C1362" s="106">
        <v>152334</v>
      </c>
      <c r="D1362" s="106">
        <v>-152334</v>
      </c>
      <c r="E1362" s="106">
        <v>0</v>
      </c>
      <c r="F1362" s="106">
        <v>0</v>
      </c>
      <c r="G1362" s="106">
        <v>0</v>
      </c>
      <c r="H1362" s="106">
        <v>0</v>
      </c>
      <c r="I1362" s="106">
        <v>0</v>
      </c>
      <c r="J1362" s="106">
        <v>0</v>
      </c>
      <c r="K1362" s="106">
        <v>0</v>
      </c>
      <c r="L1362" s="106">
        <v>0</v>
      </c>
      <c r="M1362" s="106">
        <v>0</v>
      </c>
      <c r="N1362" s="106">
        <v>0</v>
      </c>
    </row>
    <row r="1363" spans="1:14" ht="46.5" outlineLevel="2" x14ac:dyDescent="0.35">
      <c r="A1363" s="77" t="s">
        <v>512</v>
      </c>
      <c r="B1363" s="108" t="s">
        <v>201</v>
      </c>
      <c r="C1363" s="106">
        <v>4330766</v>
      </c>
      <c r="D1363" s="106">
        <v>-19985</v>
      </c>
      <c r="E1363" s="106">
        <v>0</v>
      </c>
      <c r="F1363" s="106">
        <v>0</v>
      </c>
      <c r="G1363" s="106">
        <v>0</v>
      </c>
      <c r="H1363" s="106">
        <v>4310781</v>
      </c>
      <c r="I1363" s="106">
        <v>-3965770</v>
      </c>
      <c r="J1363" s="106">
        <v>345011</v>
      </c>
      <c r="K1363" s="106">
        <v>0</v>
      </c>
      <c r="L1363" s="106">
        <v>0</v>
      </c>
      <c r="M1363" s="106">
        <v>0</v>
      </c>
      <c r="N1363" s="106">
        <v>345011</v>
      </c>
    </row>
    <row r="1364" spans="1:14" ht="46.5" outlineLevel="2" x14ac:dyDescent="0.35">
      <c r="A1364" s="77" t="s">
        <v>512</v>
      </c>
      <c r="B1364" s="108" t="s">
        <v>200</v>
      </c>
      <c r="C1364" s="106">
        <v>3877309</v>
      </c>
      <c r="D1364" s="106">
        <v>-15203</v>
      </c>
      <c r="E1364" s="106">
        <v>0</v>
      </c>
      <c r="F1364" s="106">
        <v>0</v>
      </c>
      <c r="G1364" s="106">
        <v>0</v>
      </c>
      <c r="H1364" s="106">
        <v>3862106</v>
      </c>
      <c r="I1364" s="106">
        <v>-3774564</v>
      </c>
      <c r="J1364" s="106">
        <v>87542</v>
      </c>
      <c r="K1364" s="106">
        <v>0</v>
      </c>
      <c r="L1364" s="106">
        <v>0</v>
      </c>
      <c r="M1364" s="106">
        <v>0</v>
      </c>
      <c r="N1364" s="106">
        <v>87542</v>
      </c>
    </row>
    <row r="1365" spans="1:14" ht="46.5" outlineLevel="2" x14ac:dyDescent="0.35">
      <c r="A1365" s="77" t="s">
        <v>512</v>
      </c>
      <c r="B1365" s="108" t="s">
        <v>199</v>
      </c>
      <c r="C1365" s="106">
        <v>3548094</v>
      </c>
      <c r="D1365" s="106">
        <v>-3412</v>
      </c>
      <c r="E1365" s="106">
        <v>0</v>
      </c>
      <c r="F1365" s="106">
        <v>0</v>
      </c>
      <c r="G1365" s="106">
        <v>0</v>
      </c>
      <c r="H1365" s="106">
        <v>3544682</v>
      </c>
      <c r="I1365" s="106">
        <v>-3484857</v>
      </c>
      <c r="J1365" s="106">
        <v>59825</v>
      </c>
      <c r="K1365" s="106">
        <v>0</v>
      </c>
      <c r="L1365" s="106">
        <v>0</v>
      </c>
      <c r="M1365" s="106">
        <v>0</v>
      </c>
      <c r="N1365" s="106">
        <v>59825</v>
      </c>
    </row>
    <row r="1366" spans="1:14" ht="46.5" outlineLevel="2" x14ac:dyDescent="0.35">
      <c r="A1366" s="77" t="s">
        <v>512</v>
      </c>
      <c r="B1366" s="108" t="s">
        <v>198</v>
      </c>
      <c r="C1366" s="106">
        <v>2713730</v>
      </c>
      <c r="D1366" s="106">
        <v>-2425</v>
      </c>
      <c r="E1366" s="106">
        <v>0</v>
      </c>
      <c r="F1366" s="106">
        <v>0</v>
      </c>
      <c r="G1366" s="106">
        <v>0</v>
      </c>
      <c r="H1366" s="106">
        <v>2711305</v>
      </c>
      <c r="I1366" s="106">
        <v>-2687237</v>
      </c>
      <c r="J1366" s="106">
        <v>24068</v>
      </c>
      <c r="K1366" s="106">
        <v>0</v>
      </c>
      <c r="L1366" s="106">
        <v>0</v>
      </c>
      <c r="M1366" s="106">
        <v>0</v>
      </c>
      <c r="N1366" s="106">
        <v>24068</v>
      </c>
    </row>
    <row r="1367" spans="1:14" ht="46.5" outlineLevel="2" x14ac:dyDescent="0.35">
      <c r="A1367" s="77" t="s">
        <v>512</v>
      </c>
      <c r="B1367" s="108" t="s">
        <v>197</v>
      </c>
      <c r="C1367" s="106">
        <v>2443332</v>
      </c>
      <c r="D1367" s="106">
        <v>-2280</v>
      </c>
      <c r="E1367" s="106">
        <v>0</v>
      </c>
      <c r="F1367" s="106">
        <v>0</v>
      </c>
      <c r="G1367" s="106">
        <v>0</v>
      </c>
      <c r="H1367" s="106">
        <v>2441052</v>
      </c>
      <c r="I1367" s="106">
        <v>-2438012</v>
      </c>
      <c r="J1367" s="106">
        <v>3040</v>
      </c>
      <c r="K1367" s="106">
        <v>0</v>
      </c>
      <c r="L1367" s="106">
        <v>0</v>
      </c>
      <c r="M1367" s="106">
        <v>0</v>
      </c>
      <c r="N1367" s="106">
        <v>3040</v>
      </c>
    </row>
    <row r="1368" spans="1:14" ht="46.5" outlineLevel="2" x14ac:dyDescent="0.35">
      <c r="A1368" s="77" t="s">
        <v>512</v>
      </c>
      <c r="B1368" s="108" t="s">
        <v>196</v>
      </c>
      <c r="C1368" s="106">
        <v>2332017</v>
      </c>
      <c r="D1368" s="106">
        <v>-3149</v>
      </c>
      <c r="E1368" s="106">
        <v>0</v>
      </c>
      <c r="F1368" s="106">
        <v>0</v>
      </c>
      <c r="G1368" s="106">
        <v>0</v>
      </c>
      <c r="H1368" s="106">
        <v>2328868</v>
      </c>
      <c r="I1368" s="106">
        <v>-2328868</v>
      </c>
      <c r="J1368" s="106">
        <v>0</v>
      </c>
      <c r="K1368" s="106">
        <v>0</v>
      </c>
      <c r="L1368" s="106">
        <v>0</v>
      </c>
      <c r="M1368" s="106">
        <v>0</v>
      </c>
      <c r="N1368" s="106">
        <v>0</v>
      </c>
    </row>
    <row r="1369" spans="1:14" ht="46.5" outlineLevel="2" x14ac:dyDescent="0.35">
      <c r="A1369" s="77" t="s">
        <v>512</v>
      </c>
      <c r="B1369" s="108" t="s">
        <v>195</v>
      </c>
      <c r="C1369" s="106">
        <v>1766818</v>
      </c>
      <c r="D1369" s="106">
        <v>-2189</v>
      </c>
      <c r="E1369" s="106">
        <v>0</v>
      </c>
      <c r="F1369" s="106">
        <v>0</v>
      </c>
      <c r="G1369" s="106">
        <v>0</v>
      </c>
      <c r="H1369" s="106">
        <v>1764629</v>
      </c>
      <c r="I1369" s="106">
        <v>-1764629</v>
      </c>
      <c r="J1369" s="106">
        <v>0</v>
      </c>
      <c r="K1369" s="106">
        <v>0</v>
      </c>
      <c r="L1369" s="106">
        <v>0</v>
      </c>
      <c r="M1369" s="106">
        <v>0</v>
      </c>
      <c r="N1369" s="106">
        <v>0</v>
      </c>
    </row>
    <row r="1370" spans="1:14" ht="46.5" outlineLevel="2" x14ac:dyDescent="0.35">
      <c r="A1370" s="77" t="s">
        <v>512</v>
      </c>
      <c r="B1370" s="108" t="s">
        <v>194</v>
      </c>
      <c r="C1370" s="106">
        <v>1998310</v>
      </c>
      <c r="D1370" s="106">
        <v>-1825</v>
      </c>
      <c r="E1370" s="106">
        <v>0</v>
      </c>
      <c r="F1370" s="106">
        <v>0</v>
      </c>
      <c r="G1370" s="106">
        <v>0</v>
      </c>
      <c r="H1370" s="106">
        <v>1996485</v>
      </c>
      <c r="I1370" s="106">
        <v>-1996485</v>
      </c>
      <c r="J1370" s="106">
        <v>0</v>
      </c>
      <c r="K1370" s="106">
        <v>0</v>
      </c>
      <c r="L1370" s="106">
        <v>0</v>
      </c>
      <c r="M1370" s="106">
        <v>0</v>
      </c>
      <c r="N1370" s="106">
        <v>0</v>
      </c>
    </row>
    <row r="1371" spans="1:14" ht="46.5" outlineLevel="2" x14ac:dyDescent="0.35">
      <c r="A1371" s="77" t="s">
        <v>512</v>
      </c>
      <c r="B1371" s="108" t="s">
        <v>193</v>
      </c>
      <c r="C1371" s="106">
        <v>1556226</v>
      </c>
      <c r="D1371" s="106">
        <v>-1808</v>
      </c>
      <c r="E1371" s="106">
        <v>0</v>
      </c>
      <c r="F1371" s="106">
        <v>0</v>
      </c>
      <c r="G1371" s="106">
        <v>0</v>
      </c>
      <c r="H1371" s="106">
        <v>1554418</v>
      </c>
      <c r="I1371" s="106">
        <v>-1554418</v>
      </c>
      <c r="J1371" s="106">
        <v>0</v>
      </c>
      <c r="K1371" s="106">
        <v>0</v>
      </c>
      <c r="L1371" s="106">
        <v>0</v>
      </c>
      <c r="M1371" s="106">
        <v>0</v>
      </c>
      <c r="N1371" s="106">
        <v>0</v>
      </c>
    </row>
    <row r="1372" spans="1:14" ht="46.5" outlineLevel="2" x14ac:dyDescent="0.35">
      <c r="A1372" s="77" t="s">
        <v>512</v>
      </c>
      <c r="B1372" s="108" t="s">
        <v>192</v>
      </c>
      <c r="C1372" s="106">
        <v>1474991</v>
      </c>
      <c r="D1372" s="106">
        <v>-851</v>
      </c>
      <c r="E1372" s="106">
        <v>0</v>
      </c>
      <c r="F1372" s="106">
        <v>0</v>
      </c>
      <c r="G1372" s="106">
        <v>0</v>
      </c>
      <c r="H1372" s="106">
        <v>1474140</v>
      </c>
      <c r="I1372" s="106">
        <v>-1474140</v>
      </c>
      <c r="J1372" s="106">
        <v>0</v>
      </c>
      <c r="K1372" s="106">
        <v>0</v>
      </c>
      <c r="L1372" s="106">
        <v>0</v>
      </c>
      <c r="M1372" s="106">
        <v>0</v>
      </c>
      <c r="N1372" s="106">
        <v>0</v>
      </c>
    </row>
    <row r="1373" spans="1:14" ht="46.5" outlineLevel="2" x14ac:dyDescent="0.35">
      <c r="A1373" s="77" t="s">
        <v>512</v>
      </c>
      <c r="B1373" s="108" t="s">
        <v>191</v>
      </c>
      <c r="C1373" s="106">
        <v>1507123</v>
      </c>
      <c r="D1373" s="106">
        <v>-2069</v>
      </c>
      <c r="E1373" s="106">
        <v>0</v>
      </c>
      <c r="F1373" s="106">
        <v>0</v>
      </c>
      <c r="G1373" s="106">
        <v>0</v>
      </c>
      <c r="H1373" s="106">
        <v>1505054</v>
      </c>
      <c r="I1373" s="106">
        <v>-1505054</v>
      </c>
      <c r="J1373" s="106">
        <v>0</v>
      </c>
      <c r="K1373" s="106">
        <v>0</v>
      </c>
      <c r="L1373" s="106">
        <v>0</v>
      </c>
      <c r="M1373" s="106">
        <v>0</v>
      </c>
      <c r="N1373" s="106">
        <v>0</v>
      </c>
    </row>
    <row r="1374" spans="1:14" ht="46.5" outlineLevel="2" x14ac:dyDescent="0.35">
      <c r="A1374" s="77" t="s">
        <v>512</v>
      </c>
      <c r="B1374" s="108" t="s">
        <v>190</v>
      </c>
      <c r="C1374" s="106">
        <v>1396950</v>
      </c>
      <c r="D1374" s="106">
        <v>-2233</v>
      </c>
      <c r="E1374" s="106">
        <v>0</v>
      </c>
      <c r="F1374" s="106">
        <v>0</v>
      </c>
      <c r="G1374" s="106">
        <v>0</v>
      </c>
      <c r="H1374" s="106">
        <v>1394717</v>
      </c>
      <c r="I1374" s="106">
        <v>-1394717</v>
      </c>
      <c r="J1374" s="106">
        <v>0</v>
      </c>
      <c r="K1374" s="106">
        <v>0</v>
      </c>
      <c r="L1374" s="106">
        <v>0</v>
      </c>
      <c r="M1374" s="106">
        <v>0</v>
      </c>
      <c r="N1374" s="106">
        <v>0</v>
      </c>
    </row>
    <row r="1375" spans="1:14" ht="46.5" outlineLevel="2" x14ac:dyDescent="0.35">
      <c r="A1375" s="77" t="s">
        <v>512</v>
      </c>
      <c r="B1375" s="108" t="s">
        <v>189</v>
      </c>
      <c r="C1375" s="106">
        <v>1217335</v>
      </c>
      <c r="D1375" s="106">
        <v>-968</v>
      </c>
      <c r="E1375" s="106">
        <v>0</v>
      </c>
      <c r="F1375" s="106">
        <v>0</v>
      </c>
      <c r="G1375" s="106">
        <v>0</v>
      </c>
      <c r="H1375" s="106">
        <v>1216367</v>
      </c>
      <c r="I1375" s="106">
        <v>-1216367</v>
      </c>
      <c r="J1375" s="106">
        <v>0</v>
      </c>
      <c r="K1375" s="106">
        <v>0</v>
      </c>
      <c r="L1375" s="106">
        <v>0</v>
      </c>
      <c r="M1375" s="106">
        <v>0</v>
      </c>
      <c r="N1375" s="106">
        <v>0</v>
      </c>
    </row>
    <row r="1376" spans="1:14" ht="16" outlineLevel="2" thickBot="1" x14ac:dyDescent="0.4">
      <c r="A1376" s="105" t="s">
        <v>391</v>
      </c>
      <c r="B1376" s="79" t="s">
        <v>12</v>
      </c>
      <c r="C1376" s="103">
        <f>SUBTOTAL(109,Program271[(C)
Program
Costs])</f>
        <v>30317802</v>
      </c>
      <c r="D1376" s="103">
        <f>SUBTOTAL(109,Program271[(D)
Prior Period Adjustments])</f>
        <v>-213198</v>
      </c>
      <c r="E1376" s="103">
        <f>SUBTOTAL(109,Program271[(E)
Current Period Desk 
Reviews])</f>
        <v>0</v>
      </c>
      <c r="F1376" s="103">
        <f>SUBTOTAL(109,Program271[(F)
Current Period 
Final 
Audits])</f>
        <v>0</v>
      </c>
      <c r="G1376" s="103">
        <f>SUBTOTAL(109,Program271[(G)
Current Period 
Other Adjustments])</f>
        <v>0</v>
      </c>
      <c r="H1376" s="103">
        <f>SUBTOTAL(109,Program271[(H)
Net Program Costs
Sum (C through G)])</f>
        <v>30104604</v>
      </c>
      <c r="I1376" s="103">
        <f>SUBTOTAL(109,Program271[(I)
Payments
 and Offsets])</f>
        <v>-29585118</v>
      </c>
      <c r="J1376" s="103">
        <f>SUBTOTAL(109,Program271[(J)
Accounts Payable Balance
(H + I)])</f>
        <v>519486</v>
      </c>
      <c r="K1376" s="103">
        <f>SUBTOTAL(109,Program271[(K)
Established 
Accounts Receivable])</f>
        <v>0</v>
      </c>
      <c r="L1376" s="103">
        <f>SUBTOTAL(109,Program271[(L)
Recovered
 Accounts Receivable])</f>
        <v>0</v>
      </c>
      <c r="M1376" s="103">
        <f>SUBTOTAL(109,Program271[(M)
Accounts Receivable Balance
(K + L)])</f>
        <v>0</v>
      </c>
      <c r="N1376" s="103">
        <f>SUBTOTAL(109,Program271[(N)
Net Balance
(J minus M)])</f>
        <v>519486</v>
      </c>
    </row>
    <row r="1377" spans="1:14" outlineLevel="2" x14ac:dyDescent="0.35">
      <c r="A1377" s="116" t="s">
        <v>33</v>
      </c>
      <c r="B1377" s="115"/>
      <c r="C1377" s="114"/>
      <c r="D1377" s="114"/>
      <c r="E1377" s="114"/>
      <c r="F1377" s="114"/>
      <c r="G1377" s="114"/>
      <c r="H1377" s="114"/>
      <c r="I1377" s="114"/>
      <c r="J1377" s="114"/>
      <c r="K1377" s="114"/>
      <c r="L1377" s="114"/>
      <c r="M1377" s="114"/>
      <c r="N1377" s="114"/>
    </row>
    <row r="1378" spans="1:14" ht="77.5" outlineLevel="1" x14ac:dyDescent="0.35">
      <c r="A1378" s="113" t="s">
        <v>185</v>
      </c>
      <c r="B1378" s="112" t="s">
        <v>184</v>
      </c>
      <c r="C1378" s="111" t="s">
        <v>183</v>
      </c>
      <c r="D1378" s="111" t="s">
        <v>182</v>
      </c>
      <c r="E1378" s="111" t="s">
        <v>181</v>
      </c>
      <c r="F1378" s="111" t="s">
        <v>180</v>
      </c>
      <c r="G1378" s="111" t="s">
        <v>179</v>
      </c>
      <c r="H1378" s="110" t="s">
        <v>674</v>
      </c>
      <c r="I1378" s="110" t="s">
        <v>178</v>
      </c>
      <c r="J1378" s="110" t="s">
        <v>177</v>
      </c>
      <c r="K1378" s="111" t="s">
        <v>176</v>
      </c>
      <c r="L1378" s="110" t="s">
        <v>175</v>
      </c>
      <c r="M1378" s="110" t="s">
        <v>174</v>
      </c>
      <c r="N1378" s="109" t="s">
        <v>173</v>
      </c>
    </row>
    <row r="1379" spans="1:14" ht="45" customHeight="1" outlineLevel="1" x14ac:dyDescent="0.35">
      <c r="A1379" s="77" t="s">
        <v>511</v>
      </c>
      <c r="B1379" s="108" t="s">
        <v>191</v>
      </c>
      <c r="C1379" s="106">
        <v>256620</v>
      </c>
      <c r="D1379" s="106">
        <v>0</v>
      </c>
      <c r="E1379" s="106">
        <v>0</v>
      </c>
      <c r="F1379" s="106">
        <v>0</v>
      </c>
      <c r="G1379" s="106">
        <v>0</v>
      </c>
      <c r="H1379" s="106">
        <v>256620</v>
      </c>
      <c r="I1379" s="106">
        <v>-256620</v>
      </c>
      <c r="J1379" s="106">
        <v>0</v>
      </c>
      <c r="K1379" s="106">
        <v>0</v>
      </c>
      <c r="L1379" s="106">
        <v>0</v>
      </c>
      <c r="M1379" s="106">
        <v>0</v>
      </c>
      <c r="N1379" s="106">
        <v>0</v>
      </c>
    </row>
    <row r="1380" spans="1:14" ht="16" outlineLevel="2" thickBot="1" x14ac:dyDescent="0.4">
      <c r="A1380" s="105" t="s">
        <v>390</v>
      </c>
      <c r="B1380" s="79" t="s">
        <v>12</v>
      </c>
      <c r="C1380" s="48">
        <f>SUBTOTAL(109,Program325[(C)
Program
Costs])</f>
        <v>256620</v>
      </c>
      <c r="D1380" s="48">
        <f>SUBTOTAL(109,Program325[(D)
Prior Period Adjustments])</f>
        <v>0</v>
      </c>
      <c r="E1380" s="48">
        <f>SUBTOTAL(109,Program325[(E)
Current Period Desk 
Reviews])</f>
        <v>0</v>
      </c>
      <c r="F1380" s="48">
        <f>SUBTOTAL(109,Program325[(F)
Current Period 
Final 
Audits])</f>
        <v>0</v>
      </c>
      <c r="G1380" s="48">
        <f>SUBTOTAL(109,Program325[(G)
Current Period 
Other Adjustments])</f>
        <v>0</v>
      </c>
      <c r="H1380" s="48">
        <f>SUBTOTAL(109,Program325[(H)
Net Program Costs
Sum (C through G)])</f>
        <v>256620</v>
      </c>
      <c r="I1380" s="48">
        <f>SUBTOTAL(109,Program325[(I)
Payments
 and Offsets])</f>
        <v>-256620</v>
      </c>
      <c r="J1380" s="48">
        <f>SUBTOTAL(109,Program325[(J)
Accounts Payable Balance
(H + I)])</f>
        <v>0</v>
      </c>
      <c r="K1380" s="48">
        <f>SUBTOTAL(109,Program325[(K)
Established 
Accounts Receivable])</f>
        <v>0</v>
      </c>
      <c r="L1380" s="48">
        <f>SUBTOTAL(109,Program325[(L)
Recovered
 Accounts Receivable])</f>
        <v>0</v>
      </c>
      <c r="M1380" s="48">
        <f>SUBTOTAL(109,Program325[(M)
Accounts Receivable Balance
(K + L)])</f>
        <v>0</v>
      </c>
      <c r="N1380" s="48">
        <f>SUBTOTAL(109,Program325[(N)
Net Balance
(J minus M)])</f>
        <v>0</v>
      </c>
    </row>
    <row r="1381" spans="1:14" outlineLevel="2" x14ac:dyDescent="0.35">
      <c r="A1381" s="116" t="s">
        <v>33</v>
      </c>
      <c r="B1381" s="115"/>
      <c r="C1381" s="114"/>
      <c r="D1381" s="114"/>
      <c r="E1381" s="114"/>
      <c r="F1381" s="114"/>
      <c r="G1381" s="114"/>
      <c r="H1381" s="114"/>
      <c r="I1381" s="114"/>
      <c r="J1381" s="114"/>
      <c r="K1381" s="114"/>
      <c r="L1381" s="114"/>
      <c r="M1381" s="114"/>
      <c r="N1381" s="114"/>
    </row>
    <row r="1382" spans="1:14" ht="77.5" outlineLevel="2" x14ac:dyDescent="0.35">
      <c r="A1382" s="113" t="s">
        <v>185</v>
      </c>
      <c r="B1382" s="112" t="s">
        <v>184</v>
      </c>
      <c r="C1382" s="111" t="s">
        <v>183</v>
      </c>
      <c r="D1382" s="111" t="s">
        <v>182</v>
      </c>
      <c r="E1382" s="111" t="s">
        <v>181</v>
      </c>
      <c r="F1382" s="111" t="s">
        <v>180</v>
      </c>
      <c r="G1382" s="111" t="s">
        <v>179</v>
      </c>
      <c r="H1382" s="110" t="s">
        <v>674</v>
      </c>
      <c r="I1382" s="110" t="s">
        <v>178</v>
      </c>
      <c r="J1382" s="110" t="s">
        <v>177</v>
      </c>
      <c r="K1382" s="111" t="s">
        <v>176</v>
      </c>
      <c r="L1382" s="110" t="s">
        <v>175</v>
      </c>
      <c r="M1382" s="110" t="s">
        <v>174</v>
      </c>
      <c r="N1382" s="109" t="s">
        <v>173</v>
      </c>
    </row>
    <row r="1383" spans="1:14" ht="46.5" outlineLevel="2" x14ac:dyDescent="0.35">
      <c r="A1383" s="77" t="s">
        <v>510</v>
      </c>
      <c r="B1383" s="108" t="s">
        <v>192</v>
      </c>
      <c r="C1383" s="106">
        <v>349636</v>
      </c>
      <c r="D1383" s="106">
        <v>-134</v>
      </c>
      <c r="E1383" s="106">
        <v>0</v>
      </c>
      <c r="F1383" s="106">
        <v>0</v>
      </c>
      <c r="G1383" s="106">
        <v>0</v>
      </c>
      <c r="H1383" s="106">
        <v>349502</v>
      </c>
      <c r="I1383" s="106">
        <v>-349502</v>
      </c>
      <c r="J1383" s="106">
        <v>0</v>
      </c>
      <c r="K1383" s="106">
        <v>0</v>
      </c>
      <c r="L1383" s="106">
        <v>0</v>
      </c>
      <c r="M1383" s="106">
        <v>0</v>
      </c>
      <c r="N1383" s="106">
        <v>0</v>
      </c>
    </row>
    <row r="1384" spans="1:14" ht="16" outlineLevel="2" thickBot="1" x14ac:dyDescent="0.4">
      <c r="A1384" s="105" t="s">
        <v>389</v>
      </c>
      <c r="B1384" s="79" t="s">
        <v>12</v>
      </c>
      <c r="C1384" s="48">
        <f>SUBTOTAL(109,Program326[(C)
Program
Costs])</f>
        <v>349636</v>
      </c>
      <c r="D1384" s="48">
        <f>SUBTOTAL(109,Program326[(D)
Prior Period Adjustments])</f>
        <v>-134</v>
      </c>
      <c r="E1384" s="48">
        <f>SUBTOTAL(109,Program326[(E)
Current Period Desk 
Reviews])</f>
        <v>0</v>
      </c>
      <c r="F1384" s="48">
        <f>SUBTOTAL(109,Program326[(F)
Current Period 
Final 
Audits])</f>
        <v>0</v>
      </c>
      <c r="G1384" s="48">
        <f>SUBTOTAL(109,Program326[(G)
Current Period 
Other Adjustments])</f>
        <v>0</v>
      </c>
      <c r="H1384" s="48">
        <f>SUBTOTAL(109,Program326[(H)
Net Program Costs
Sum (C through G)])</f>
        <v>349502</v>
      </c>
      <c r="I1384" s="48">
        <f>SUBTOTAL(109,Program326[(I)
Payments
 and Offsets])</f>
        <v>-349502</v>
      </c>
      <c r="J1384" s="48">
        <f>SUBTOTAL(109,Program326[(J)
Accounts Payable Balance
(H + I)])</f>
        <v>0</v>
      </c>
      <c r="K1384" s="48">
        <f>SUBTOTAL(109,Program326[(K)
Established 
Accounts Receivable])</f>
        <v>0</v>
      </c>
      <c r="L1384" s="48">
        <f>SUBTOTAL(109,Program326[(L)
Recovered
 Accounts Receivable])</f>
        <v>0</v>
      </c>
      <c r="M1384" s="48">
        <f>SUBTOTAL(109,Program326[(M)
Accounts Receivable Balance
(K + L)])</f>
        <v>0</v>
      </c>
      <c r="N1384" s="48">
        <f>SUBTOTAL(109,Program326[(N)
Net Balance
(J minus M)])</f>
        <v>0</v>
      </c>
    </row>
    <row r="1385" spans="1:14" outlineLevel="2" x14ac:dyDescent="0.35">
      <c r="A1385" s="116" t="s">
        <v>33</v>
      </c>
      <c r="B1385" s="115"/>
      <c r="C1385" s="114"/>
      <c r="D1385" s="114"/>
      <c r="E1385" s="114"/>
      <c r="F1385" s="114"/>
      <c r="G1385" s="114"/>
      <c r="H1385" s="114"/>
      <c r="I1385" s="114"/>
      <c r="J1385" s="114"/>
      <c r="K1385" s="114"/>
      <c r="L1385" s="114"/>
      <c r="M1385" s="114"/>
      <c r="N1385" s="114"/>
    </row>
    <row r="1386" spans="1:14" ht="77.5" outlineLevel="2" x14ac:dyDescent="0.35">
      <c r="A1386" s="113" t="s">
        <v>185</v>
      </c>
      <c r="B1386" s="112" t="s">
        <v>184</v>
      </c>
      <c r="C1386" s="111" t="s">
        <v>183</v>
      </c>
      <c r="D1386" s="111" t="s">
        <v>182</v>
      </c>
      <c r="E1386" s="111" t="s">
        <v>181</v>
      </c>
      <c r="F1386" s="111" t="s">
        <v>180</v>
      </c>
      <c r="G1386" s="111" t="s">
        <v>179</v>
      </c>
      <c r="H1386" s="110" t="s">
        <v>674</v>
      </c>
      <c r="I1386" s="110" t="s">
        <v>178</v>
      </c>
      <c r="J1386" s="110" t="s">
        <v>177</v>
      </c>
      <c r="K1386" s="111" t="s">
        <v>176</v>
      </c>
      <c r="L1386" s="110" t="s">
        <v>175</v>
      </c>
      <c r="M1386" s="110" t="s">
        <v>174</v>
      </c>
      <c r="N1386" s="109" t="s">
        <v>173</v>
      </c>
    </row>
    <row r="1387" spans="1:14" ht="46.5" outlineLevel="2" x14ac:dyDescent="0.35">
      <c r="A1387" s="77" t="s">
        <v>509</v>
      </c>
      <c r="B1387" s="108" t="s">
        <v>194</v>
      </c>
      <c r="C1387" s="106">
        <v>385979</v>
      </c>
      <c r="D1387" s="106">
        <v>-120</v>
      </c>
      <c r="E1387" s="106">
        <v>0</v>
      </c>
      <c r="F1387" s="106">
        <v>0</v>
      </c>
      <c r="G1387" s="106">
        <v>0</v>
      </c>
      <c r="H1387" s="106">
        <v>385859</v>
      </c>
      <c r="I1387" s="106">
        <v>-385859</v>
      </c>
      <c r="J1387" s="106">
        <v>0</v>
      </c>
      <c r="K1387" s="106">
        <v>0</v>
      </c>
      <c r="L1387" s="106">
        <v>0</v>
      </c>
      <c r="M1387" s="106">
        <v>0</v>
      </c>
      <c r="N1387" s="106">
        <v>0</v>
      </c>
    </row>
    <row r="1388" spans="1:14" ht="46.5" outlineLevel="2" x14ac:dyDescent="0.35">
      <c r="A1388" s="77" t="s">
        <v>509</v>
      </c>
      <c r="B1388" s="108" t="s">
        <v>193</v>
      </c>
      <c r="C1388" s="106">
        <v>357943</v>
      </c>
      <c r="D1388" s="106">
        <v>-117</v>
      </c>
      <c r="E1388" s="106">
        <v>0</v>
      </c>
      <c r="F1388" s="106">
        <v>0</v>
      </c>
      <c r="G1388" s="106">
        <v>0</v>
      </c>
      <c r="H1388" s="106">
        <v>357826</v>
      </c>
      <c r="I1388" s="106">
        <v>-357826</v>
      </c>
      <c r="J1388" s="106">
        <v>0</v>
      </c>
      <c r="K1388" s="106">
        <v>0</v>
      </c>
      <c r="L1388" s="106">
        <v>0</v>
      </c>
      <c r="M1388" s="106">
        <v>0</v>
      </c>
      <c r="N1388" s="106">
        <v>0</v>
      </c>
    </row>
    <row r="1389" spans="1:14" ht="16" outlineLevel="2" thickBot="1" x14ac:dyDescent="0.4">
      <c r="A1389" s="105" t="s">
        <v>388</v>
      </c>
      <c r="B1389" s="79" t="s">
        <v>12</v>
      </c>
      <c r="C1389" s="48">
        <f>SUBTOTAL(109,Program327[(C)
Program
Costs])</f>
        <v>743922</v>
      </c>
      <c r="D1389" s="48">
        <f>SUBTOTAL(109,Program327[(D)
Prior Period Adjustments])</f>
        <v>-237</v>
      </c>
      <c r="E1389" s="48">
        <f>SUBTOTAL(109,Program327[(E)
Current Period Desk 
Reviews])</f>
        <v>0</v>
      </c>
      <c r="F1389" s="48">
        <f>SUBTOTAL(109,Program327[(F)
Current Period 
Final 
Audits])</f>
        <v>0</v>
      </c>
      <c r="G1389" s="48">
        <f>SUBTOTAL(109,Program327[(G)
Current Period 
Other Adjustments])</f>
        <v>0</v>
      </c>
      <c r="H1389" s="48">
        <f>SUBTOTAL(109,Program327[(H)
Net Program Costs
Sum (C through G)])</f>
        <v>743685</v>
      </c>
      <c r="I1389" s="48">
        <f>SUBTOTAL(109,Program327[(I)
Payments
 and Offsets])</f>
        <v>-743685</v>
      </c>
      <c r="J1389" s="48">
        <f>SUBTOTAL(109,Program327[(J)
Accounts Payable Balance
(H + I)])</f>
        <v>0</v>
      </c>
      <c r="K1389" s="48">
        <f>SUBTOTAL(109,Program327[(K)
Established 
Accounts Receivable])</f>
        <v>0</v>
      </c>
      <c r="L1389" s="48">
        <f>SUBTOTAL(109,Program327[(L)
Recovered
 Accounts Receivable])</f>
        <v>0</v>
      </c>
      <c r="M1389" s="48">
        <f>SUBTOTAL(109,Program327[(M)
Accounts Receivable Balance
(K + L)])</f>
        <v>0</v>
      </c>
      <c r="N1389" s="48">
        <f>SUBTOTAL(109,Program327[(N)
Net Balance
(J minus M)])</f>
        <v>0</v>
      </c>
    </row>
    <row r="1390" spans="1:14" outlineLevel="2" x14ac:dyDescent="0.35">
      <c r="A1390" s="116" t="s">
        <v>33</v>
      </c>
      <c r="B1390" s="115"/>
      <c r="C1390" s="114"/>
      <c r="D1390" s="114"/>
      <c r="E1390" s="114"/>
      <c r="F1390" s="114"/>
      <c r="G1390" s="114"/>
      <c r="H1390" s="114"/>
      <c r="I1390" s="114"/>
      <c r="J1390" s="114"/>
      <c r="K1390" s="114"/>
      <c r="L1390" s="114"/>
      <c r="M1390" s="114"/>
      <c r="N1390" s="114"/>
    </row>
    <row r="1391" spans="1:14" ht="77.5" outlineLevel="2" x14ac:dyDescent="0.35">
      <c r="A1391" s="113" t="s">
        <v>185</v>
      </c>
      <c r="B1391" s="112" t="s">
        <v>184</v>
      </c>
      <c r="C1391" s="111" t="s">
        <v>183</v>
      </c>
      <c r="D1391" s="111" t="s">
        <v>182</v>
      </c>
      <c r="E1391" s="111" t="s">
        <v>181</v>
      </c>
      <c r="F1391" s="111" t="s">
        <v>180</v>
      </c>
      <c r="G1391" s="111" t="s">
        <v>179</v>
      </c>
      <c r="H1391" s="110" t="s">
        <v>674</v>
      </c>
      <c r="I1391" s="110" t="s">
        <v>178</v>
      </c>
      <c r="J1391" s="110" t="s">
        <v>177</v>
      </c>
      <c r="K1391" s="111" t="s">
        <v>176</v>
      </c>
      <c r="L1391" s="110" t="s">
        <v>175</v>
      </c>
      <c r="M1391" s="110" t="s">
        <v>174</v>
      </c>
      <c r="N1391" s="109" t="s">
        <v>173</v>
      </c>
    </row>
    <row r="1392" spans="1:14" ht="46.5" outlineLevel="2" x14ac:dyDescent="0.35">
      <c r="A1392" s="77" t="s">
        <v>508</v>
      </c>
      <c r="B1392" s="108" t="s">
        <v>196</v>
      </c>
      <c r="C1392" s="106">
        <v>368804</v>
      </c>
      <c r="D1392" s="106">
        <v>-1147</v>
      </c>
      <c r="E1392" s="106">
        <v>0</v>
      </c>
      <c r="F1392" s="106">
        <v>0</v>
      </c>
      <c r="G1392" s="106">
        <v>0</v>
      </c>
      <c r="H1392" s="106">
        <v>367657</v>
      </c>
      <c r="I1392" s="106">
        <v>-366383</v>
      </c>
      <c r="J1392" s="106">
        <v>1274</v>
      </c>
      <c r="K1392" s="106">
        <v>0</v>
      </c>
      <c r="L1392" s="106">
        <v>0</v>
      </c>
      <c r="M1392" s="106">
        <v>0</v>
      </c>
      <c r="N1392" s="106">
        <v>1274</v>
      </c>
    </row>
    <row r="1393" spans="1:14" ht="46.5" outlineLevel="2" x14ac:dyDescent="0.35">
      <c r="A1393" s="77" t="s">
        <v>508</v>
      </c>
      <c r="B1393" s="108" t="s">
        <v>195</v>
      </c>
      <c r="C1393" s="106">
        <v>394091</v>
      </c>
      <c r="D1393" s="106">
        <v>0</v>
      </c>
      <c r="E1393" s="106">
        <v>0</v>
      </c>
      <c r="F1393" s="106">
        <v>0</v>
      </c>
      <c r="G1393" s="106">
        <v>0</v>
      </c>
      <c r="H1393" s="106">
        <v>394091</v>
      </c>
      <c r="I1393" s="106">
        <v>-394091</v>
      </c>
      <c r="J1393" s="106">
        <v>0</v>
      </c>
      <c r="K1393" s="106">
        <v>0</v>
      </c>
      <c r="L1393" s="106">
        <v>0</v>
      </c>
      <c r="M1393" s="106">
        <v>0</v>
      </c>
      <c r="N1393" s="106">
        <v>0</v>
      </c>
    </row>
    <row r="1394" spans="1:14" ht="15.65" customHeight="1" outlineLevel="1" thickBot="1" x14ac:dyDescent="0.4">
      <c r="A1394" s="105" t="s">
        <v>387</v>
      </c>
      <c r="B1394" s="79" t="s">
        <v>12</v>
      </c>
      <c r="C1394" s="48">
        <f>SUBTOTAL(109,Program328[(C)
Program
Costs])</f>
        <v>762895</v>
      </c>
      <c r="D1394" s="48">
        <f>SUBTOTAL(109,Program328[(D)
Prior Period Adjustments])</f>
        <v>-1147</v>
      </c>
      <c r="E1394" s="48">
        <f>SUBTOTAL(109,Program328[(E)
Current Period Desk 
Reviews])</f>
        <v>0</v>
      </c>
      <c r="F1394" s="48">
        <f>SUBTOTAL(109,Program328[(F)
Current Period 
Final 
Audits])</f>
        <v>0</v>
      </c>
      <c r="G1394" s="48">
        <f>SUBTOTAL(109,Program328[(G)
Current Period 
Other Adjustments])</f>
        <v>0</v>
      </c>
      <c r="H1394" s="48">
        <f>SUBTOTAL(109,Program328[(H)
Net Program Costs
Sum (C through G)])</f>
        <v>761748</v>
      </c>
      <c r="I1394" s="48">
        <f>SUBTOTAL(109,Program328[(I)
Payments
 and Offsets])</f>
        <v>-760474</v>
      </c>
      <c r="J1394" s="48">
        <f>SUBTOTAL(109,Program328[(J)
Accounts Payable Balance
(H + I)])</f>
        <v>1274</v>
      </c>
      <c r="K1394" s="48">
        <f>SUBTOTAL(109,Program328[(K)
Established 
Accounts Receivable])</f>
        <v>0</v>
      </c>
      <c r="L1394" s="48">
        <f>SUBTOTAL(109,Program328[(L)
Recovered
 Accounts Receivable])</f>
        <v>0</v>
      </c>
      <c r="M1394" s="48">
        <f>SUBTOTAL(109,Program328[(M)
Accounts Receivable Balance
(K + L)])</f>
        <v>0</v>
      </c>
      <c r="N1394" s="48">
        <f>SUBTOTAL(109,Program328[(N)
Net Balance
(J minus M)])</f>
        <v>1274</v>
      </c>
    </row>
    <row r="1395" spans="1:14" ht="15" customHeight="1" outlineLevel="1" x14ac:dyDescent="0.35">
      <c r="A1395" s="116" t="s">
        <v>33</v>
      </c>
      <c r="B1395" s="115"/>
      <c r="C1395" s="114"/>
      <c r="D1395" s="114"/>
      <c r="E1395" s="114"/>
      <c r="F1395" s="114"/>
      <c r="G1395" s="114"/>
      <c r="H1395" s="114"/>
      <c r="I1395" s="114"/>
      <c r="J1395" s="114"/>
      <c r="K1395" s="114"/>
      <c r="L1395" s="114"/>
      <c r="M1395" s="114"/>
      <c r="N1395" s="114"/>
    </row>
    <row r="1396" spans="1:14" ht="77.5" outlineLevel="2" x14ac:dyDescent="0.35">
      <c r="A1396" s="113" t="s">
        <v>185</v>
      </c>
      <c r="B1396" s="112" t="s">
        <v>184</v>
      </c>
      <c r="C1396" s="111" t="s">
        <v>183</v>
      </c>
      <c r="D1396" s="111" t="s">
        <v>182</v>
      </c>
      <c r="E1396" s="111" t="s">
        <v>181</v>
      </c>
      <c r="F1396" s="111" t="s">
        <v>180</v>
      </c>
      <c r="G1396" s="111" t="s">
        <v>179</v>
      </c>
      <c r="H1396" s="110" t="s">
        <v>674</v>
      </c>
      <c r="I1396" s="110" t="s">
        <v>178</v>
      </c>
      <c r="J1396" s="110" t="s">
        <v>177</v>
      </c>
      <c r="K1396" s="111" t="s">
        <v>176</v>
      </c>
      <c r="L1396" s="110" t="s">
        <v>175</v>
      </c>
      <c r="M1396" s="110" t="s">
        <v>174</v>
      </c>
      <c r="N1396" s="109" t="s">
        <v>173</v>
      </c>
    </row>
    <row r="1397" spans="1:14" ht="46.5" outlineLevel="2" x14ac:dyDescent="0.35">
      <c r="A1397" s="77" t="s">
        <v>507</v>
      </c>
      <c r="B1397" s="108" t="s">
        <v>208</v>
      </c>
      <c r="C1397" s="106">
        <v>1401896</v>
      </c>
      <c r="D1397" s="106">
        <v>-10396</v>
      </c>
      <c r="E1397" s="106">
        <v>0</v>
      </c>
      <c r="F1397" s="106">
        <v>0</v>
      </c>
      <c r="G1397" s="106">
        <v>0</v>
      </c>
      <c r="H1397" s="106">
        <v>1391500</v>
      </c>
      <c r="I1397" s="106">
        <v>-1019340</v>
      </c>
      <c r="J1397" s="106">
        <v>372160</v>
      </c>
      <c r="K1397" s="106">
        <v>0</v>
      </c>
      <c r="L1397" s="106">
        <v>0</v>
      </c>
      <c r="M1397" s="106">
        <v>0</v>
      </c>
      <c r="N1397" s="106">
        <v>372160</v>
      </c>
    </row>
    <row r="1398" spans="1:14" ht="46.5" outlineLevel="2" x14ac:dyDescent="0.35">
      <c r="A1398" s="77" t="s">
        <v>507</v>
      </c>
      <c r="B1398" s="108" t="s">
        <v>206</v>
      </c>
      <c r="C1398" s="106">
        <v>1512377</v>
      </c>
      <c r="D1398" s="106">
        <v>-26518</v>
      </c>
      <c r="E1398" s="106">
        <v>0</v>
      </c>
      <c r="F1398" s="106">
        <v>0</v>
      </c>
      <c r="G1398" s="106">
        <v>0</v>
      </c>
      <c r="H1398" s="106">
        <v>1485859</v>
      </c>
      <c r="I1398" s="106">
        <v>-1185110</v>
      </c>
      <c r="J1398" s="106">
        <v>300749</v>
      </c>
      <c r="K1398" s="106">
        <v>0</v>
      </c>
      <c r="L1398" s="106">
        <v>0</v>
      </c>
      <c r="M1398" s="106">
        <v>0</v>
      </c>
      <c r="N1398" s="106">
        <v>300749</v>
      </c>
    </row>
    <row r="1399" spans="1:14" ht="46.5" outlineLevel="2" x14ac:dyDescent="0.35">
      <c r="A1399" s="77" t="s">
        <v>507</v>
      </c>
      <c r="B1399" s="108" t="s">
        <v>205</v>
      </c>
      <c r="C1399" s="106">
        <v>1467143</v>
      </c>
      <c r="D1399" s="106">
        <v>-20929</v>
      </c>
      <c r="E1399" s="106">
        <v>0</v>
      </c>
      <c r="F1399" s="106">
        <v>0</v>
      </c>
      <c r="G1399" s="106">
        <v>0</v>
      </c>
      <c r="H1399" s="106">
        <v>1446214</v>
      </c>
      <c r="I1399" s="106">
        <v>-1118940</v>
      </c>
      <c r="J1399" s="106">
        <v>327274</v>
      </c>
      <c r="K1399" s="106">
        <v>0</v>
      </c>
      <c r="L1399" s="106">
        <v>0</v>
      </c>
      <c r="M1399" s="106">
        <v>0</v>
      </c>
      <c r="N1399" s="106">
        <v>327274</v>
      </c>
    </row>
    <row r="1400" spans="1:14" ht="46.5" outlineLevel="2" x14ac:dyDescent="0.35">
      <c r="A1400" s="77" t="s">
        <v>507</v>
      </c>
      <c r="B1400" s="108" t="s">
        <v>204</v>
      </c>
      <c r="C1400" s="106">
        <v>1451148</v>
      </c>
      <c r="D1400" s="106">
        <v>-20790</v>
      </c>
      <c r="E1400" s="106">
        <v>0</v>
      </c>
      <c r="F1400" s="106">
        <v>0</v>
      </c>
      <c r="G1400" s="106">
        <v>0</v>
      </c>
      <c r="H1400" s="106">
        <v>1430358</v>
      </c>
      <c r="I1400" s="106">
        <v>-1149030</v>
      </c>
      <c r="J1400" s="106">
        <v>281328</v>
      </c>
      <c r="K1400" s="106">
        <v>0</v>
      </c>
      <c r="L1400" s="106">
        <v>0</v>
      </c>
      <c r="M1400" s="106">
        <v>0</v>
      </c>
      <c r="N1400" s="106">
        <v>281328</v>
      </c>
    </row>
    <row r="1401" spans="1:14" ht="46.5" outlineLevel="2" x14ac:dyDescent="0.35">
      <c r="A1401" s="77" t="s">
        <v>507</v>
      </c>
      <c r="B1401" s="108" t="s">
        <v>203</v>
      </c>
      <c r="C1401" s="106">
        <v>1143400</v>
      </c>
      <c r="D1401" s="106">
        <v>-13074</v>
      </c>
      <c r="E1401" s="106">
        <v>0</v>
      </c>
      <c r="F1401" s="106">
        <v>0</v>
      </c>
      <c r="G1401" s="106">
        <v>0</v>
      </c>
      <c r="H1401" s="106">
        <v>1130326</v>
      </c>
      <c r="I1401" s="106">
        <v>-964197</v>
      </c>
      <c r="J1401" s="106">
        <v>166129</v>
      </c>
      <c r="K1401" s="106">
        <v>0</v>
      </c>
      <c r="L1401" s="106">
        <v>0</v>
      </c>
      <c r="M1401" s="106">
        <v>0</v>
      </c>
      <c r="N1401" s="106">
        <v>166129</v>
      </c>
    </row>
    <row r="1402" spans="1:14" ht="46.5" outlineLevel="2" x14ac:dyDescent="0.35">
      <c r="A1402" s="77" t="s">
        <v>507</v>
      </c>
      <c r="B1402" s="108" t="s">
        <v>202</v>
      </c>
      <c r="C1402" s="106">
        <v>937965</v>
      </c>
      <c r="D1402" s="106">
        <v>-7105</v>
      </c>
      <c r="E1402" s="106">
        <v>0</v>
      </c>
      <c r="F1402" s="106">
        <v>0</v>
      </c>
      <c r="G1402" s="106">
        <v>0</v>
      </c>
      <c r="H1402" s="106">
        <v>930860</v>
      </c>
      <c r="I1402" s="106">
        <v>-831450</v>
      </c>
      <c r="J1402" s="106">
        <v>99410</v>
      </c>
      <c r="K1402" s="106">
        <v>0</v>
      </c>
      <c r="L1402" s="106">
        <v>0</v>
      </c>
      <c r="M1402" s="106">
        <v>0</v>
      </c>
      <c r="N1402" s="106">
        <v>99410</v>
      </c>
    </row>
    <row r="1403" spans="1:14" ht="46.5" outlineLevel="2" x14ac:dyDescent="0.35">
      <c r="A1403" s="77" t="s">
        <v>507</v>
      </c>
      <c r="B1403" s="108" t="s">
        <v>201</v>
      </c>
      <c r="C1403" s="106">
        <v>832271</v>
      </c>
      <c r="D1403" s="106">
        <v>-7430</v>
      </c>
      <c r="E1403" s="106">
        <v>0</v>
      </c>
      <c r="F1403" s="106">
        <v>0</v>
      </c>
      <c r="G1403" s="106">
        <v>0</v>
      </c>
      <c r="H1403" s="106">
        <v>824841</v>
      </c>
      <c r="I1403" s="106">
        <v>-761992</v>
      </c>
      <c r="J1403" s="106">
        <v>62849</v>
      </c>
      <c r="K1403" s="106">
        <v>0</v>
      </c>
      <c r="L1403" s="106">
        <v>0</v>
      </c>
      <c r="M1403" s="106">
        <v>0</v>
      </c>
      <c r="N1403" s="106">
        <v>62849</v>
      </c>
    </row>
    <row r="1404" spans="1:14" ht="46.5" outlineLevel="2" x14ac:dyDescent="0.35">
      <c r="A1404" s="77" t="s">
        <v>507</v>
      </c>
      <c r="B1404" s="108" t="s">
        <v>200</v>
      </c>
      <c r="C1404" s="106">
        <v>805962</v>
      </c>
      <c r="D1404" s="106">
        <v>-8334</v>
      </c>
      <c r="E1404" s="106">
        <v>0</v>
      </c>
      <c r="F1404" s="106">
        <v>0</v>
      </c>
      <c r="G1404" s="106">
        <v>0</v>
      </c>
      <c r="H1404" s="106">
        <v>797628</v>
      </c>
      <c r="I1404" s="106">
        <v>-728354</v>
      </c>
      <c r="J1404" s="106">
        <v>69274</v>
      </c>
      <c r="K1404" s="106">
        <v>0</v>
      </c>
      <c r="L1404" s="106">
        <v>0</v>
      </c>
      <c r="M1404" s="106">
        <v>0</v>
      </c>
      <c r="N1404" s="106">
        <v>69274</v>
      </c>
    </row>
    <row r="1405" spans="1:14" ht="46.5" outlineLevel="2" x14ac:dyDescent="0.35">
      <c r="A1405" s="77" t="s">
        <v>507</v>
      </c>
      <c r="B1405" s="108" t="s">
        <v>199</v>
      </c>
      <c r="C1405" s="106">
        <v>863881</v>
      </c>
      <c r="D1405" s="106">
        <v>-1581</v>
      </c>
      <c r="E1405" s="106">
        <v>0</v>
      </c>
      <c r="F1405" s="106">
        <v>0</v>
      </c>
      <c r="G1405" s="106">
        <v>0</v>
      </c>
      <c r="H1405" s="106">
        <v>862300</v>
      </c>
      <c r="I1405" s="106">
        <v>-782015</v>
      </c>
      <c r="J1405" s="106">
        <v>80285</v>
      </c>
      <c r="K1405" s="106">
        <v>0</v>
      </c>
      <c r="L1405" s="106">
        <v>0</v>
      </c>
      <c r="M1405" s="106">
        <v>0</v>
      </c>
      <c r="N1405" s="106">
        <v>80285</v>
      </c>
    </row>
    <row r="1406" spans="1:14" ht="46.5" outlineLevel="2" x14ac:dyDescent="0.35">
      <c r="A1406" s="77" t="s">
        <v>507</v>
      </c>
      <c r="B1406" s="108" t="s">
        <v>198</v>
      </c>
      <c r="C1406" s="106">
        <v>724659</v>
      </c>
      <c r="D1406" s="106">
        <v>-1984</v>
      </c>
      <c r="E1406" s="106">
        <v>0</v>
      </c>
      <c r="F1406" s="106">
        <v>0</v>
      </c>
      <c r="G1406" s="106">
        <v>0</v>
      </c>
      <c r="H1406" s="106">
        <v>722675</v>
      </c>
      <c r="I1406" s="106">
        <v>-710144</v>
      </c>
      <c r="J1406" s="106">
        <v>12531</v>
      </c>
      <c r="K1406" s="106">
        <v>0</v>
      </c>
      <c r="L1406" s="106">
        <v>0</v>
      </c>
      <c r="M1406" s="106">
        <v>0</v>
      </c>
      <c r="N1406" s="106">
        <v>12531</v>
      </c>
    </row>
    <row r="1407" spans="1:14" ht="46.5" outlineLevel="2" x14ac:dyDescent="0.35">
      <c r="A1407" s="77" t="s">
        <v>507</v>
      </c>
      <c r="B1407" s="108" t="s">
        <v>197</v>
      </c>
      <c r="C1407" s="106">
        <v>457731</v>
      </c>
      <c r="D1407" s="106">
        <v>-1694</v>
      </c>
      <c r="E1407" s="106">
        <v>0</v>
      </c>
      <c r="F1407" s="106">
        <v>0</v>
      </c>
      <c r="G1407" s="106">
        <v>0</v>
      </c>
      <c r="H1407" s="106">
        <v>456037</v>
      </c>
      <c r="I1407" s="106">
        <v>-450655</v>
      </c>
      <c r="J1407" s="106">
        <v>5382</v>
      </c>
      <c r="K1407" s="106">
        <v>0</v>
      </c>
      <c r="L1407" s="106">
        <v>0</v>
      </c>
      <c r="M1407" s="106">
        <v>0</v>
      </c>
      <c r="N1407" s="106">
        <v>5382</v>
      </c>
    </row>
    <row r="1408" spans="1:14" ht="16" outlineLevel="2" thickBot="1" x14ac:dyDescent="0.4">
      <c r="A1408" s="105" t="s">
        <v>386</v>
      </c>
      <c r="B1408" s="79" t="s">
        <v>12</v>
      </c>
      <c r="C1408" s="103">
        <f>SUBTOTAL(109,Program329[(C)
Program
Costs])</f>
        <v>11598433</v>
      </c>
      <c r="D1408" s="103">
        <f>SUBTOTAL(109,Program329[(D)
Prior Period Adjustments])</f>
        <v>-119835</v>
      </c>
      <c r="E1408" s="103">
        <f>SUBTOTAL(109,Program329[(E)
Current Period Desk 
Reviews])</f>
        <v>0</v>
      </c>
      <c r="F1408" s="103">
        <f>SUBTOTAL(109,Program329[(F)
Current Period 
Final 
Audits])</f>
        <v>0</v>
      </c>
      <c r="G1408" s="103">
        <f>SUBTOTAL(109,Program329[(G)
Current Period 
Other Adjustments])</f>
        <v>0</v>
      </c>
      <c r="H1408" s="103">
        <f>SUBTOTAL(109,Program329[(H)
Net Program Costs
Sum (C through G)])</f>
        <v>11478598</v>
      </c>
      <c r="I1408" s="103">
        <f>SUBTOTAL(109,Program329[(I)
Payments
 and Offsets])</f>
        <v>-9701227</v>
      </c>
      <c r="J1408" s="103">
        <f>SUBTOTAL(109,Program329[(J)
Accounts Payable Balance
(H + I)])</f>
        <v>1777371</v>
      </c>
      <c r="K1408" s="103">
        <f>SUBTOTAL(109,Program329[(K)
Established 
Accounts Receivable])</f>
        <v>0</v>
      </c>
      <c r="L1408" s="103">
        <f>SUBTOTAL(109,Program329[(L)
Recovered
 Accounts Receivable])</f>
        <v>0</v>
      </c>
      <c r="M1408" s="103">
        <f>SUBTOTAL(109,Program329[(M)
Accounts Receivable Balance
(K + L)])</f>
        <v>0</v>
      </c>
      <c r="N1408" s="103">
        <f>SUBTOTAL(109,Program329[(N)
Net Balance
(J minus M)])</f>
        <v>1777371</v>
      </c>
    </row>
    <row r="1409" spans="1:14" outlineLevel="1" x14ac:dyDescent="0.35">
      <c r="A1409" s="116" t="s">
        <v>33</v>
      </c>
      <c r="B1409" s="115"/>
      <c r="C1409" s="114"/>
      <c r="D1409" s="114"/>
      <c r="E1409" s="114"/>
      <c r="F1409" s="114"/>
      <c r="G1409" s="114"/>
      <c r="H1409" s="114"/>
      <c r="I1409" s="114"/>
      <c r="J1409" s="114"/>
      <c r="K1409" s="114"/>
      <c r="L1409" s="114"/>
      <c r="M1409" s="114"/>
      <c r="N1409" s="114"/>
    </row>
    <row r="1410" spans="1:14" ht="78.75" customHeight="1" outlineLevel="1" x14ac:dyDescent="0.35">
      <c r="A1410" s="113" t="s">
        <v>185</v>
      </c>
      <c r="B1410" s="112" t="s">
        <v>184</v>
      </c>
      <c r="C1410" s="111" t="s">
        <v>183</v>
      </c>
      <c r="D1410" s="111" t="s">
        <v>182</v>
      </c>
      <c r="E1410" s="111" t="s">
        <v>181</v>
      </c>
      <c r="F1410" s="111" t="s">
        <v>180</v>
      </c>
      <c r="G1410" s="111" t="s">
        <v>179</v>
      </c>
      <c r="H1410" s="110" t="s">
        <v>674</v>
      </c>
      <c r="I1410" s="110" t="s">
        <v>178</v>
      </c>
      <c r="J1410" s="110" t="s">
        <v>177</v>
      </c>
      <c r="K1410" s="111" t="s">
        <v>176</v>
      </c>
      <c r="L1410" s="110" t="s">
        <v>175</v>
      </c>
      <c r="M1410" s="110" t="s">
        <v>174</v>
      </c>
      <c r="N1410" s="109" t="s">
        <v>173</v>
      </c>
    </row>
    <row r="1411" spans="1:14" ht="15" customHeight="1" outlineLevel="1" x14ac:dyDescent="0.35">
      <c r="A1411" s="108" t="s">
        <v>506</v>
      </c>
      <c r="B1411" s="108" t="s">
        <v>200</v>
      </c>
      <c r="C1411" s="106">
        <v>517712</v>
      </c>
      <c r="D1411" s="106">
        <v>-160350</v>
      </c>
      <c r="E1411" s="106">
        <v>0</v>
      </c>
      <c r="F1411" s="106">
        <v>0</v>
      </c>
      <c r="G1411" s="106">
        <v>0</v>
      </c>
      <c r="H1411" s="106">
        <v>357362</v>
      </c>
      <c r="I1411" s="106">
        <v>-357362</v>
      </c>
      <c r="J1411" s="106">
        <v>0</v>
      </c>
      <c r="K1411" s="106">
        <v>160350</v>
      </c>
      <c r="L1411" s="106">
        <v>-1165</v>
      </c>
      <c r="M1411" s="106">
        <v>159185</v>
      </c>
      <c r="N1411" s="106">
        <v>-159185</v>
      </c>
    </row>
    <row r="1412" spans="1:14" outlineLevel="2" x14ac:dyDescent="0.35">
      <c r="A1412" s="108" t="s">
        <v>506</v>
      </c>
      <c r="B1412" s="108" t="s">
        <v>199</v>
      </c>
      <c r="C1412" s="106">
        <v>4211227</v>
      </c>
      <c r="D1412" s="106">
        <v>-977809</v>
      </c>
      <c r="E1412" s="106">
        <v>0</v>
      </c>
      <c r="F1412" s="106">
        <v>0</v>
      </c>
      <c r="G1412" s="106">
        <v>0</v>
      </c>
      <c r="H1412" s="106">
        <v>3233418</v>
      </c>
      <c r="I1412" s="106">
        <v>-3233418</v>
      </c>
      <c r="J1412" s="106">
        <v>0</v>
      </c>
      <c r="K1412" s="106">
        <v>966463</v>
      </c>
      <c r="L1412" s="106">
        <v>0</v>
      </c>
      <c r="M1412" s="106">
        <v>966463</v>
      </c>
      <c r="N1412" s="106">
        <v>-966463</v>
      </c>
    </row>
    <row r="1413" spans="1:14" outlineLevel="2" x14ac:dyDescent="0.35">
      <c r="A1413" s="108" t="s">
        <v>506</v>
      </c>
      <c r="B1413" s="108" t="s">
        <v>198</v>
      </c>
      <c r="C1413" s="106">
        <v>5893587</v>
      </c>
      <c r="D1413" s="106">
        <v>-2401619</v>
      </c>
      <c r="E1413" s="106">
        <v>0</v>
      </c>
      <c r="F1413" s="106">
        <v>0</v>
      </c>
      <c r="G1413" s="106">
        <v>0</v>
      </c>
      <c r="H1413" s="106">
        <v>3491968</v>
      </c>
      <c r="I1413" s="106">
        <v>-3491968</v>
      </c>
      <c r="J1413" s="106">
        <v>0</v>
      </c>
      <c r="K1413" s="106">
        <v>2397890</v>
      </c>
      <c r="L1413" s="106">
        <v>0</v>
      </c>
      <c r="M1413" s="106">
        <v>2397890</v>
      </c>
      <c r="N1413" s="106">
        <v>-2397890</v>
      </c>
    </row>
    <row r="1414" spans="1:14" outlineLevel="2" x14ac:dyDescent="0.35">
      <c r="A1414" s="108" t="s">
        <v>506</v>
      </c>
      <c r="B1414" s="108" t="s">
        <v>197</v>
      </c>
      <c r="C1414" s="106">
        <v>5065628</v>
      </c>
      <c r="D1414" s="106">
        <v>-147630</v>
      </c>
      <c r="E1414" s="106">
        <v>0</v>
      </c>
      <c r="F1414" s="106">
        <v>0</v>
      </c>
      <c r="G1414" s="106">
        <v>0</v>
      </c>
      <c r="H1414" s="106">
        <v>4917998</v>
      </c>
      <c r="I1414" s="106">
        <v>-4917998</v>
      </c>
      <c r="J1414" s="106">
        <v>0</v>
      </c>
      <c r="K1414" s="106">
        <v>647814</v>
      </c>
      <c r="L1414" s="106">
        <v>-646501</v>
      </c>
      <c r="M1414" s="106">
        <v>1313</v>
      </c>
      <c r="N1414" s="106">
        <v>-1313</v>
      </c>
    </row>
    <row r="1415" spans="1:14" outlineLevel="2" x14ac:dyDescent="0.35">
      <c r="A1415" s="108" t="s">
        <v>506</v>
      </c>
      <c r="B1415" s="108" t="s">
        <v>196</v>
      </c>
      <c r="C1415" s="106">
        <v>5261190</v>
      </c>
      <c r="D1415" s="106">
        <v>-35141</v>
      </c>
      <c r="E1415" s="106">
        <v>0</v>
      </c>
      <c r="F1415" s="106">
        <v>0</v>
      </c>
      <c r="G1415" s="106">
        <v>0</v>
      </c>
      <c r="H1415" s="106">
        <v>5226049</v>
      </c>
      <c r="I1415" s="106">
        <v>-5226049</v>
      </c>
      <c r="J1415" s="106">
        <v>0</v>
      </c>
      <c r="K1415" s="106">
        <v>301477</v>
      </c>
      <c r="L1415" s="106">
        <v>-300847</v>
      </c>
      <c r="M1415" s="106">
        <v>630</v>
      </c>
      <c r="N1415" s="106">
        <v>-630</v>
      </c>
    </row>
    <row r="1416" spans="1:14" outlineLevel="2" x14ac:dyDescent="0.35">
      <c r="A1416" s="108" t="s">
        <v>506</v>
      </c>
      <c r="B1416" s="108" t="s">
        <v>195</v>
      </c>
      <c r="C1416" s="106">
        <v>4768143</v>
      </c>
      <c r="D1416" s="106">
        <v>-4705</v>
      </c>
      <c r="E1416" s="106">
        <v>0</v>
      </c>
      <c r="F1416" s="106">
        <v>0</v>
      </c>
      <c r="G1416" s="106">
        <v>0</v>
      </c>
      <c r="H1416" s="106">
        <v>4763438</v>
      </c>
      <c r="I1416" s="106">
        <v>-4763438</v>
      </c>
      <c r="J1416" s="106">
        <v>0</v>
      </c>
      <c r="K1416" s="106">
        <v>135800</v>
      </c>
      <c r="L1416" s="106">
        <v>-135800</v>
      </c>
      <c r="M1416" s="106">
        <v>0</v>
      </c>
      <c r="N1416" s="106">
        <v>0</v>
      </c>
    </row>
    <row r="1417" spans="1:14" outlineLevel="2" x14ac:dyDescent="0.35">
      <c r="A1417" s="108" t="s">
        <v>506</v>
      </c>
      <c r="B1417" s="108" t="s">
        <v>194</v>
      </c>
      <c r="C1417" s="106">
        <v>4697159</v>
      </c>
      <c r="D1417" s="106">
        <v>1007679</v>
      </c>
      <c r="E1417" s="106">
        <v>0</v>
      </c>
      <c r="F1417" s="106">
        <v>0</v>
      </c>
      <c r="G1417" s="106">
        <v>0</v>
      </c>
      <c r="H1417" s="106">
        <v>5704838</v>
      </c>
      <c r="I1417" s="106">
        <v>-5704838</v>
      </c>
      <c r="J1417" s="106">
        <v>0</v>
      </c>
      <c r="K1417" s="106">
        <v>1341585</v>
      </c>
      <c r="L1417" s="106">
        <v>-1341585</v>
      </c>
      <c r="M1417" s="106">
        <v>0</v>
      </c>
      <c r="N1417" s="106">
        <v>0</v>
      </c>
    </row>
    <row r="1418" spans="1:14" outlineLevel="2" x14ac:dyDescent="0.35">
      <c r="A1418" s="108" t="s">
        <v>506</v>
      </c>
      <c r="B1418" s="108" t="s">
        <v>193</v>
      </c>
      <c r="C1418" s="106">
        <v>4142164</v>
      </c>
      <c r="D1418" s="106">
        <v>1052279</v>
      </c>
      <c r="E1418" s="106">
        <v>0</v>
      </c>
      <c r="F1418" s="106">
        <v>0</v>
      </c>
      <c r="G1418" s="106">
        <v>0</v>
      </c>
      <c r="H1418" s="106">
        <v>5194443</v>
      </c>
      <c r="I1418" s="106">
        <v>-5194443</v>
      </c>
      <c r="J1418" s="106">
        <v>0</v>
      </c>
      <c r="K1418" s="106">
        <v>1511189</v>
      </c>
      <c r="L1418" s="106">
        <v>-1511189</v>
      </c>
      <c r="M1418" s="106">
        <v>0</v>
      </c>
      <c r="N1418" s="106">
        <v>0</v>
      </c>
    </row>
    <row r="1419" spans="1:14" outlineLevel="2" x14ac:dyDescent="0.35">
      <c r="A1419" s="108" t="s">
        <v>506</v>
      </c>
      <c r="B1419" s="108" t="s">
        <v>192</v>
      </c>
      <c r="C1419" s="106">
        <v>2635823</v>
      </c>
      <c r="D1419" s="106">
        <v>-56262</v>
      </c>
      <c r="E1419" s="106">
        <v>0</v>
      </c>
      <c r="F1419" s="106">
        <v>0</v>
      </c>
      <c r="G1419" s="106">
        <v>0</v>
      </c>
      <c r="H1419" s="106">
        <v>2579561</v>
      </c>
      <c r="I1419" s="106">
        <v>-2579561</v>
      </c>
      <c r="J1419" s="106">
        <v>0</v>
      </c>
      <c r="K1419" s="106">
        <v>522123</v>
      </c>
      <c r="L1419" s="106">
        <v>-522123</v>
      </c>
      <c r="M1419" s="106">
        <v>0</v>
      </c>
      <c r="N1419" s="106">
        <v>0</v>
      </c>
    </row>
    <row r="1420" spans="1:14" outlineLevel="2" x14ac:dyDescent="0.35">
      <c r="A1420" s="108" t="s">
        <v>506</v>
      </c>
      <c r="B1420" s="108" t="s">
        <v>191</v>
      </c>
      <c r="C1420" s="106">
        <v>2334271</v>
      </c>
      <c r="D1420" s="106">
        <v>-183355</v>
      </c>
      <c r="E1420" s="106">
        <v>0</v>
      </c>
      <c r="F1420" s="106">
        <v>0</v>
      </c>
      <c r="G1420" s="106">
        <v>0</v>
      </c>
      <c r="H1420" s="106">
        <v>2150916</v>
      </c>
      <c r="I1420" s="106">
        <v>-2150916</v>
      </c>
      <c r="J1420" s="106">
        <v>0</v>
      </c>
      <c r="K1420" s="106">
        <v>200986</v>
      </c>
      <c r="L1420" s="106">
        <v>-200986</v>
      </c>
      <c r="M1420" s="106">
        <v>0</v>
      </c>
      <c r="N1420" s="106">
        <v>0</v>
      </c>
    </row>
    <row r="1421" spans="1:14" outlineLevel="2" x14ac:dyDescent="0.35">
      <c r="A1421" s="108" t="s">
        <v>506</v>
      </c>
      <c r="B1421" s="108" t="s">
        <v>190</v>
      </c>
      <c r="C1421" s="106">
        <v>1979247</v>
      </c>
      <c r="D1421" s="106">
        <v>-95597</v>
      </c>
      <c r="E1421" s="106">
        <v>0</v>
      </c>
      <c r="F1421" s="106">
        <v>0</v>
      </c>
      <c r="G1421" s="106">
        <v>0</v>
      </c>
      <c r="H1421" s="106">
        <v>1883650</v>
      </c>
      <c r="I1421" s="106">
        <v>-1883650</v>
      </c>
      <c r="J1421" s="106">
        <v>0</v>
      </c>
      <c r="K1421" s="106">
        <v>36157</v>
      </c>
      <c r="L1421" s="106">
        <v>-36157</v>
      </c>
      <c r="M1421" s="106">
        <v>0</v>
      </c>
      <c r="N1421" s="106">
        <v>0</v>
      </c>
    </row>
    <row r="1422" spans="1:14" outlineLevel="2" x14ac:dyDescent="0.35">
      <c r="A1422" s="108" t="s">
        <v>506</v>
      </c>
      <c r="B1422" s="108" t="s">
        <v>189</v>
      </c>
      <c r="C1422" s="106">
        <v>1842694</v>
      </c>
      <c r="D1422" s="106">
        <v>-59884</v>
      </c>
      <c r="E1422" s="106">
        <v>0</v>
      </c>
      <c r="F1422" s="106">
        <v>0</v>
      </c>
      <c r="G1422" s="106">
        <v>0</v>
      </c>
      <c r="H1422" s="106">
        <v>1782810</v>
      </c>
      <c r="I1422" s="106">
        <v>-1782810</v>
      </c>
      <c r="J1422" s="106">
        <v>0</v>
      </c>
      <c r="K1422" s="106">
        <v>8544</v>
      </c>
      <c r="L1422" s="106">
        <v>-8544</v>
      </c>
      <c r="M1422" s="106">
        <v>0</v>
      </c>
      <c r="N1422" s="106">
        <v>0</v>
      </c>
    </row>
    <row r="1423" spans="1:14" outlineLevel="2" x14ac:dyDescent="0.35">
      <c r="A1423" s="108" t="s">
        <v>506</v>
      </c>
      <c r="B1423" s="108" t="s">
        <v>188</v>
      </c>
      <c r="C1423" s="106">
        <v>1774169</v>
      </c>
      <c r="D1423" s="106">
        <v>-60031</v>
      </c>
      <c r="E1423" s="106">
        <v>0</v>
      </c>
      <c r="F1423" s="106">
        <v>0</v>
      </c>
      <c r="G1423" s="106">
        <v>0</v>
      </c>
      <c r="H1423" s="106">
        <v>1714138</v>
      </c>
      <c r="I1423" s="106">
        <v>-1714138</v>
      </c>
      <c r="J1423" s="106">
        <v>0</v>
      </c>
      <c r="K1423" s="106">
        <v>8624</v>
      </c>
      <c r="L1423" s="106">
        <v>-8624</v>
      </c>
      <c r="M1423" s="106">
        <v>0</v>
      </c>
      <c r="N1423" s="106">
        <v>0</v>
      </c>
    </row>
    <row r="1424" spans="1:14" ht="16" outlineLevel="2" thickBot="1" x14ac:dyDescent="0.4">
      <c r="A1424" s="118" t="s">
        <v>385</v>
      </c>
      <c r="B1424" s="79" t="s">
        <v>12</v>
      </c>
      <c r="C1424" s="103">
        <f>SUBTOTAL(109,Program139[(C)
Program
Costs])</f>
        <v>45123014</v>
      </c>
      <c r="D1424" s="103">
        <f>SUBTOTAL(109,Program139[(D)
Prior Period Adjustments])</f>
        <v>-2122425</v>
      </c>
      <c r="E1424" s="103">
        <f>SUBTOTAL(109,Program139[(E)
Current Period Desk 
Reviews])</f>
        <v>0</v>
      </c>
      <c r="F1424" s="103">
        <f>SUBTOTAL(109,Program139[(F)
Current Period 
Final 
Audits])</f>
        <v>0</v>
      </c>
      <c r="G1424" s="103">
        <f>SUBTOTAL(109,Program139[(G)
Current Period 
Other Adjustments])</f>
        <v>0</v>
      </c>
      <c r="H1424" s="103">
        <f>SUBTOTAL(109,Program139[(H)
Net Program Costs
Sum (C through G)])</f>
        <v>43000589</v>
      </c>
      <c r="I1424" s="103">
        <f>SUBTOTAL(109,Program139[(I)
Payments
 and Offsets])</f>
        <v>-43000589</v>
      </c>
      <c r="J1424" s="103">
        <f>SUBTOTAL(109,Program139[(J)
Accounts Payable Balance
(H + I)])</f>
        <v>0</v>
      </c>
      <c r="K1424" s="103">
        <f>SUBTOTAL(109,Program139[(K)
Established 
Accounts Receivable])</f>
        <v>8239002</v>
      </c>
      <c r="L1424" s="103">
        <f>SUBTOTAL(109,Program139[(L)
Recovered
 Accounts Receivable])</f>
        <v>-4713521</v>
      </c>
      <c r="M1424" s="103">
        <f>SUBTOTAL(109,Program139[(M)
Accounts Receivable Balance
(K + L)])</f>
        <v>3525481</v>
      </c>
      <c r="N1424" s="117">
        <f>SUBTOTAL(109,Program139[(N)
Net Balance
(J minus M)])</f>
        <v>-3525481</v>
      </c>
    </row>
    <row r="1425" spans="1:14" outlineLevel="2" x14ac:dyDescent="0.35">
      <c r="A1425" s="116" t="s">
        <v>33</v>
      </c>
      <c r="B1425" s="115"/>
      <c r="C1425" s="114"/>
      <c r="D1425" s="114"/>
      <c r="E1425" s="114"/>
      <c r="F1425" s="114"/>
      <c r="G1425" s="114"/>
      <c r="H1425" s="114"/>
      <c r="I1425" s="114"/>
      <c r="J1425" s="114"/>
      <c r="K1425" s="114"/>
      <c r="L1425" s="114"/>
      <c r="M1425" s="114"/>
      <c r="N1425" s="114"/>
    </row>
    <row r="1426" spans="1:14" ht="77.5" outlineLevel="2" x14ac:dyDescent="0.35">
      <c r="A1426" s="113" t="s">
        <v>185</v>
      </c>
      <c r="B1426" s="112" t="s">
        <v>184</v>
      </c>
      <c r="C1426" s="111" t="s">
        <v>183</v>
      </c>
      <c r="D1426" s="111" t="s">
        <v>182</v>
      </c>
      <c r="E1426" s="111" t="s">
        <v>181</v>
      </c>
      <c r="F1426" s="111" t="s">
        <v>180</v>
      </c>
      <c r="G1426" s="111" t="s">
        <v>179</v>
      </c>
      <c r="H1426" s="110" t="s">
        <v>674</v>
      </c>
      <c r="I1426" s="110" t="s">
        <v>178</v>
      </c>
      <c r="J1426" s="110" t="s">
        <v>177</v>
      </c>
      <c r="K1426" s="111" t="s">
        <v>176</v>
      </c>
      <c r="L1426" s="110" t="s">
        <v>175</v>
      </c>
      <c r="M1426" s="110" t="s">
        <v>174</v>
      </c>
      <c r="N1426" s="109" t="s">
        <v>173</v>
      </c>
    </row>
    <row r="1427" spans="1:14" outlineLevel="2" x14ac:dyDescent="0.35">
      <c r="A1427" s="108" t="s">
        <v>505</v>
      </c>
      <c r="B1427" s="108" t="s">
        <v>214</v>
      </c>
      <c r="C1427" s="106">
        <v>4052</v>
      </c>
      <c r="D1427" s="106">
        <v>0</v>
      </c>
      <c r="E1427" s="106">
        <v>0</v>
      </c>
      <c r="F1427" s="106">
        <v>0</v>
      </c>
      <c r="G1427" s="106">
        <v>0</v>
      </c>
      <c r="H1427" s="106">
        <v>4052</v>
      </c>
      <c r="I1427" s="106">
        <v>-1000</v>
      </c>
      <c r="J1427" s="106">
        <v>3052</v>
      </c>
      <c r="K1427" s="106">
        <v>0</v>
      </c>
      <c r="L1427" s="106">
        <v>0</v>
      </c>
      <c r="M1427" s="106">
        <v>0</v>
      </c>
      <c r="N1427" s="106">
        <v>3052</v>
      </c>
    </row>
    <row r="1428" spans="1:14" outlineLevel="2" x14ac:dyDescent="0.35">
      <c r="A1428" s="108" t="s">
        <v>505</v>
      </c>
      <c r="B1428" s="108" t="s">
        <v>212</v>
      </c>
      <c r="C1428" s="106">
        <v>2385</v>
      </c>
      <c r="D1428" s="106">
        <v>0</v>
      </c>
      <c r="E1428" s="106">
        <v>0</v>
      </c>
      <c r="F1428" s="106">
        <v>0</v>
      </c>
      <c r="G1428" s="106">
        <v>0</v>
      </c>
      <c r="H1428" s="106">
        <v>2385</v>
      </c>
      <c r="I1428" s="106">
        <v>-1000</v>
      </c>
      <c r="J1428" s="106">
        <v>1385</v>
      </c>
      <c r="K1428" s="106">
        <v>0</v>
      </c>
      <c r="L1428" s="106">
        <v>0</v>
      </c>
      <c r="M1428" s="106">
        <v>0</v>
      </c>
      <c r="N1428" s="106">
        <v>1385</v>
      </c>
    </row>
    <row r="1429" spans="1:14" outlineLevel="2" x14ac:dyDescent="0.35">
      <c r="A1429" s="108" t="s">
        <v>505</v>
      </c>
      <c r="B1429" s="108" t="s">
        <v>220</v>
      </c>
      <c r="C1429" s="106">
        <v>4837</v>
      </c>
      <c r="D1429" s="106">
        <v>-1109</v>
      </c>
      <c r="E1429" s="106">
        <v>0</v>
      </c>
      <c r="F1429" s="106">
        <v>0</v>
      </c>
      <c r="G1429" s="106">
        <v>0</v>
      </c>
      <c r="H1429" s="106">
        <v>3728</v>
      </c>
      <c r="I1429" s="106">
        <v>-2385</v>
      </c>
      <c r="J1429" s="106">
        <v>1343</v>
      </c>
      <c r="K1429" s="106">
        <v>0</v>
      </c>
      <c r="L1429" s="106">
        <v>0</v>
      </c>
      <c r="M1429" s="106">
        <v>0</v>
      </c>
      <c r="N1429" s="106">
        <v>1343</v>
      </c>
    </row>
    <row r="1430" spans="1:14" outlineLevel="1" x14ac:dyDescent="0.35">
      <c r="A1430" s="108" t="s">
        <v>505</v>
      </c>
      <c r="B1430" s="108" t="s">
        <v>219</v>
      </c>
      <c r="C1430" s="106">
        <v>42331</v>
      </c>
      <c r="D1430" s="106">
        <v>0</v>
      </c>
      <c r="E1430" s="106">
        <v>0</v>
      </c>
      <c r="F1430" s="106">
        <v>0</v>
      </c>
      <c r="G1430" s="106">
        <v>0</v>
      </c>
      <c r="H1430" s="106">
        <v>42331</v>
      </c>
      <c r="I1430" s="106">
        <v>-15186</v>
      </c>
      <c r="J1430" s="106">
        <v>27145</v>
      </c>
      <c r="K1430" s="106">
        <v>0</v>
      </c>
      <c r="L1430" s="106">
        <v>0</v>
      </c>
      <c r="M1430" s="106">
        <v>0</v>
      </c>
      <c r="N1430" s="106">
        <v>27145</v>
      </c>
    </row>
    <row r="1431" spans="1:14" ht="15.65" customHeight="1" outlineLevel="1" x14ac:dyDescent="0.35">
      <c r="A1431" s="108" t="s">
        <v>505</v>
      </c>
      <c r="B1431" s="108" t="s">
        <v>218</v>
      </c>
      <c r="C1431" s="106">
        <v>44962</v>
      </c>
      <c r="D1431" s="106">
        <v>0</v>
      </c>
      <c r="E1431" s="106">
        <v>0</v>
      </c>
      <c r="F1431" s="106">
        <v>0</v>
      </c>
      <c r="G1431" s="106">
        <v>0</v>
      </c>
      <c r="H1431" s="106">
        <v>44962</v>
      </c>
      <c r="I1431" s="106">
        <v>-22564</v>
      </c>
      <c r="J1431" s="106">
        <v>22398</v>
      </c>
      <c r="K1431" s="106">
        <v>0</v>
      </c>
      <c r="L1431" s="106">
        <v>0</v>
      </c>
      <c r="M1431" s="106">
        <v>0</v>
      </c>
      <c r="N1431" s="106">
        <v>22398</v>
      </c>
    </row>
    <row r="1432" spans="1:14" ht="15" customHeight="1" outlineLevel="1" x14ac:dyDescent="0.35">
      <c r="A1432" s="108" t="s">
        <v>505</v>
      </c>
      <c r="B1432" s="108" t="s">
        <v>209</v>
      </c>
      <c r="C1432" s="106">
        <v>120614</v>
      </c>
      <c r="D1432" s="106">
        <v>-142</v>
      </c>
      <c r="E1432" s="106">
        <v>0</v>
      </c>
      <c r="F1432" s="106">
        <v>0</v>
      </c>
      <c r="G1432" s="106">
        <v>0</v>
      </c>
      <c r="H1432" s="106">
        <v>120472</v>
      </c>
      <c r="I1432" s="106">
        <v>-88845</v>
      </c>
      <c r="J1432" s="106">
        <v>31627</v>
      </c>
      <c r="K1432" s="106">
        <v>0</v>
      </c>
      <c r="L1432" s="106">
        <v>0</v>
      </c>
      <c r="M1432" s="106">
        <v>0</v>
      </c>
      <c r="N1432" s="106">
        <v>31627</v>
      </c>
    </row>
    <row r="1433" spans="1:14" outlineLevel="2" x14ac:dyDescent="0.35">
      <c r="A1433" s="108" t="s">
        <v>505</v>
      </c>
      <c r="B1433" s="108" t="s">
        <v>208</v>
      </c>
      <c r="C1433" s="106">
        <v>914438</v>
      </c>
      <c r="D1433" s="106">
        <v>-8682</v>
      </c>
      <c r="E1433" s="106">
        <v>0</v>
      </c>
      <c r="F1433" s="106">
        <v>0</v>
      </c>
      <c r="G1433" s="106">
        <v>0</v>
      </c>
      <c r="H1433" s="106">
        <v>905756</v>
      </c>
      <c r="I1433" s="106">
        <v>-827559</v>
      </c>
      <c r="J1433" s="106">
        <v>78197</v>
      </c>
      <c r="K1433" s="106">
        <v>0</v>
      </c>
      <c r="L1433" s="106">
        <v>0</v>
      </c>
      <c r="M1433" s="106">
        <v>0</v>
      </c>
      <c r="N1433" s="106">
        <v>78197</v>
      </c>
    </row>
    <row r="1434" spans="1:14" outlineLevel="2" x14ac:dyDescent="0.35">
      <c r="A1434" s="108" t="s">
        <v>505</v>
      </c>
      <c r="B1434" s="108" t="s">
        <v>206</v>
      </c>
      <c r="C1434" s="106">
        <v>792029</v>
      </c>
      <c r="D1434" s="106">
        <v>-1206</v>
      </c>
      <c r="E1434" s="106">
        <v>0</v>
      </c>
      <c r="F1434" s="106">
        <v>0</v>
      </c>
      <c r="G1434" s="106">
        <v>0</v>
      </c>
      <c r="H1434" s="106">
        <v>790823</v>
      </c>
      <c r="I1434" s="106">
        <v>-738103</v>
      </c>
      <c r="J1434" s="106">
        <v>52720</v>
      </c>
      <c r="K1434" s="106">
        <v>0</v>
      </c>
      <c r="L1434" s="106">
        <v>0</v>
      </c>
      <c r="M1434" s="106">
        <v>0</v>
      </c>
      <c r="N1434" s="106">
        <v>52720</v>
      </c>
    </row>
    <row r="1435" spans="1:14" outlineLevel="2" x14ac:dyDescent="0.35">
      <c r="A1435" s="108" t="s">
        <v>505</v>
      </c>
      <c r="B1435" s="108" t="s">
        <v>205</v>
      </c>
      <c r="C1435" s="106">
        <v>913305</v>
      </c>
      <c r="D1435" s="106">
        <v>-6701</v>
      </c>
      <c r="E1435" s="106">
        <v>0</v>
      </c>
      <c r="F1435" s="106">
        <v>0</v>
      </c>
      <c r="G1435" s="106">
        <v>0</v>
      </c>
      <c r="H1435" s="106">
        <v>906604</v>
      </c>
      <c r="I1435" s="106">
        <v>-899722</v>
      </c>
      <c r="J1435" s="106">
        <v>6882</v>
      </c>
      <c r="K1435" s="106">
        <v>0</v>
      </c>
      <c r="L1435" s="106">
        <v>0</v>
      </c>
      <c r="M1435" s="106">
        <v>0</v>
      </c>
      <c r="N1435" s="106">
        <v>6882</v>
      </c>
    </row>
    <row r="1436" spans="1:14" outlineLevel="2" x14ac:dyDescent="0.35">
      <c r="A1436" s="108" t="s">
        <v>505</v>
      </c>
      <c r="B1436" s="108" t="s">
        <v>204</v>
      </c>
      <c r="C1436" s="106">
        <v>928882</v>
      </c>
      <c r="D1436" s="106">
        <v>-1235</v>
      </c>
      <c r="E1436" s="106">
        <v>0</v>
      </c>
      <c r="F1436" s="106">
        <v>0</v>
      </c>
      <c r="G1436" s="106">
        <v>0</v>
      </c>
      <c r="H1436" s="106">
        <v>927647</v>
      </c>
      <c r="I1436" s="106">
        <v>-917209</v>
      </c>
      <c r="J1436" s="106">
        <v>10438</v>
      </c>
      <c r="K1436" s="106">
        <v>12411</v>
      </c>
      <c r="L1436" s="106">
        <v>-10089</v>
      </c>
      <c r="M1436" s="106">
        <v>2322</v>
      </c>
      <c r="N1436" s="106">
        <v>8116</v>
      </c>
    </row>
    <row r="1437" spans="1:14" outlineLevel="2" x14ac:dyDescent="0.35">
      <c r="A1437" s="108" t="s">
        <v>505</v>
      </c>
      <c r="B1437" s="108" t="s">
        <v>203</v>
      </c>
      <c r="C1437" s="106">
        <v>848621</v>
      </c>
      <c r="D1437" s="106">
        <v>-7853</v>
      </c>
      <c r="E1437" s="106">
        <v>0</v>
      </c>
      <c r="F1437" s="106">
        <v>0</v>
      </c>
      <c r="G1437" s="106">
        <v>0</v>
      </c>
      <c r="H1437" s="106">
        <v>840768</v>
      </c>
      <c r="I1437" s="106">
        <v>-814684</v>
      </c>
      <c r="J1437" s="106">
        <v>26084</v>
      </c>
      <c r="K1437" s="106">
        <v>2</v>
      </c>
      <c r="L1437" s="106">
        <v>0</v>
      </c>
      <c r="M1437" s="106">
        <v>2</v>
      </c>
      <c r="N1437" s="106">
        <v>26082</v>
      </c>
    </row>
    <row r="1438" spans="1:14" outlineLevel="2" x14ac:dyDescent="0.35">
      <c r="A1438" s="108" t="s">
        <v>505</v>
      </c>
      <c r="B1438" s="108" t="s">
        <v>202</v>
      </c>
      <c r="C1438" s="106">
        <v>822436</v>
      </c>
      <c r="D1438" s="106">
        <v>-8350</v>
      </c>
      <c r="E1438" s="106">
        <v>0</v>
      </c>
      <c r="F1438" s="106">
        <v>0</v>
      </c>
      <c r="G1438" s="106">
        <v>0</v>
      </c>
      <c r="H1438" s="106">
        <v>814086</v>
      </c>
      <c r="I1438" s="106">
        <v>-797084</v>
      </c>
      <c r="J1438" s="106">
        <v>17002</v>
      </c>
      <c r="K1438" s="106">
        <v>72250</v>
      </c>
      <c r="L1438" s="106">
        <v>-29296</v>
      </c>
      <c r="M1438" s="106">
        <v>42954</v>
      </c>
      <c r="N1438" s="106">
        <v>-25952</v>
      </c>
    </row>
    <row r="1439" spans="1:14" outlineLevel="1" x14ac:dyDescent="0.35">
      <c r="A1439" s="108" t="s">
        <v>505</v>
      </c>
      <c r="B1439" s="108" t="s">
        <v>201</v>
      </c>
      <c r="C1439" s="106">
        <v>1289098</v>
      </c>
      <c r="D1439" s="106">
        <v>-6074</v>
      </c>
      <c r="E1439" s="106">
        <v>0</v>
      </c>
      <c r="F1439" s="106">
        <v>0</v>
      </c>
      <c r="G1439" s="106">
        <v>0</v>
      </c>
      <c r="H1439" s="106">
        <v>1283024</v>
      </c>
      <c r="I1439" s="106">
        <v>-1278443</v>
      </c>
      <c r="J1439" s="106">
        <v>4581</v>
      </c>
      <c r="K1439" s="106">
        <v>0</v>
      </c>
      <c r="L1439" s="106">
        <v>0</v>
      </c>
      <c r="M1439" s="106">
        <v>0</v>
      </c>
      <c r="N1439" s="106">
        <v>4581</v>
      </c>
    </row>
    <row r="1440" spans="1:14" ht="15.65" customHeight="1" outlineLevel="1" x14ac:dyDescent="0.35">
      <c r="A1440" s="108" t="s">
        <v>505</v>
      </c>
      <c r="B1440" s="108" t="s">
        <v>200</v>
      </c>
      <c r="C1440" s="106">
        <v>449893</v>
      </c>
      <c r="D1440" s="106">
        <v>-1493</v>
      </c>
      <c r="E1440" s="106">
        <v>0</v>
      </c>
      <c r="F1440" s="106">
        <v>0</v>
      </c>
      <c r="G1440" s="106">
        <v>0</v>
      </c>
      <c r="H1440" s="106">
        <v>448400</v>
      </c>
      <c r="I1440" s="106">
        <v>-448400</v>
      </c>
      <c r="J1440" s="106">
        <v>0</v>
      </c>
      <c r="K1440" s="106">
        <v>0</v>
      </c>
      <c r="L1440" s="106">
        <v>0</v>
      </c>
      <c r="M1440" s="106">
        <v>0</v>
      </c>
      <c r="N1440" s="106">
        <v>0</v>
      </c>
    </row>
    <row r="1441" spans="1:14" ht="16" outlineLevel="2" thickBot="1" x14ac:dyDescent="0.4">
      <c r="A1441" s="105" t="s">
        <v>384</v>
      </c>
      <c r="B1441" s="79" t="s">
        <v>12</v>
      </c>
      <c r="C1441" s="103">
        <f>SUBTOTAL(109,Program261[(C)
Program
Costs])</f>
        <v>7177883</v>
      </c>
      <c r="D1441" s="103">
        <f>SUBTOTAL(109,Program261[(D)
Prior Period Adjustments])</f>
        <v>-42845</v>
      </c>
      <c r="E1441" s="103">
        <f>SUBTOTAL(109,Program261[(E)
Current Period Desk 
Reviews])</f>
        <v>0</v>
      </c>
      <c r="F1441" s="103">
        <f>SUBTOTAL(109,Program261[(F)
Current Period 
Final 
Audits])</f>
        <v>0</v>
      </c>
      <c r="G1441" s="103">
        <f>SUBTOTAL(109,Program261[(G)
Current Period 
Other Adjustments])</f>
        <v>0</v>
      </c>
      <c r="H1441" s="103">
        <f>SUBTOTAL(109,Program261[(H)
Net Program Costs
Sum (C through G)])</f>
        <v>7135038</v>
      </c>
      <c r="I1441" s="103">
        <f>SUBTOTAL(109,Program261[(I)
Payments
 and Offsets])</f>
        <v>-6852184</v>
      </c>
      <c r="J1441" s="103">
        <f>SUBTOTAL(109,Program261[(J)
Accounts Payable Balance
(H + I)])</f>
        <v>282854</v>
      </c>
      <c r="K1441" s="103">
        <f>SUBTOTAL(109,Program261[(K)
Established 
Accounts Receivable])</f>
        <v>84663</v>
      </c>
      <c r="L1441" s="103">
        <f>SUBTOTAL(109,Program261[(L)
Recovered
 Accounts Receivable])</f>
        <v>-39385</v>
      </c>
      <c r="M1441" s="103">
        <f>SUBTOTAL(109,Program261[(M)
Accounts Receivable Balance
(K + L)])</f>
        <v>45278</v>
      </c>
      <c r="N1441" s="103">
        <f>SUBTOTAL(109,Program261[(N)
Net Balance
(J minus M)])</f>
        <v>237576</v>
      </c>
    </row>
    <row r="1442" spans="1:14" outlineLevel="2" x14ac:dyDescent="0.35">
      <c r="A1442" s="116" t="s">
        <v>33</v>
      </c>
      <c r="B1442" s="115"/>
      <c r="C1442" s="114"/>
      <c r="D1442" s="114"/>
      <c r="E1442" s="114"/>
      <c r="F1442" s="114"/>
      <c r="G1442" s="114"/>
      <c r="H1442" s="114"/>
      <c r="I1442" s="114"/>
      <c r="J1442" s="114"/>
      <c r="K1442" s="114"/>
      <c r="L1442" s="114"/>
      <c r="M1442" s="114"/>
      <c r="N1442" s="114"/>
    </row>
    <row r="1443" spans="1:14" ht="77.5" outlineLevel="2" x14ac:dyDescent="0.35">
      <c r="A1443" s="113" t="s">
        <v>185</v>
      </c>
      <c r="B1443" s="112" t="s">
        <v>184</v>
      </c>
      <c r="C1443" s="111" t="s">
        <v>183</v>
      </c>
      <c r="D1443" s="111" t="s">
        <v>182</v>
      </c>
      <c r="E1443" s="111" t="s">
        <v>181</v>
      </c>
      <c r="F1443" s="111" t="s">
        <v>180</v>
      </c>
      <c r="G1443" s="111" t="s">
        <v>179</v>
      </c>
      <c r="H1443" s="110" t="s">
        <v>674</v>
      </c>
      <c r="I1443" s="110" t="s">
        <v>178</v>
      </c>
      <c r="J1443" s="110" t="s">
        <v>177</v>
      </c>
      <c r="K1443" s="111" t="s">
        <v>176</v>
      </c>
      <c r="L1443" s="110" t="s">
        <v>175</v>
      </c>
      <c r="M1443" s="110" t="s">
        <v>174</v>
      </c>
      <c r="N1443" s="109" t="s">
        <v>173</v>
      </c>
    </row>
    <row r="1444" spans="1:14" outlineLevel="2" x14ac:dyDescent="0.35">
      <c r="A1444" s="108" t="s">
        <v>504</v>
      </c>
      <c r="B1444" s="108" t="s">
        <v>215</v>
      </c>
      <c r="C1444" s="106">
        <v>3097</v>
      </c>
      <c r="D1444" s="106">
        <v>0</v>
      </c>
      <c r="E1444" s="106">
        <v>0</v>
      </c>
      <c r="F1444" s="106">
        <v>0</v>
      </c>
      <c r="G1444" s="106">
        <v>0</v>
      </c>
      <c r="H1444" s="106">
        <v>3097</v>
      </c>
      <c r="I1444" s="106">
        <v>0</v>
      </c>
      <c r="J1444" s="106">
        <v>3097</v>
      </c>
      <c r="K1444" s="106">
        <v>0</v>
      </c>
      <c r="L1444" s="106">
        <v>0</v>
      </c>
      <c r="M1444" s="106">
        <v>0</v>
      </c>
      <c r="N1444" s="106">
        <v>3097</v>
      </c>
    </row>
    <row r="1445" spans="1:14" outlineLevel="2" x14ac:dyDescent="0.35">
      <c r="A1445" s="108" t="s">
        <v>504</v>
      </c>
      <c r="B1445" s="108" t="s">
        <v>214</v>
      </c>
      <c r="C1445" s="106">
        <v>16313</v>
      </c>
      <c r="D1445" s="106">
        <v>0</v>
      </c>
      <c r="E1445" s="106">
        <v>0</v>
      </c>
      <c r="F1445" s="106">
        <v>0</v>
      </c>
      <c r="G1445" s="106">
        <v>0</v>
      </c>
      <c r="H1445" s="106">
        <v>16313</v>
      </c>
      <c r="I1445" s="106">
        <v>-1000</v>
      </c>
      <c r="J1445" s="106">
        <v>15313</v>
      </c>
      <c r="K1445" s="106">
        <v>0</v>
      </c>
      <c r="L1445" s="106">
        <v>0</v>
      </c>
      <c r="M1445" s="106">
        <v>0</v>
      </c>
      <c r="N1445" s="106">
        <v>15313</v>
      </c>
    </row>
    <row r="1446" spans="1:14" outlineLevel="2" x14ac:dyDescent="0.35">
      <c r="A1446" s="108" t="s">
        <v>504</v>
      </c>
      <c r="B1446" s="108" t="s">
        <v>212</v>
      </c>
      <c r="C1446" s="106">
        <v>19767</v>
      </c>
      <c r="D1446" s="106">
        <v>-1712</v>
      </c>
      <c r="E1446" s="106">
        <v>0</v>
      </c>
      <c r="F1446" s="106">
        <v>0</v>
      </c>
      <c r="G1446" s="106">
        <v>0</v>
      </c>
      <c r="H1446" s="106">
        <v>18055</v>
      </c>
      <c r="I1446" s="106">
        <v>-2017</v>
      </c>
      <c r="J1446" s="106">
        <v>16038</v>
      </c>
      <c r="K1446" s="106">
        <v>0</v>
      </c>
      <c r="L1446" s="106">
        <v>0</v>
      </c>
      <c r="M1446" s="106">
        <v>0</v>
      </c>
      <c r="N1446" s="106">
        <v>16038</v>
      </c>
    </row>
    <row r="1447" spans="1:14" outlineLevel="2" x14ac:dyDescent="0.35">
      <c r="A1447" s="108" t="s">
        <v>504</v>
      </c>
      <c r="B1447" s="108" t="s">
        <v>220</v>
      </c>
      <c r="C1447" s="106">
        <v>22373</v>
      </c>
      <c r="D1447" s="106">
        <v>-1021</v>
      </c>
      <c r="E1447" s="106">
        <v>0</v>
      </c>
      <c r="F1447" s="106">
        <v>0</v>
      </c>
      <c r="G1447" s="106">
        <v>0</v>
      </c>
      <c r="H1447" s="106">
        <v>21352</v>
      </c>
      <c r="I1447" s="106">
        <v>-2021</v>
      </c>
      <c r="J1447" s="106">
        <v>19331</v>
      </c>
      <c r="K1447" s="106">
        <v>0</v>
      </c>
      <c r="L1447" s="106">
        <v>0</v>
      </c>
      <c r="M1447" s="106">
        <v>0</v>
      </c>
      <c r="N1447" s="106">
        <v>19331</v>
      </c>
    </row>
    <row r="1448" spans="1:14" outlineLevel="2" x14ac:dyDescent="0.35">
      <c r="A1448" s="108" t="s">
        <v>504</v>
      </c>
      <c r="B1448" s="108" t="s">
        <v>219</v>
      </c>
      <c r="C1448" s="106">
        <v>99722</v>
      </c>
      <c r="D1448" s="106">
        <v>0</v>
      </c>
      <c r="E1448" s="106">
        <v>0</v>
      </c>
      <c r="F1448" s="106">
        <v>0</v>
      </c>
      <c r="G1448" s="106">
        <v>0</v>
      </c>
      <c r="H1448" s="106">
        <v>99722</v>
      </c>
      <c r="I1448" s="106">
        <v>-34676</v>
      </c>
      <c r="J1448" s="106">
        <v>65046</v>
      </c>
      <c r="K1448" s="106">
        <v>0</v>
      </c>
      <c r="L1448" s="106">
        <v>0</v>
      </c>
      <c r="M1448" s="106">
        <v>0</v>
      </c>
      <c r="N1448" s="106">
        <v>65046</v>
      </c>
    </row>
    <row r="1449" spans="1:14" outlineLevel="2" x14ac:dyDescent="0.35">
      <c r="A1449" s="108" t="s">
        <v>504</v>
      </c>
      <c r="B1449" s="108" t="s">
        <v>218</v>
      </c>
      <c r="C1449" s="106">
        <v>133776</v>
      </c>
      <c r="D1449" s="106">
        <v>-268</v>
      </c>
      <c r="E1449" s="106">
        <v>0</v>
      </c>
      <c r="F1449" s="106">
        <v>0</v>
      </c>
      <c r="G1449" s="106">
        <v>0</v>
      </c>
      <c r="H1449" s="106">
        <v>133508</v>
      </c>
      <c r="I1449" s="106">
        <v>-74816</v>
      </c>
      <c r="J1449" s="106">
        <v>58692</v>
      </c>
      <c r="K1449" s="106">
        <v>0</v>
      </c>
      <c r="L1449" s="106">
        <v>0</v>
      </c>
      <c r="M1449" s="106">
        <v>0</v>
      </c>
      <c r="N1449" s="106">
        <v>58692</v>
      </c>
    </row>
    <row r="1450" spans="1:14" outlineLevel="2" x14ac:dyDescent="0.35">
      <c r="A1450" s="108" t="s">
        <v>504</v>
      </c>
      <c r="B1450" s="108" t="s">
        <v>209</v>
      </c>
      <c r="C1450" s="106">
        <v>314614</v>
      </c>
      <c r="D1450" s="106">
        <v>-11860</v>
      </c>
      <c r="E1450" s="106">
        <v>0</v>
      </c>
      <c r="F1450" s="106">
        <v>0</v>
      </c>
      <c r="G1450" s="106">
        <v>0</v>
      </c>
      <c r="H1450" s="106">
        <v>302754</v>
      </c>
      <c r="I1450" s="106">
        <v>-210002</v>
      </c>
      <c r="J1450" s="106">
        <v>92752</v>
      </c>
      <c r="K1450" s="106">
        <v>0</v>
      </c>
      <c r="L1450" s="106">
        <v>0</v>
      </c>
      <c r="M1450" s="106">
        <v>0</v>
      </c>
      <c r="N1450" s="106">
        <v>92752</v>
      </c>
    </row>
    <row r="1451" spans="1:14" outlineLevel="2" x14ac:dyDescent="0.35">
      <c r="A1451" s="108" t="s">
        <v>504</v>
      </c>
      <c r="B1451" s="108" t="s">
        <v>208</v>
      </c>
      <c r="C1451" s="106">
        <v>1935093</v>
      </c>
      <c r="D1451" s="106">
        <v>-54766</v>
      </c>
      <c r="E1451" s="106">
        <v>0</v>
      </c>
      <c r="F1451" s="106">
        <v>0</v>
      </c>
      <c r="G1451" s="106">
        <v>0</v>
      </c>
      <c r="H1451" s="106">
        <v>1880327</v>
      </c>
      <c r="I1451" s="106">
        <v>-1751540</v>
      </c>
      <c r="J1451" s="106">
        <v>128787</v>
      </c>
      <c r="K1451" s="106">
        <v>0</v>
      </c>
      <c r="L1451" s="106">
        <v>0</v>
      </c>
      <c r="M1451" s="106">
        <v>0</v>
      </c>
      <c r="N1451" s="106">
        <v>128787</v>
      </c>
    </row>
    <row r="1452" spans="1:14" outlineLevel="2" x14ac:dyDescent="0.35">
      <c r="A1452" s="108" t="s">
        <v>504</v>
      </c>
      <c r="B1452" s="108" t="s">
        <v>206</v>
      </c>
      <c r="C1452" s="106">
        <v>2033103</v>
      </c>
      <c r="D1452" s="106">
        <v>-144267</v>
      </c>
      <c r="E1452" s="106">
        <v>0</v>
      </c>
      <c r="F1452" s="106">
        <v>0</v>
      </c>
      <c r="G1452" s="106">
        <v>0</v>
      </c>
      <c r="H1452" s="106">
        <v>1888836</v>
      </c>
      <c r="I1452" s="106">
        <v>-1773230</v>
      </c>
      <c r="J1452" s="106">
        <v>115606</v>
      </c>
      <c r="K1452" s="106">
        <v>0</v>
      </c>
      <c r="L1452" s="106">
        <v>0</v>
      </c>
      <c r="M1452" s="106">
        <v>0</v>
      </c>
      <c r="N1452" s="106">
        <v>115606</v>
      </c>
    </row>
    <row r="1453" spans="1:14" outlineLevel="2" x14ac:dyDescent="0.35">
      <c r="A1453" s="108" t="s">
        <v>504</v>
      </c>
      <c r="B1453" s="108" t="s">
        <v>205</v>
      </c>
      <c r="C1453" s="106">
        <v>2780542</v>
      </c>
      <c r="D1453" s="106">
        <v>-16039</v>
      </c>
      <c r="E1453" s="106">
        <v>0</v>
      </c>
      <c r="F1453" s="106">
        <v>0</v>
      </c>
      <c r="G1453" s="106">
        <v>0</v>
      </c>
      <c r="H1453" s="106">
        <v>2764503</v>
      </c>
      <c r="I1453" s="106">
        <v>-2710687</v>
      </c>
      <c r="J1453" s="106">
        <v>53816</v>
      </c>
      <c r="K1453" s="106">
        <v>0</v>
      </c>
      <c r="L1453" s="106">
        <v>0</v>
      </c>
      <c r="M1453" s="106">
        <v>0</v>
      </c>
      <c r="N1453" s="106">
        <v>53816</v>
      </c>
    </row>
    <row r="1454" spans="1:14" outlineLevel="2" x14ac:dyDescent="0.35">
      <c r="A1454" s="108" t="s">
        <v>504</v>
      </c>
      <c r="B1454" s="108" t="s">
        <v>204</v>
      </c>
      <c r="C1454" s="106">
        <v>3175150</v>
      </c>
      <c r="D1454" s="106">
        <v>-10504</v>
      </c>
      <c r="E1454" s="106">
        <v>0</v>
      </c>
      <c r="F1454" s="106">
        <v>0</v>
      </c>
      <c r="G1454" s="106">
        <v>0</v>
      </c>
      <c r="H1454" s="106">
        <v>3164646</v>
      </c>
      <c r="I1454" s="106">
        <v>-3131852</v>
      </c>
      <c r="J1454" s="106">
        <v>32794</v>
      </c>
      <c r="K1454" s="106">
        <v>471</v>
      </c>
      <c r="L1454" s="106">
        <v>-471</v>
      </c>
      <c r="M1454" s="106">
        <v>0</v>
      </c>
      <c r="N1454" s="106">
        <v>32794</v>
      </c>
    </row>
    <row r="1455" spans="1:14" outlineLevel="2" x14ac:dyDescent="0.35">
      <c r="A1455" s="108" t="s">
        <v>504</v>
      </c>
      <c r="B1455" s="108" t="s">
        <v>203</v>
      </c>
      <c r="C1455" s="106">
        <v>2866997</v>
      </c>
      <c r="D1455" s="106">
        <v>-75376</v>
      </c>
      <c r="E1455" s="106">
        <v>0</v>
      </c>
      <c r="F1455" s="106">
        <v>0</v>
      </c>
      <c r="G1455" s="106">
        <v>0</v>
      </c>
      <c r="H1455" s="106">
        <v>2791621</v>
      </c>
      <c r="I1455" s="106">
        <v>-2744445</v>
      </c>
      <c r="J1455" s="106">
        <v>47176</v>
      </c>
      <c r="K1455" s="106">
        <v>0</v>
      </c>
      <c r="L1455" s="106">
        <v>0</v>
      </c>
      <c r="M1455" s="106">
        <v>0</v>
      </c>
      <c r="N1455" s="106">
        <v>47176</v>
      </c>
    </row>
    <row r="1456" spans="1:14" outlineLevel="2" x14ac:dyDescent="0.35">
      <c r="A1456" s="108" t="s">
        <v>504</v>
      </c>
      <c r="B1456" s="108" t="s">
        <v>202</v>
      </c>
      <c r="C1456" s="106">
        <v>3410022</v>
      </c>
      <c r="D1456" s="106">
        <v>-170181</v>
      </c>
      <c r="E1456" s="106">
        <v>0</v>
      </c>
      <c r="F1456" s="106">
        <v>0</v>
      </c>
      <c r="G1456" s="106">
        <v>0</v>
      </c>
      <c r="H1456" s="106">
        <v>3239841</v>
      </c>
      <c r="I1456" s="106">
        <v>-3209138</v>
      </c>
      <c r="J1456" s="106">
        <v>30703</v>
      </c>
      <c r="K1456" s="106">
        <v>73306</v>
      </c>
      <c r="L1456" s="106">
        <v>-50579</v>
      </c>
      <c r="M1456" s="106">
        <v>22727</v>
      </c>
      <c r="N1456" s="106">
        <v>7976</v>
      </c>
    </row>
    <row r="1457" spans="1:14" outlineLevel="2" x14ac:dyDescent="0.35">
      <c r="A1457" s="108" t="s">
        <v>504</v>
      </c>
      <c r="B1457" s="108" t="s">
        <v>201</v>
      </c>
      <c r="C1457" s="106">
        <v>3146710</v>
      </c>
      <c r="D1457" s="106">
        <v>-143041</v>
      </c>
      <c r="E1457" s="106">
        <v>0</v>
      </c>
      <c r="F1457" s="106">
        <v>0</v>
      </c>
      <c r="G1457" s="106">
        <v>0</v>
      </c>
      <c r="H1457" s="106">
        <v>3003669</v>
      </c>
      <c r="I1457" s="106">
        <v>-2979014</v>
      </c>
      <c r="J1457" s="106">
        <v>24655</v>
      </c>
      <c r="K1457" s="106">
        <v>0</v>
      </c>
      <c r="L1457" s="106">
        <v>0</v>
      </c>
      <c r="M1457" s="106">
        <v>0</v>
      </c>
      <c r="N1457" s="106">
        <v>24655</v>
      </c>
    </row>
    <row r="1458" spans="1:14" outlineLevel="2" x14ac:dyDescent="0.35">
      <c r="A1458" s="108" t="s">
        <v>504</v>
      </c>
      <c r="B1458" s="108" t="s">
        <v>200</v>
      </c>
      <c r="C1458" s="106">
        <v>2551504</v>
      </c>
      <c r="D1458" s="106">
        <v>-148012</v>
      </c>
      <c r="E1458" s="106">
        <v>0</v>
      </c>
      <c r="F1458" s="106">
        <v>0</v>
      </c>
      <c r="G1458" s="106">
        <v>0</v>
      </c>
      <c r="H1458" s="106">
        <v>2403492</v>
      </c>
      <c r="I1458" s="106">
        <v>-2403492</v>
      </c>
      <c r="J1458" s="106">
        <v>0</v>
      </c>
      <c r="K1458" s="106">
        <v>141792</v>
      </c>
      <c r="L1458" s="106">
        <v>-135246</v>
      </c>
      <c r="M1458" s="106">
        <v>6546</v>
      </c>
      <c r="N1458" s="106">
        <v>-6546</v>
      </c>
    </row>
    <row r="1459" spans="1:14" outlineLevel="2" x14ac:dyDescent="0.35">
      <c r="A1459" s="108" t="s">
        <v>504</v>
      </c>
      <c r="B1459" s="108" t="s">
        <v>199</v>
      </c>
      <c r="C1459" s="106">
        <v>3095296</v>
      </c>
      <c r="D1459" s="106">
        <v>-3498</v>
      </c>
      <c r="E1459" s="106">
        <v>0</v>
      </c>
      <c r="F1459" s="106">
        <v>0</v>
      </c>
      <c r="G1459" s="106">
        <v>0</v>
      </c>
      <c r="H1459" s="106">
        <v>3091798</v>
      </c>
      <c r="I1459" s="106">
        <v>-3091798</v>
      </c>
      <c r="J1459" s="106">
        <v>0</v>
      </c>
      <c r="K1459" s="106">
        <v>0</v>
      </c>
      <c r="L1459" s="106">
        <v>0</v>
      </c>
      <c r="M1459" s="106">
        <v>0</v>
      </c>
      <c r="N1459" s="106">
        <v>0</v>
      </c>
    </row>
    <row r="1460" spans="1:14" outlineLevel="2" x14ac:dyDescent="0.35">
      <c r="A1460" s="108" t="s">
        <v>504</v>
      </c>
      <c r="B1460" s="108" t="s">
        <v>198</v>
      </c>
      <c r="C1460" s="106">
        <v>27282522</v>
      </c>
      <c r="D1460" s="106">
        <v>-25338584</v>
      </c>
      <c r="E1460" s="106">
        <v>0</v>
      </c>
      <c r="F1460" s="106">
        <v>0</v>
      </c>
      <c r="G1460" s="106">
        <v>0</v>
      </c>
      <c r="H1460" s="106">
        <v>1943938</v>
      </c>
      <c r="I1460" s="106">
        <v>-1943938</v>
      </c>
      <c r="J1460" s="106">
        <v>0</v>
      </c>
      <c r="K1460" s="106">
        <v>25317281</v>
      </c>
      <c r="L1460" s="106">
        <v>-2721523</v>
      </c>
      <c r="M1460" s="106">
        <v>22595758</v>
      </c>
      <c r="N1460" s="106">
        <v>-22595758</v>
      </c>
    </row>
    <row r="1461" spans="1:14" outlineLevel="2" x14ac:dyDescent="0.35">
      <c r="A1461" s="108" t="s">
        <v>504</v>
      </c>
      <c r="B1461" s="108" t="s">
        <v>197</v>
      </c>
      <c r="C1461" s="106">
        <v>16016067</v>
      </c>
      <c r="D1461" s="106">
        <v>-13853862</v>
      </c>
      <c r="E1461" s="106">
        <v>0</v>
      </c>
      <c r="F1461" s="106">
        <v>0</v>
      </c>
      <c r="G1461" s="106">
        <v>0</v>
      </c>
      <c r="H1461" s="106">
        <v>2162205</v>
      </c>
      <c r="I1461" s="106">
        <v>-2162205</v>
      </c>
      <c r="J1461" s="106">
        <v>0</v>
      </c>
      <c r="K1461" s="106">
        <v>13814130</v>
      </c>
      <c r="L1461" s="106">
        <v>-654358</v>
      </c>
      <c r="M1461" s="106">
        <v>13159772</v>
      </c>
      <c r="N1461" s="106">
        <v>-13159772</v>
      </c>
    </row>
    <row r="1462" spans="1:14" outlineLevel="2" x14ac:dyDescent="0.35">
      <c r="A1462" s="108" t="s">
        <v>504</v>
      </c>
      <c r="B1462" s="108" t="s">
        <v>196</v>
      </c>
      <c r="C1462" s="106">
        <v>1627351</v>
      </c>
      <c r="D1462" s="106">
        <v>-30374</v>
      </c>
      <c r="E1462" s="106">
        <v>0</v>
      </c>
      <c r="F1462" s="106">
        <v>0</v>
      </c>
      <c r="G1462" s="106">
        <v>0</v>
      </c>
      <c r="H1462" s="106">
        <v>1596977</v>
      </c>
      <c r="I1462" s="106">
        <v>-1596977</v>
      </c>
      <c r="J1462" s="106">
        <v>0</v>
      </c>
      <c r="K1462" s="106">
        <v>0</v>
      </c>
      <c r="L1462" s="106">
        <v>0</v>
      </c>
      <c r="M1462" s="106">
        <v>0</v>
      </c>
      <c r="N1462" s="106">
        <v>0</v>
      </c>
    </row>
    <row r="1463" spans="1:14" outlineLevel="2" x14ac:dyDescent="0.35">
      <c r="A1463" s="108" t="s">
        <v>504</v>
      </c>
      <c r="B1463" s="108" t="s">
        <v>195</v>
      </c>
      <c r="C1463" s="106">
        <v>1512677</v>
      </c>
      <c r="D1463" s="106">
        <v>-29185</v>
      </c>
      <c r="E1463" s="106">
        <v>0</v>
      </c>
      <c r="F1463" s="106">
        <v>0</v>
      </c>
      <c r="G1463" s="106">
        <v>0</v>
      </c>
      <c r="H1463" s="106">
        <v>1483492</v>
      </c>
      <c r="I1463" s="106">
        <v>-1483492</v>
      </c>
      <c r="J1463" s="106">
        <v>0</v>
      </c>
      <c r="K1463" s="106">
        <v>0</v>
      </c>
      <c r="L1463" s="106">
        <v>0</v>
      </c>
      <c r="M1463" s="106">
        <v>0</v>
      </c>
      <c r="N1463" s="106">
        <v>0</v>
      </c>
    </row>
    <row r="1464" spans="1:14" outlineLevel="2" x14ac:dyDescent="0.35">
      <c r="A1464" s="108" t="s">
        <v>504</v>
      </c>
      <c r="B1464" s="108" t="s">
        <v>194</v>
      </c>
      <c r="C1464" s="106">
        <v>4056744</v>
      </c>
      <c r="D1464" s="106">
        <v>-3196336</v>
      </c>
      <c r="E1464" s="106">
        <v>0</v>
      </c>
      <c r="F1464" s="106">
        <v>0</v>
      </c>
      <c r="G1464" s="106">
        <v>0</v>
      </c>
      <c r="H1464" s="106">
        <v>860408</v>
      </c>
      <c r="I1464" s="106">
        <v>-860408</v>
      </c>
      <c r="J1464" s="106">
        <v>0</v>
      </c>
      <c r="K1464" s="106">
        <v>3186168</v>
      </c>
      <c r="L1464" s="106">
        <v>-1861377</v>
      </c>
      <c r="M1464" s="106">
        <v>1324791</v>
      </c>
      <c r="N1464" s="106">
        <v>-1324791</v>
      </c>
    </row>
    <row r="1465" spans="1:14" outlineLevel="2" x14ac:dyDescent="0.35">
      <c r="A1465" s="108" t="s">
        <v>504</v>
      </c>
      <c r="B1465" s="108" t="s">
        <v>193</v>
      </c>
      <c r="C1465" s="106">
        <v>4730891</v>
      </c>
      <c r="D1465" s="106">
        <v>-3130626</v>
      </c>
      <c r="E1465" s="106">
        <v>0</v>
      </c>
      <c r="F1465" s="106">
        <v>0</v>
      </c>
      <c r="G1465" s="106">
        <v>0</v>
      </c>
      <c r="H1465" s="106">
        <v>1600265</v>
      </c>
      <c r="I1465" s="106">
        <v>-1600265</v>
      </c>
      <c r="J1465" s="106">
        <v>0</v>
      </c>
      <c r="K1465" s="106">
        <v>3129362</v>
      </c>
      <c r="L1465" s="106">
        <v>-3129362</v>
      </c>
      <c r="M1465" s="106">
        <v>0</v>
      </c>
      <c r="N1465" s="106">
        <v>0</v>
      </c>
    </row>
    <row r="1466" spans="1:14" ht="16" outlineLevel="2" thickBot="1" x14ac:dyDescent="0.4">
      <c r="A1466" s="105" t="s">
        <v>383</v>
      </c>
      <c r="B1466" s="79" t="s">
        <v>12</v>
      </c>
      <c r="C1466" s="103">
        <f>SUBTOTAL(109,Program244[(C)
Program
Costs])</f>
        <v>80830331</v>
      </c>
      <c r="D1466" s="103">
        <f>SUBTOTAL(109,Program244[(D)
Prior Period Adjustments])</f>
        <v>-46359512</v>
      </c>
      <c r="E1466" s="103">
        <f>SUBTOTAL(109,Program244[(E)
Current Period Desk 
Reviews])</f>
        <v>0</v>
      </c>
      <c r="F1466" s="103">
        <f>SUBTOTAL(109,Program244[(F)
Current Period 
Final 
Audits])</f>
        <v>0</v>
      </c>
      <c r="G1466" s="103">
        <f>SUBTOTAL(109,Program244[(G)
Current Period 
Other Adjustments])</f>
        <v>0</v>
      </c>
      <c r="H1466" s="103">
        <f>SUBTOTAL(109,Program244[(H)
Net Program Costs
Sum (C through G)])</f>
        <v>34470819</v>
      </c>
      <c r="I1466" s="103">
        <f>SUBTOTAL(109,Program244[(I)
Payments
 and Offsets])</f>
        <v>-33767013</v>
      </c>
      <c r="J1466" s="103">
        <f>SUBTOTAL(109,Program244[(J)
Accounts Payable Balance
(H + I)])</f>
        <v>703806</v>
      </c>
      <c r="K1466" s="103">
        <f>SUBTOTAL(109,Program244[(K)
Established 
Accounts Receivable])</f>
        <v>45662510</v>
      </c>
      <c r="L1466" s="103">
        <f>SUBTOTAL(109,Program244[(L)
Recovered
 Accounts Receivable])</f>
        <v>-8552916</v>
      </c>
      <c r="M1466" s="103">
        <f>SUBTOTAL(109,Program244[(M)
Accounts Receivable Balance
(K + L)])</f>
        <v>37109594</v>
      </c>
      <c r="N1466" s="103">
        <f>SUBTOTAL(109,Program244[(N)
Net Balance
(J minus M)])</f>
        <v>-36405788</v>
      </c>
    </row>
    <row r="1467" spans="1:14" outlineLevel="1" x14ac:dyDescent="0.35">
      <c r="A1467" s="116" t="s">
        <v>33</v>
      </c>
      <c r="B1467" s="115"/>
      <c r="C1467" s="114"/>
      <c r="D1467" s="114"/>
      <c r="E1467" s="114"/>
      <c r="F1467" s="114"/>
      <c r="G1467" s="114"/>
      <c r="H1467" s="114"/>
      <c r="I1467" s="114"/>
      <c r="J1467" s="114"/>
      <c r="K1467" s="114"/>
      <c r="L1467" s="114"/>
      <c r="M1467" s="114"/>
      <c r="N1467" s="114"/>
    </row>
    <row r="1468" spans="1:14" ht="78.75" customHeight="1" outlineLevel="1" x14ac:dyDescent="0.35">
      <c r="A1468" s="113" t="s">
        <v>185</v>
      </c>
      <c r="B1468" s="112" t="s">
        <v>184</v>
      </c>
      <c r="C1468" s="111" t="s">
        <v>183</v>
      </c>
      <c r="D1468" s="111" t="s">
        <v>182</v>
      </c>
      <c r="E1468" s="111" t="s">
        <v>181</v>
      </c>
      <c r="F1468" s="111" t="s">
        <v>180</v>
      </c>
      <c r="G1468" s="111" t="s">
        <v>179</v>
      </c>
      <c r="H1468" s="110" t="s">
        <v>674</v>
      </c>
      <c r="I1468" s="110" t="s">
        <v>178</v>
      </c>
      <c r="J1468" s="110" t="s">
        <v>177</v>
      </c>
      <c r="K1468" s="111" t="s">
        <v>176</v>
      </c>
      <c r="L1468" s="110" t="s">
        <v>175</v>
      </c>
      <c r="M1468" s="110" t="s">
        <v>174</v>
      </c>
      <c r="N1468" s="109" t="s">
        <v>173</v>
      </c>
    </row>
    <row r="1469" spans="1:14" ht="15.5" customHeight="1" outlineLevel="1" x14ac:dyDescent="0.35">
      <c r="A1469" s="77" t="s">
        <v>503</v>
      </c>
      <c r="B1469" s="108" t="s">
        <v>206</v>
      </c>
      <c r="C1469" s="106">
        <v>11725</v>
      </c>
      <c r="D1469" s="106">
        <v>-1442</v>
      </c>
      <c r="E1469" s="106">
        <v>0</v>
      </c>
      <c r="F1469" s="106">
        <v>0</v>
      </c>
      <c r="G1469" s="106">
        <v>0</v>
      </c>
      <c r="H1469" s="106">
        <v>10283</v>
      </c>
      <c r="I1469" s="106">
        <v>-10283</v>
      </c>
      <c r="J1469" s="106">
        <v>0</v>
      </c>
      <c r="K1469" s="106">
        <v>0</v>
      </c>
      <c r="L1469" s="106">
        <v>0</v>
      </c>
      <c r="M1469" s="106">
        <v>0</v>
      </c>
      <c r="N1469" s="106">
        <v>0</v>
      </c>
    </row>
    <row r="1470" spans="1:14" ht="15.5" customHeight="1" outlineLevel="2" x14ac:dyDescent="0.35">
      <c r="A1470" s="77" t="s">
        <v>503</v>
      </c>
      <c r="B1470" s="108" t="s">
        <v>205</v>
      </c>
      <c r="C1470" s="106">
        <v>118061</v>
      </c>
      <c r="D1470" s="106">
        <v>-4151</v>
      </c>
      <c r="E1470" s="106">
        <v>0</v>
      </c>
      <c r="F1470" s="106">
        <v>0</v>
      </c>
      <c r="G1470" s="106">
        <v>0</v>
      </c>
      <c r="H1470" s="106">
        <v>113910</v>
      </c>
      <c r="I1470" s="106">
        <v>-97651</v>
      </c>
      <c r="J1470" s="106">
        <v>16259</v>
      </c>
      <c r="K1470" s="106">
        <v>19</v>
      </c>
      <c r="L1470" s="106">
        <v>-19</v>
      </c>
      <c r="M1470" s="106">
        <v>0</v>
      </c>
      <c r="N1470" s="106">
        <v>16259</v>
      </c>
    </row>
    <row r="1471" spans="1:14" ht="15.5" customHeight="1" outlineLevel="2" x14ac:dyDescent="0.35">
      <c r="A1471" s="77" t="s">
        <v>503</v>
      </c>
      <c r="B1471" s="108" t="s">
        <v>204</v>
      </c>
      <c r="C1471" s="106">
        <v>111663</v>
      </c>
      <c r="D1471" s="106">
        <v>-2146</v>
      </c>
      <c r="E1471" s="106">
        <v>0</v>
      </c>
      <c r="F1471" s="106">
        <v>0</v>
      </c>
      <c r="G1471" s="106">
        <v>0</v>
      </c>
      <c r="H1471" s="106">
        <v>109517</v>
      </c>
      <c r="I1471" s="106">
        <v>-107006</v>
      </c>
      <c r="J1471" s="106">
        <v>2511</v>
      </c>
      <c r="K1471" s="106">
        <v>0</v>
      </c>
      <c r="L1471" s="106">
        <v>0</v>
      </c>
      <c r="M1471" s="106">
        <v>0</v>
      </c>
      <c r="N1471" s="106">
        <v>2511</v>
      </c>
    </row>
    <row r="1472" spans="1:14" ht="15.5" customHeight="1" outlineLevel="2" x14ac:dyDescent="0.35">
      <c r="A1472" s="77" t="s">
        <v>503</v>
      </c>
      <c r="B1472" s="108" t="s">
        <v>203</v>
      </c>
      <c r="C1472" s="106">
        <v>97513</v>
      </c>
      <c r="D1472" s="106">
        <v>-6520</v>
      </c>
      <c r="E1472" s="106">
        <v>0</v>
      </c>
      <c r="F1472" s="106">
        <v>0</v>
      </c>
      <c r="G1472" s="106">
        <v>0</v>
      </c>
      <c r="H1472" s="106">
        <v>90993</v>
      </c>
      <c r="I1472" s="106">
        <v>-85092</v>
      </c>
      <c r="J1472" s="106">
        <v>5901</v>
      </c>
      <c r="K1472" s="106">
        <v>0</v>
      </c>
      <c r="L1472" s="106">
        <v>0</v>
      </c>
      <c r="M1472" s="106">
        <v>0</v>
      </c>
      <c r="N1472" s="106">
        <v>5901</v>
      </c>
    </row>
    <row r="1473" spans="1:14" ht="15.5" customHeight="1" outlineLevel="2" x14ac:dyDescent="0.35">
      <c r="A1473" s="77" t="s">
        <v>503</v>
      </c>
      <c r="B1473" s="108" t="s">
        <v>202</v>
      </c>
      <c r="C1473" s="106">
        <v>68265</v>
      </c>
      <c r="D1473" s="106">
        <v>0</v>
      </c>
      <c r="E1473" s="106">
        <v>0</v>
      </c>
      <c r="F1473" s="106">
        <v>0</v>
      </c>
      <c r="G1473" s="106">
        <v>0</v>
      </c>
      <c r="H1473" s="106">
        <v>68265</v>
      </c>
      <c r="I1473" s="106">
        <v>-55179</v>
      </c>
      <c r="J1473" s="106">
        <v>13086</v>
      </c>
      <c r="K1473" s="106">
        <v>1388</v>
      </c>
      <c r="L1473" s="106">
        <v>-1388</v>
      </c>
      <c r="M1473" s="106">
        <v>0</v>
      </c>
      <c r="N1473" s="106">
        <v>13086</v>
      </c>
    </row>
    <row r="1474" spans="1:14" ht="15.5" customHeight="1" outlineLevel="2" x14ac:dyDescent="0.35">
      <c r="A1474" s="77" t="s">
        <v>503</v>
      </c>
      <c r="B1474" s="108" t="s">
        <v>201</v>
      </c>
      <c r="C1474" s="106">
        <v>285107</v>
      </c>
      <c r="D1474" s="106">
        <v>-1318</v>
      </c>
      <c r="E1474" s="106">
        <v>0</v>
      </c>
      <c r="F1474" s="106">
        <v>0</v>
      </c>
      <c r="G1474" s="106">
        <v>0</v>
      </c>
      <c r="H1474" s="106">
        <v>283789</v>
      </c>
      <c r="I1474" s="106">
        <v>-7758</v>
      </c>
      <c r="J1474" s="106">
        <v>276031</v>
      </c>
      <c r="K1474" s="106">
        <v>0</v>
      </c>
      <c r="L1474" s="106">
        <v>0</v>
      </c>
      <c r="M1474" s="106">
        <v>0</v>
      </c>
      <c r="N1474" s="106">
        <v>276031</v>
      </c>
    </row>
    <row r="1475" spans="1:14" ht="15.5" customHeight="1" outlineLevel="2" x14ac:dyDescent="0.35">
      <c r="A1475" s="77" t="s">
        <v>503</v>
      </c>
      <c r="B1475" s="108" t="s">
        <v>200</v>
      </c>
      <c r="C1475" s="106">
        <v>229020</v>
      </c>
      <c r="D1475" s="106">
        <v>0</v>
      </c>
      <c r="E1475" s="106">
        <v>0</v>
      </c>
      <c r="F1475" s="106">
        <v>0</v>
      </c>
      <c r="G1475" s="106">
        <v>0</v>
      </c>
      <c r="H1475" s="106">
        <v>229020</v>
      </c>
      <c r="I1475" s="106">
        <v>-229020</v>
      </c>
      <c r="J1475" s="106">
        <v>0</v>
      </c>
      <c r="K1475" s="106">
        <v>0</v>
      </c>
      <c r="L1475" s="106">
        <v>0</v>
      </c>
      <c r="M1475" s="106">
        <v>0</v>
      </c>
      <c r="N1475" s="106">
        <v>0</v>
      </c>
    </row>
    <row r="1476" spans="1:14" ht="15.5" customHeight="1" outlineLevel="2" x14ac:dyDescent="0.35">
      <c r="A1476" s="77" t="s">
        <v>503</v>
      </c>
      <c r="B1476" s="108" t="s">
        <v>199</v>
      </c>
      <c r="C1476" s="106">
        <v>154242</v>
      </c>
      <c r="D1476" s="106">
        <v>-411</v>
      </c>
      <c r="E1476" s="106">
        <v>0</v>
      </c>
      <c r="F1476" s="106">
        <v>0</v>
      </c>
      <c r="G1476" s="106">
        <v>0</v>
      </c>
      <c r="H1476" s="106">
        <v>153831</v>
      </c>
      <c r="I1476" s="106">
        <v>-153831</v>
      </c>
      <c r="J1476" s="106">
        <v>0</v>
      </c>
      <c r="K1476" s="106">
        <v>0</v>
      </c>
      <c r="L1476" s="106">
        <v>0</v>
      </c>
      <c r="M1476" s="106">
        <v>0</v>
      </c>
      <c r="N1476" s="106">
        <v>0</v>
      </c>
    </row>
    <row r="1477" spans="1:14" ht="15.5" customHeight="1" outlineLevel="2" x14ac:dyDescent="0.35">
      <c r="A1477" s="77" t="s">
        <v>503</v>
      </c>
      <c r="B1477" s="108" t="s">
        <v>198</v>
      </c>
      <c r="C1477" s="106">
        <v>162225</v>
      </c>
      <c r="D1477" s="106">
        <v>0</v>
      </c>
      <c r="E1477" s="106">
        <v>0</v>
      </c>
      <c r="F1477" s="106">
        <v>0</v>
      </c>
      <c r="G1477" s="106">
        <v>0</v>
      </c>
      <c r="H1477" s="106">
        <v>162225</v>
      </c>
      <c r="I1477" s="106">
        <v>-162225</v>
      </c>
      <c r="J1477" s="106">
        <v>0</v>
      </c>
      <c r="K1477" s="106">
        <v>0</v>
      </c>
      <c r="L1477" s="106">
        <v>0</v>
      </c>
      <c r="M1477" s="106">
        <v>0</v>
      </c>
      <c r="N1477" s="106">
        <v>0</v>
      </c>
    </row>
    <row r="1478" spans="1:14" ht="15.5" customHeight="1" outlineLevel="2" x14ac:dyDescent="0.35">
      <c r="A1478" s="77" t="s">
        <v>503</v>
      </c>
      <c r="B1478" s="108" t="s">
        <v>197</v>
      </c>
      <c r="C1478" s="106">
        <v>190275</v>
      </c>
      <c r="D1478" s="106">
        <v>-173</v>
      </c>
      <c r="E1478" s="106">
        <v>0</v>
      </c>
      <c r="F1478" s="106">
        <v>0</v>
      </c>
      <c r="G1478" s="106">
        <v>0</v>
      </c>
      <c r="H1478" s="106">
        <v>190102</v>
      </c>
      <c r="I1478" s="106">
        <v>-190102</v>
      </c>
      <c r="J1478" s="106">
        <v>0</v>
      </c>
      <c r="K1478" s="106">
        <v>247725</v>
      </c>
      <c r="L1478" s="106">
        <v>-247725</v>
      </c>
      <c r="M1478" s="106">
        <v>0</v>
      </c>
      <c r="N1478" s="106">
        <v>0</v>
      </c>
    </row>
    <row r="1479" spans="1:14" ht="15.5" customHeight="1" outlineLevel="2" x14ac:dyDescent="0.35">
      <c r="A1479" s="77" t="s">
        <v>503</v>
      </c>
      <c r="B1479" s="108" t="s">
        <v>196</v>
      </c>
      <c r="C1479" s="106">
        <v>232338</v>
      </c>
      <c r="D1479" s="106">
        <v>-8927</v>
      </c>
      <c r="E1479" s="106">
        <v>0</v>
      </c>
      <c r="F1479" s="106">
        <v>0</v>
      </c>
      <c r="G1479" s="106">
        <v>0</v>
      </c>
      <c r="H1479" s="106">
        <v>223411</v>
      </c>
      <c r="I1479" s="106">
        <v>-223411</v>
      </c>
      <c r="J1479" s="106">
        <v>0</v>
      </c>
      <c r="K1479" s="106">
        <v>319726</v>
      </c>
      <c r="L1479" s="106">
        <v>-319726</v>
      </c>
      <c r="M1479" s="106">
        <v>0</v>
      </c>
      <c r="N1479" s="106">
        <v>0</v>
      </c>
    </row>
    <row r="1480" spans="1:14" ht="15.5" customHeight="1" outlineLevel="2" x14ac:dyDescent="0.35">
      <c r="A1480" s="77" t="s">
        <v>503</v>
      </c>
      <c r="B1480" s="108" t="s">
        <v>195</v>
      </c>
      <c r="C1480" s="106">
        <v>289402</v>
      </c>
      <c r="D1480" s="106">
        <v>-2776</v>
      </c>
      <c r="E1480" s="106">
        <v>0</v>
      </c>
      <c r="F1480" s="106">
        <v>0</v>
      </c>
      <c r="G1480" s="106">
        <v>0</v>
      </c>
      <c r="H1480" s="106">
        <v>286626</v>
      </c>
      <c r="I1480" s="106">
        <v>-286626</v>
      </c>
      <c r="J1480" s="106">
        <v>0</v>
      </c>
      <c r="K1480" s="106">
        <v>0</v>
      </c>
      <c r="L1480" s="106">
        <v>0</v>
      </c>
      <c r="M1480" s="106">
        <v>0</v>
      </c>
      <c r="N1480" s="106">
        <v>0</v>
      </c>
    </row>
    <row r="1481" spans="1:14" ht="15.5" customHeight="1" outlineLevel="2" x14ac:dyDescent="0.35">
      <c r="A1481" s="77" t="s">
        <v>503</v>
      </c>
      <c r="B1481" s="108" t="s">
        <v>194</v>
      </c>
      <c r="C1481" s="106">
        <v>217453</v>
      </c>
      <c r="D1481" s="106">
        <v>-12241</v>
      </c>
      <c r="E1481" s="106">
        <v>0</v>
      </c>
      <c r="F1481" s="106">
        <v>0</v>
      </c>
      <c r="G1481" s="106">
        <v>0</v>
      </c>
      <c r="H1481" s="106">
        <v>205212</v>
      </c>
      <c r="I1481" s="106">
        <v>-205212</v>
      </c>
      <c r="J1481" s="106">
        <v>0</v>
      </c>
      <c r="K1481" s="106">
        <v>0</v>
      </c>
      <c r="L1481" s="106">
        <v>0</v>
      </c>
      <c r="M1481" s="106">
        <v>0</v>
      </c>
      <c r="N1481" s="106">
        <v>0</v>
      </c>
    </row>
    <row r="1482" spans="1:14" ht="15.5" customHeight="1" outlineLevel="2" x14ac:dyDescent="0.35">
      <c r="A1482" s="77" t="s">
        <v>503</v>
      </c>
      <c r="B1482" s="108" t="s">
        <v>193</v>
      </c>
      <c r="C1482" s="106">
        <v>284110</v>
      </c>
      <c r="D1482" s="106">
        <v>-11012</v>
      </c>
      <c r="E1482" s="106">
        <v>0</v>
      </c>
      <c r="F1482" s="106">
        <v>0</v>
      </c>
      <c r="G1482" s="106">
        <v>0</v>
      </c>
      <c r="H1482" s="106">
        <v>273098</v>
      </c>
      <c r="I1482" s="106">
        <v>-273098</v>
      </c>
      <c r="J1482" s="106">
        <v>0</v>
      </c>
      <c r="K1482" s="106">
        <v>0</v>
      </c>
      <c r="L1482" s="106">
        <v>0</v>
      </c>
      <c r="M1482" s="106">
        <v>0</v>
      </c>
      <c r="N1482" s="106">
        <v>0</v>
      </c>
    </row>
    <row r="1483" spans="1:14" ht="15.5" customHeight="1" outlineLevel="2" x14ac:dyDescent="0.35">
      <c r="A1483" s="77" t="s">
        <v>503</v>
      </c>
      <c r="B1483" s="108" t="s">
        <v>192</v>
      </c>
      <c r="C1483" s="106">
        <v>202709</v>
      </c>
      <c r="D1483" s="106">
        <v>-11167</v>
      </c>
      <c r="E1483" s="106">
        <v>0</v>
      </c>
      <c r="F1483" s="106">
        <v>0</v>
      </c>
      <c r="G1483" s="106">
        <v>0</v>
      </c>
      <c r="H1483" s="106">
        <v>191542</v>
      </c>
      <c r="I1483" s="106">
        <v>-191542</v>
      </c>
      <c r="J1483" s="106">
        <v>0</v>
      </c>
      <c r="K1483" s="106">
        <v>0</v>
      </c>
      <c r="L1483" s="106">
        <v>0</v>
      </c>
      <c r="M1483" s="106">
        <v>0</v>
      </c>
      <c r="N1483" s="106">
        <v>0</v>
      </c>
    </row>
    <row r="1484" spans="1:14" ht="15.5" customHeight="1" outlineLevel="2" x14ac:dyDescent="0.35">
      <c r="A1484" s="77" t="s">
        <v>503</v>
      </c>
      <c r="B1484" s="108" t="s">
        <v>191</v>
      </c>
      <c r="C1484" s="106">
        <v>204780</v>
      </c>
      <c r="D1484" s="106">
        <v>-14038</v>
      </c>
      <c r="E1484" s="106">
        <v>0</v>
      </c>
      <c r="F1484" s="106">
        <v>0</v>
      </c>
      <c r="G1484" s="106">
        <v>0</v>
      </c>
      <c r="H1484" s="106">
        <v>190742</v>
      </c>
      <c r="I1484" s="106">
        <v>-190742</v>
      </c>
      <c r="J1484" s="106">
        <v>0</v>
      </c>
      <c r="K1484" s="106">
        <v>0</v>
      </c>
      <c r="L1484" s="106">
        <v>0</v>
      </c>
      <c r="M1484" s="106">
        <v>0</v>
      </c>
      <c r="N1484" s="106">
        <v>0</v>
      </c>
    </row>
    <row r="1485" spans="1:14" ht="16" outlineLevel="2" thickBot="1" x14ac:dyDescent="0.4">
      <c r="A1485" s="105" t="s">
        <v>382</v>
      </c>
      <c r="B1485" s="79" t="s">
        <v>12</v>
      </c>
      <c r="C1485" s="103">
        <f>SUBTOTAL(109,Program182[(C)
Program
Costs])</f>
        <v>2858888</v>
      </c>
      <c r="D1485" s="103">
        <f>SUBTOTAL(109,Program182[(D)
Prior Period Adjustments])</f>
        <v>-76322</v>
      </c>
      <c r="E1485" s="103">
        <f>SUBTOTAL(109,Program182[(E)
Current Period Desk 
Reviews])</f>
        <v>0</v>
      </c>
      <c r="F1485" s="103">
        <f>SUBTOTAL(109,Program182[(F)
Current Period 
Final 
Audits])</f>
        <v>0</v>
      </c>
      <c r="G1485" s="103">
        <f>SUBTOTAL(109,Program182[(G)
Current Period 
Other Adjustments])</f>
        <v>0</v>
      </c>
      <c r="H1485" s="103">
        <f>SUBTOTAL(109,Program182[(H)
Net Program Costs
Sum (C through G)])</f>
        <v>2782566</v>
      </c>
      <c r="I1485" s="103">
        <f>SUBTOTAL(109,Program182[(I)
Payments
 and Offsets])</f>
        <v>-2468778</v>
      </c>
      <c r="J1485" s="103">
        <f>SUBTOTAL(109,Program182[(J)
Accounts Payable Balance
(H + I)])</f>
        <v>313788</v>
      </c>
      <c r="K1485" s="103">
        <f>SUBTOTAL(109,Program182[(K)
Established 
Accounts Receivable])</f>
        <v>568858</v>
      </c>
      <c r="L1485" s="103">
        <f>SUBTOTAL(109,Program182[(L)
Recovered
 Accounts Receivable])</f>
        <v>-568858</v>
      </c>
      <c r="M1485" s="103">
        <f>SUBTOTAL(109,Program182[(M)
Accounts Receivable Balance
(K + L)])</f>
        <v>0</v>
      </c>
      <c r="N1485" s="103">
        <f>SUBTOTAL(109,Program182[(N)
Net Balance
(J minus M)])</f>
        <v>313788</v>
      </c>
    </row>
    <row r="1486" spans="1:14" outlineLevel="2" x14ac:dyDescent="0.35">
      <c r="A1486" s="116" t="s">
        <v>33</v>
      </c>
      <c r="B1486" s="115"/>
      <c r="C1486" s="114"/>
      <c r="D1486" s="114"/>
      <c r="E1486" s="114"/>
      <c r="F1486" s="114"/>
      <c r="G1486" s="114"/>
      <c r="H1486" s="114"/>
      <c r="I1486" s="114"/>
      <c r="J1486" s="114"/>
      <c r="K1486" s="114"/>
      <c r="L1486" s="114"/>
      <c r="M1486" s="114"/>
      <c r="N1486" s="114"/>
    </row>
    <row r="1487" spans="1:14" ht="77.5" outlineLevel="2" x14ac:dyDescent="0.35">
      <c r="A1487" s="113" t="s">
        <v>185</v>
      </c>
      <c r="B1487" s="112" t="s">
        <v>184</v>
      </c>
      <c r="C1487" s="111" t="s">
        <v>183</v>
      </c>
      <c r="D1487" s="111" t="s">
        <v>182</v>
      </c>
      <c r="E1487" s="111" t="s">
        <v>181</v>
      </c>
      <c r="F1487" s="111" t="s">
        <v>180</v>
      </c>
      <c r="G1487" s="111" t="s">
        <v>179</v>
      </c>
      <c r="H1487" s="110" t="s">
        <v>674</v>
      </c>
      <c r="I1487" s="110" t="s">
        <v>178</v>
      </c>
      <c r="J1487" s="110" t="s">
        <v>177</v>
      </c>
      <c r="K1487" s="111" t="s">
        <v>176</v>
      </c>
      <c r="L1487" s="110" t="s">
        <v>175</v>
      </c>
      <c r="M1487" s="110" t="s">
        <v>174</v>
      </c>
      <c r="N1487" s="109" t="s">
        <v>173</v>
      </c>
    </row>
    <row r="1488" spans="1:14" outlineLevel="2" x14ac:dyDescent="0.35">
      <c r="A1488" s="108" t="s">
        <v>502</v>
      </c>
      <c r="B1488" s="108" t="s">
        <v>219</v>
      </c>
      <c r="C1488" s="106">
        <v>6219</v>
      </c>
      <c r="D1488" s="106">
        <v>0</v>
      </c>
      <c r="E1488" s="106">
        <v>0</v>
      </c>
      <c r="F1488" s="106">
        <v>0</v>
      </c>
      <c r="G1488" s="106">
        <v>0</v>
      </c>
      <c r="H1488" s="106">
        <v>6219</v>
      </c>
      <c r="I1488" s="106">
        <v>-1000</v>
      </c>
      <c r="J1488" s="106">
        <v>5219</v>
      </c>
      <c r="K1488" s="106">
        <v>0</v>
      </c>
      <c r="L1488" s="106">
        <v>0</v>
      </c>
      <c r="M1488" s="106">
        <v>0</v>
      </c>
      <c r="N1488" s="106">
        <v>5219</v>
      </c>
    </row>
    <row r="1489" spans="1:14" outlineLevel="2" x14ac:dyDescent="0.35">
      <c r="A1489" s="108" t="s">
        <v>502</v>
      </c>
      <c r="B1489" s="108" t="s">
        <v>218</v>
      </c>
      <c r="C1489" s="106">
        <v>7615</v>
      </c>
      <c r="D1489" s="106">
        <v>0</v>
      </c>
      <c r="E1489" s="106">
        <v>0</v>
      </c>
      <c r="F1489" s="106">
        <v>0</v>
      </c>
      <c r="G1489" s="106">
        <v>0</v>
      </c>
      <c r="H1489" s="106">
        <v>7615</v>
      </c>
      <c r="I1489" s="106">
        <v>-1000</v>
      </c>
      <c r="J1489" s="106">
        <v>6615</v>
      </c>
      <c r="K1489" s="106">
        <v>0</v>
      </c>
      <c r="L1489" s="106">
        <v>0</v>
      </c>
      <c r="M1489" s="106">
        <v>0</v>
      </c>
      <c r="N1489" s="106">
        <v>6615</v>
      </c>
    </row>
    <row r="1490" spans="1:14" outlineLevel="2" x14ac:dyDescent="0.35">
      <c r="A1490" s="108" t="s">
        <v>502</v>
      </c>
      <c r="B1490" s="108" t="s">
        <v>209</v>
      </c>
      <c r="C1490" s="106">
        <v>11550</v>
      </c>
      <c r="D1490" s="106">
        <v>0</v>
      </c>
      <c r="E1490" s="106">
        <v>0</v>
      </c>
      <c r="F1490" s="106">
        <v>0</v>
      </c>
      <c r="G1490" s="106">
        <v>0</v>
      </c>
      <c r="H1490" s="106">
        <v>11550</v>
      </c>
      <c r="I1490" s="106">
        <v>-1000</v>
      </c>
      <c r="J1490" s="106">
        <v>10550</v>
      </c>
      <c r="K1490" s="106">
        <v>0</v>
      </c>
      <c r="L1490" s="106">
        <v>0</v>
      </c>
      <c r="M1490" s="106">
        <v>0</v>
      </c>
      <c r="N1490" s="106">
        <v>10550</v>
      </c>
    </row>
    <row r="1491" spans="1:14" outlineLevel="2" x14ac:dyDescent="0.35">
      <c r="A1491" s="108" t="s">
        <v>502</v>
      </c>
      <c r="B1491" s="108" t="s">
        <v>208</v>
      </c>
      <c r="C1491" s="106">
        <v>88241</v>
      </c>
      <c r="D1491" s="106">
        <v>0</v>
      </c>
      <c r="E1491" s="106">
        <v>0</v>
      </c>
      <c r="F1491" s="106">
        <v>0</v>
      </c>
      <c r="G1491" s="106">
        <v>0</v>
      </c>
      <c r="H1491" s="106">
        <v>88241</v>
      </c>
      <c r="I1491" s="106">
        <v>-32642</v>
      </c>
      <c r="J1491" s="106">
        <v>55599</v>
      </c>
      <c r="K1491" s="106">
        <v>0</v>
      </c>
      <c r="L1491" s="106">
        <v>0</v>
      </c>
      <c r="M1491" s="106">
        <v>0</v>
      </c>
      <c r="N1491" s="106">
        <v>55599</v>
      </c>
    </row>
    <row r="1492" spans="1:14" outlineLevel="1" x14ac:dyDescent="0.35">
      <c r="A1492" s="108" t="s">
        <v>502</v>
      </c>
      <c r="B1492" s="108" t="s">
        <v>206</v>
      </c>
      <c r="C1492" s="106">
        <v>119811</v>
      </c>
      <c r="D1492" s="106">
        <v>0</v>
      </c>
      <c r="E1492" s="106">
        <v>0</v>
      </c>
      <c r="F1492" s="106">
        <v>0</v>
      </c>
      <c r="G1492" s="106">
        <v>0</v>
      </c>
      <c r="H1492" s="106">
        <v>119811</v>
      </c>
      <c r="I1492" s="106">
        <v>-29250</v>
      </c>
      <c r="J1492" s="106">
        <v>90561</v>
      </c>
      <c r="K1492" s="106">
        <v>0</v>
      </c>
      <c r="L1492" s="106">
        <v>0</v>
      </c>
      <c r="M1492" s="106">
        <v>0</v>
      </c>
      <c r="N1492" s="106">
        <v>90561</v>
      </c>
    </row>
    <row r="1493" spans="1:14" ht="15.65" customHeight="1" outlineLevel="1" x14ac:dyDescent="0.35">
      <c r="A1493" s="108" t="s">
        <v>502</v>
      </c>
      <c r="B1493" s="108" t="s">
        <v>205</v>
      </c>
      <c r="C1493" s="106">
        <v>118719</v>
      </c>
      <c r="D1493" s="106">
        <v>0</v>
      </c>
      <c r="E1493" s="106">
        <v>0</v>
      </c>
      <c r="F1493" s="106">
        <v>0</v>
      </c>
      <c r="G1493" s="106">
        <v>0</v>
      </c>
      <c r="H1493" s="106">
        <v>118719</v>
      </c>
      <c r="I1493" s="106">
        <v>-82734</v>
      </c>
      <c r="J1493" s="106">
        <v>35985</v>
      </c>
      <c r="K1493" s="106">
        <v>0</v>
      </c>
      <c r="L1493" s="106">
        <v>0</v>
      </c>
      <c r="M1493" s="106">
        <v>0</v>
      </c>
      <c r="N1493" s="106">
        <v>35985</v>
      </c>
    </row>
    <row r="1494" spans="1:14" ht="15" customHeight="1" outlineLevel="1" x14ac:dyDescent="0.35">
      <c r="A1494" s="108" t="s">
        <v>502</v>
      </c>
      <c r="B1494" s="108" t="s">
        <v>204</v>
      </c>
      <c r="C1494" s="106">
        <v>87954</v>
      </c>
      <c r="D1494" s="106">
        <v>0</v>
      </c>
      <c r="E1494" s="106">
        <v>0</v>
      </c>
      <c r="F1494" s="106">
        <v>0</v>
      </c>
      <c r="G1494" s="106">
        <v>0</v>
      </c>
      <c r="H1494" s="106">
        <v>87954</v>
      </c>
      <c r="I1494" s="106">
        <v>-82480</v>
      </c>
      <c r="J1494" s="106">
        <v>5474</v>
      </c>
      <c r="K1494" s="106">
        <v>0</v>
      </c>
      <c r="L1494" s="106">
        <v>0</v>
      </c>
      <c r="M1494" s="106">
        <v>0</v>
      </c>
      <c r="N1494" s="106">
        <v>5474</v>
      </c>
    </row>
    <row r="1495" spans="1:14" outlineLevel="2" x14ac:dyDescent="0.35">
      <c r="A1495" s="108" t="s">
        <v>502</v>
      </c>
      <c r="B1495" s="108" t="s">
        <v>203</v>
      </c>
      <c r="C1495" s="106">
        <v>23080</v>
      </c>
      <c r="D1495" s="106">
        <v>0</v>
      </c>
      <c r="E1495" s="106">
        <v>0</v>
      </c>
      <c r="F1495" s="106">
        <v>0</v>
      </c>
      <c r="G1495" s="106">
        <v>0</v>
      </c>
      <c r="H1495" s="106">
        <v>23080</v>
      </c>
      <c r="I1495" s="106">
        <v>-9194</v>
      </c>
      <c r="J1495" s="106">
        <v>13886</v>
      </c>
      <c r="K1495" s="106">
        <v>0</v>
      </c>
      <c r="L1495" s="106">
        <v>0</v>
      </c>
      <c r="M1495" s="106">
        <v>0</v>
      </c>
      <c r="N1495" s="106">
        <v>13886</v>
      </c>
    </row>
    <row r="1496" spans="1:14" outlineLevel="2" x14ac:dyDescent="0.35">
      <c r="A1496" s="108" t="s">
        <v>502</v>
      </c>
      <c r="B1496" s="108" t="s">
        <v>202</v>
      </c>
      <c r="C1496" s="106">
        <v>15412</v>
      </c>
      <c r="D1496" s="106">
        <v>-747</v>
      </c>
      <c r="E1496" s="106">
        <v>0</v>
      </c>
      <c r="F1496" s="106">
        <v>0</v>
      </c>
      <c r="G1496" s="106">
        <v>0</v>
      </c>
      <c r="H1496" s="106">
        <v>14665</v>
      </c>
      <c r="I1496" s="106">
        <v>-11241</v>
      </c>
      <c r="J1496" s="106">
        <v>3424</v>
      </c>
      <c r="K1496" s="106">
        <v>0</v>
      </c>
      <c r="L1496" s="106">
        <v>0</v>
      </c>
      <c r="M1496" s="106">
        <v>0</v>
      </c>
      <c r="N1496" s="106">
        <v>3424</v>
      </c>
    </row>
    <row r="1497" spans="1:14" outlineLevel="2" x14ac:dyDescent="0.35">
      <c r="A1497" s="108" t="s">
        <v>502</v>
      </c>
      <c r="B1497" s="108" t="s">
        <v>201</v>
      </c>
      <c r="C1497" s="106">
        <v>10240</v>
      </c>
      <c r="D1497" s="106">
        <v>-159</v>
      </c>
      <c r="E1497" s="106">
        <v>0</v>
      </c>
      <c r="F1497" s="106">
        <v>0</v>
      </c>
      <c r="G1497" s="106">
        <v>0</v>
      </c>
      <c r="H1497" s="106">
        <v>10081</v>
      </c>
      <c r="I1497" s="106">
        <v>-8652</v>
      </c>
      <c r="J1497" s="106">
        <v>1429</v>
      </c>
      <c r="K1497" s="106">
        <v>0</v>
      </c>
      <c r="L1497" s="106">
        <v>0</v>
      </c>
      <c r="M1497" s="106">
        <v>0</v>
      </c>
      <c r="N1497" s="106">
        <v>1429</v>
      </c>
    </row>
    <row r="1498" spans="1:14" outlineLevel="2" x14ac:dyDescent="0.35">
      <c r="A1498" s="108" t="s">
        <v>502</v>
      </c>
      <c r="B1498" s="108" t="s">
        <v>200</v>
      </c>
      <c r="C1498" s="106">
        <v>6763</v>
      </c>
      <c r="D1498" s="106">
        <v>-118</v>
      </c>
      <c r="E1498" s="106">
        <v>0</v>
      </c>
      <c r="F1498" s="106">
        <v>0</v>
      </c>
      <c r="G1498" s="106">
        <v>0</v>
      </c>
      <c r="H1498" s="106">
        <v>6645</v>
      </c>
      <c r="I1498" s="106">
        <v>-5582</v>
      </c>
      <c r="J1498" s="106">
        <v>1063</v>
      </c>
      <c r="K1498" s="106">
        <v>0</v>
      </c>
      <c r="L1498" s="106">
        <v>0</v>
      </c>
      <c r="M1498" s="106">
        <v>0</v>
      </c>
      <c r="N1498" s="106">
        <v>1063</v>
      </c>
    </row>
    <row r="1499" spans="1:14" outlineLevel="2" x14ac:dyDescent="0.35">
      <c r="A1499" s="108" t="s">
        <v>502</v>
      </c>
      <c r="B1499" s="108" t="s">
        <v>199</v>
      </c>
      <c r="C1499" s="106">
        <v>6746</v>
      </c>
      <c r="D1499" s="106">
        <v>-112</v>
      </c>
      <c r="E1499" s="106">
        <v>0</v>
      </c>
      <c r="F1499" s="106">
        <v>0</v>
      </c>
      <c r="G1499" s="106">
        <v>0</v>
      </c>
      <c r="H1499" s="106">
        <v>6634</v>
      </c>
      <c r="I1499" s="106">
        <v>-5624</v>
      </c>
      <c r="J1499" s="106">
        <v>1010</v>
      </c>
      <c r="K1499" s="106">
        <v>0</v>
      </c>
      <c r="L1499" s="106">
        <v>0</v>
      </c>
      <c r="M1499" s="106">
        <v>0</v>
      </c>
      <c r="N1499" s="106">
        <v>1010</v>
      </c>
    </row>
    <row r="1500" spans="1:14" outlineLevel="2" x14ac:dyDescent="0.35">
      <c r="A1500" s="108" t="s">
        <v>502</v>
      </c>
      <c r="B1500" s="108" t="s">
        <v>198</v>
      </c>
      <c r="C1500" s="106">
        <v>5996</v>
      </c>
      <c r="D1500" s="106">
        <v>-122</v>
      </c>
      <c r="E1500" s="106">
        <v>0</v>
      </c>
      <c r="F1500" s="106">
        <v>0</v>
      </c>
      <c r="G1500" s="106">
        <v>0</v>
      </c>
      <c r="H1500" s="106">
        <v>5874</v>
      </c>
      <c r="I1500" s="106">
        <v>-5874</v>
      </c>
      <c r="J1500" s="106">
        <v>0</v>
      </c>
      <c r="K1500" s="106">
        <v>0</v>
      </c>
      <c r="L1500" s="106">
        <v>0</v>
      </c>
      <c r="M1500" s="106">
        <v>0</v>
      </c>
      <c r="N1500" s="106">
        <v>0</v>
      </c>
    </row>
    <row r="1501" spans="1:14" outlineLevel="2" x14ac:dyDescent="0.35">
      <c r="A1501" s="108" t="s">
        <v>502</v>
      </c>
      <c r="B1501" s="108" t="s">
        <v>197</v>
      </c>
      <c r="C1501" s="106">
        <v>5799</v>
      </c>
      <c r="D1501" s="106">
        <v>-107</v>
      </c>
      <c r="E1501" s="106">
        <v>0</v>
      </c>
      <c r="F1501" s="106">
        <v>0</v>
      </c>
      <c r="G1501" s="106">
        <v>0</v>
      </c>
      <c r="H1501" s="106">
        <v>5692</v>
      </c>
      <c r="I1501" s="106">
        <v>-5692</v>
      </c>
      <c r="J1501" s="106">
        <v>0</v>
      </c>
      <c r="K1501" s="106">
        <v>0</v>
      </c>
      <c r="L1501" s="106">
        <v>0</v>
      </c>
      <c r="M1501" s="106">
        <v>0</v>
      </c>
      <c r="N1501" s="106">
        <v>0</v>
      </c>
    </row>
    <row r="1502" spans="1:14" ht="16" outlineLevel="1" thickBot="1" x14ac:dyDescent="0.4">
      <c r="A1502" s="105" t="s">
        <v>381</v>
      </c>
      <c r="B1502" s="79" t="s">
        <v>12</v>
      </c>
      <c r="C1502" s="103">
        <f>SUBTOTAL(109,Program280[(C)
Program
Costs])</f>
        <v>514145</v>
      </c>
      <c r="D1502" s="103">
        <f>SUBTOTAL(109,Program280[(D)
Prior Period Adjustments])</f>
        <v>-1365</v>
      </c>
      <c r="E1502" s="103">
        <f>SUBTOTAL(109,Program280[(E)
Current Period Desk 
Reviews])</f>
        <v>0</v>
      </c>
      <c r="F1502" s="103">
        <f>SUBTOTAL(109,Program280[(F)
Current Period 
Final 
Audits])</f>
        <v>0</v>
      </c>
      <c r="G1502" s="103">
        <f>SUBTOTAL(109,Program280[(G)
Current Period 
Other Adjustments])</f>
        <v>0</v>
      </c>
      <c r="H1502" s="103">
        <f>SUBTOTAL(109,Program280[(H)
Net Program Costs
Sum (C through G)])</f>
        <v>512780</v>
      </c>
      <c r="I1502" s="103">
        <f>SUBTOTAL(109,Program280[(I)
Payments
 and Offsets])</f>
        <v>-281965</v>
      </c>
      <c r="J1502" s="103">
        <f>SUBTOTAL(109,Program280[(J)
Accounts Payable Balance
(H + I)])</f>
        <v>230815</v>
      </c>
      <c r="K1502" s="103">
        <f>SUBTOTAL(109,Program280[(K)
Established 
Accounts Receivable])</f>
        <v>0</v>
      </c>
      <c r="L1502" s="103">
        <f>SUBTOTAL(109,Program280[(L)
Recovered
 Accounts Receivable])</f>
        <v>0</v>
      </c>
      <c r="M1502" s="103">
        <f>SUBTOTAL(109,Program280[(M)
Accounts Receivable Balance
(K + L)])</f>
        <v>0</v>
      </c>
      <c r="N1502" s="103">
        <f>SUBTOTAL(109,Program280[(N)
Net Balance
(J minus M)])</f>
        <v>230815</v>
      </c>
    </row>
    <row r="1503" spans="1:14" ht="15.65" customHeight="1" outlineLevel="1" x14ac:dyDescent="0.35">
      <c r="A1503" s="116" t="s">
        <v>33</v>
      </c>
      <c r="B1503" s="115"/>
      <c r="C1503" s="114"/>
      <c r="D1503" s="114"/>
      <c r="E1503" s="114"/>
      <c r="F1503" s="114"/>
      <c r="G1503" s="114"/>
      <c r="H1503" s="114"/>
      <c r="I1503" s="114"/>
      <c r="J1503" s="114"/>
      <c r="K1503" s="114"/>
      <c r="L1503" s="114"/>
      <c r="M1503" s="114"/>
      <c r="N1503" s="114"/>
    </row>
    <row r="1504" spans="1:14" ht="78.75" customHeight="1" outlineLevel="1" x14ac:dyDescent="0.35">
      <c r="A1504" s="113" t="s">
        <v>185</v>
      </c>
      <c r="B1504" s="112" t="s">
        <v>184</v>
      </c>
      <c r="C1504" s="111" t="s">
        <v>183</v>
      </c>
      <c r="D1504" s="111" t="s">
        <v>182</v>
      </c>
      <c r="E1504" s="111" t="s">
        <v>181</v>
      </c>
      <c r="F1504" s="111" t="s">
        <v>180</v>
      </c>
      <c r="G1504" s="111" t="s">
        <v>179</v>
      </c>
      <c r="H1504" s="110" t="s">
        <v>674</v>
      </c>
      <c r="I1504" s="110" t="s">
        <v>178</v>
      </c>
      <c r="J1504" s="110" t="s">
        <v>177</v>
      </c>
      <c r="K1504" s="111" t="s">
        <v>176</v>
      </c>
      <c r="L1504" s="110" t="s">
        <v>175</v>
      </c>
      <c r="M1504" s="110" t="s">
        <v>174</v>
      </c>
      <c r="N1504" s="109" t="s">
        <v>173</v>
      </c>
    </row>
    <row r="1505" spans="1:14" ht="31" outlineLevel="2" x14ac:dyDescent="0.35">
      <c r="A1505" s="77" t="s">
        <v>501</v>
      </c>
      <c r="B1505" s="108" t="s">
        <v>208</v>
      </c>
      <c r="C1505" s="106">
        <v>3656883</v>
      </c>
      <c r="D1505" s="106">
        <v>-15912</v>
      </c>
      <c r="E1505" s="106">
        <v>0</v>
      </c>
      <c r="F1505" s="106">
        <v>0</v>
      </c>
      <c r="G1505" s="106">
        <v>0</v>
      </c>
      <c r="H1505" s="106">
        <v>3640971</v>
      </c>
      <c r="I1505" s="106">
        <v>-2824667</v>
      </c>
      <c r="J1505" s="106">
        <v>816304</v>
      </c>
      <c r="K1505" s="106">
        <v>0</v>
      </c>
      <c r="L1505" s="106">
        <v>0</v>
      </c>
      <c r="M1505" s="106">
        <v>0</v>
      </c>
      <c r="N1505" s="106">
        <v>816304</v>
      </c>
    </row>
    <row r="1506" spans="1:14" ht="31" outlineLevel="2" x14ac:dyDescent="0.35">
      <c r="A1506" s="77" t="s">
        <v>501</v>
      </c>
      <c r="B1506" s="108" t="s">
        <v>206</v>
      </c>
      <c r="C1506" s="106">
        <v>4842166</v>
      </c>
      <c r="D1506" s="106">
        <v>-4018</v>
      </c>
      <c r="E1506" s="106">
        <v>0</v>
      </c>
      <c r="F1506" s="106">
        <v>0</v>
      </c>
      <c r="G1506" s="106">
        <v>0</v>
      </c>
      <c r="H1506" s="106">
        <v>4838148</v>
      </c>
      <c r="I1506" s="106">
        <v>-3627093</v>
      </c>
      <c r="J1506" s="106">
        <v>1211055</v>
      </c>
      <c r="K1506" s="106">
        <v>0</v>
      </c>
      <c r="L1506" s="106">
        <v>0</v>
      </c>
      <c r="M1506" s="106">
        <v>0</v>
      </c>
      <c r="N1506" s="106">
        <v>1211055</v>
      </c>
    </row>
    <row r="1507" spans="1:14" ht="31" outlineLevel="2" x14ac:dyDescent="0.35">
      <c r="A1507" s="77" t="s">
        <v>501</v>
      </c>
      <c r="B1507" s="108" t="s">
        <v>205</v>
      </c>
      <c r="C1507" s="106">
        <v>5620062</v>
      </c>
      <c r="D1507" s="106">
        <v>-28123</v>
      </c>
      <c r="E1507" s="106">
        <v>0</v>
      </c>
      <c r="F1507" s="106">
        <v>0</v>
      </c>
      <c r="G1507" s="106">
        <v>0</v>
      </c>
      <c r="H1507" s="106">
        <v>5591939</v>
      </c>
      <c r="I1507" s="106">
        <v>-5576654</v>
      </c>
      <c r="J1507" s="106">
        <v>15285</v>
      </c>
      <c r="K1507" s="106">
        <v>30395</v>
      </c>
      <c r="L1507" s="106">
        <v>0</v>
      </c>
      <c r="M1507" s="106">
        <v>30395</v>
      </c>
      <c r="N1507" s="106">
        <v>-15110</v>
      </c>
    </row>
    <row r="1508" spans="1:14" ht="31" outlineLevel="2" x14ac:dyDescent="0.35">
      <c r="A1508" s="77" t="s">
        <v>501</v>
      </c>
      <c r="B1508" s="108" t="s">
        <v>204</v>
      </c>
      <c r="C1508" s="106">
        <v>6374088</v>
      </c>
      <c r="D1508" s="106">
        <v>-11846</v>
      </c>
      <c r="E1508" s="106">
        <v>0</v>
      </c>
      <c r="F1508" s="106">
        <v>0</v>
      </c>
      <c r="G1508" s="106">
        <v>0</v>
      </c>
      <c r="H1508" s="106">
        <v>6362242</v>
      </c>
      <c r="I1508" s="106">
        <v>-6209882</v>
      </c>
      <c r="J1508" s="106">
        <v>152360</v>
      </c>
      <c r="K1508" s="106">
        <v>203356</v>
      </c>
      <c r="L1508" s="106">
        <v>-203356</v>
      </c>
      <c r="M1508" s="106">
        <v>0</v>
      </c>
      <c r="N1508" s="106">
        <v>152360</v>
      </c>
    </row>
    <row r="1509" spans="1:14" ht="31" outlineLevel="2" x14ac:dyDescent="0.35">
      <c r="A1509" s="77" t="s">
        <v>501</v>
      </c>
      <c r="B1509" s="108" t="s">
        <v>203</v>
      </c>
      <c r="C1509" s="106">
        <v>7139320</v>
      </c>
      <c r="D1509" s="106">
        <v>-57234</v>
      </c>
      <c r="E1509" s="106">
        <v>0</v>
      </c>
      <c r="F1509" s="106">
        <v>0</v>
      </c>
      <c r="G1509" s="106">
        <v>0</v>
      </c>
      <c r="H1509" s="106">
        <v>7082086</v>
      </c>
      <c r="I1509" s="106">
        <v>-6048055</v>
      </c>
      <c r="J1509" s="106">
        <v>1034031</v>
      </c>
      <c r="K1509" s="106">
        <v>22</v>
      </c>
      <c r="L1509" s="106">
        <v>-21</v>
      </c>
      <c r="M1509" s="106">
        <v>1</v>
      </c>
      <c r="N1509" s="106">
        <v>1034030</v>
      </c>
    </row>
    <row r="1510" spans="1:14" ht="31" outlineLevel="2" x14ac:dyDescent="0.35">
      <c r="A1510" s="77" t="s">
        <v>501</v>
      </c>
      <c r="B1510" s="108" t="s">
        <v>202</v>
      </c>
      <c r="C1510" s="106">
        <v>7349056</v>
      </c>
      <c r="D1510" s="106">
        <v>-119042</v>
      </c>
      <c r="E1510" s="106">
        <v>0</v>
      </c>
      <c r="F1510" s="106">
        <v>0</v>
      </c>
      <c r="G1510" s="106">
        <v>0</v>
      </c>
      <c r="H1510" s="106">
        <v>7230014</v>
      </c>
      <c r="I1510" s="106">
        <v>-6313475</v>
      </c>
      <c r="J1510" s="106">
        <v>916539</v>
      </c>
      <c r="K1510" s="106">
        <v>35024</v>
      </c>
      <c r="L1510" s="106">
        <v>-25955</v>
      </c>
      <c r="M1510" s="106">
        <v>9069</v>
      </c>
      <c r="N1510" s="106">
        <v>907470</v>
      </c>
    </row>
    <row r="1511" spans="1:14" ht="31" outlineLevel="2" x14ac:dyDescent="0.35">
      <c r="A1511" s="77" t="s">
        <v>501</v>
      </c>
      <c r="B1511" s="108" t="s">
        <v>201</v>
      </c>
      <c r="C1511" s="106">
        <v>3241474</v>
      </c>
      <c r="D1511" s="106">
        <v>-63368</v>
      </c>
      <c r="E1511" s="106">
        <v>0</v>
      </c>
      <c r="F1511" s="106">
        <v>0</v>
      </c>
      <c r="G1511" s="106">
        <v>0</v>
      </c>
      <c r="H1511" s="106">
        <v>3178106</v>
      </c>
      <c r="I1511" s="106">
        <v>-2910951</v>
      </c>
      <c r="J1511" s="106">
        <v>267155</v>
      </c>
      <c r="K1511" s="106">
        <v>337</v>
      </c>
      <c r="L1511" s="106">
        <v>0</v>
      </c>
      <c r="M1511" s="106">
        <v>337</v>
      </c>
      <c r="N1511" s="106">
        <v>266818</v>
      </c>
    </row>
    <row r="1512" spans="1:14" ht="31" outlineLevel="1" x14ac:dyDescent="0.35">
      <c r="A1512" s="77" t="s">
        <v>501</v>
      </c>
      <c r="B1512" s="108" t="s">
        <v>200</v>
      </c>
      <c r="C1512" s="106">
        <v>2368664</v>
      </c>
      <c r="D1512" s="106">
        <v>-19886</v>
      </c>
      <c r="E1512" s="106">
        <v>0</v>
      </c>
      <c r="F1512" s="106">
        <v>0</v>
      </c>
      <c r="G1512" s="106">
        <v>0</v>
      </c>
      <c r="H1512" s="106">
        <v>2348778</v>
      </c>
      <c r="I1512" s="106">
        <v>-2348778</v>
      </c>
      <c r="J1512" s="106">
        <v>0</v>
      </c>
      <c r="K1512" s="106">
        <v>14847</v>
      </c>
      <c r="L1512" s="106">
        <v>-6905</v>
      </c>
      <c r="M1512" s="106">
        <v>7942</v>
      </c>
      <c r="N1512" s="106">
        <v>-7942</v>
      </c>
    </row>
    <row r="1513" spans="1:14" ht="30" customHeight="1" outlineLevel="1" x14ac:dyDescent="0.35">
      <c r="A1513" s="77" t="s">
        <v>501</v>
      </c>
      <c r="B1513" s="108" t="s">
        <v>199</v>
      </c>
      <c r="C1513" s="106">
        <v>4119873</v>
      </c>
      <c r="D1513" s="106">
        <v>-7227</v>
      </c>
      <c r="E1513" s="106">
        <v>0</v>
      </c>
      <c r="F1513" s="106">
        <v>0</v>
      </c>
      <c r="G1513" s="106">
        <v>0</v>
      </c>
      <c r="H1513" s="106">
        <v>4112646</v>
      </c>
      <c r="I1513" s="106">
        <v>-4112646</v>
      </c>
      <c r="J1513" s="106">
        <v>0</v>
      </c>
      <c r="K1513" s="106">
        <v>0</v>
      </c>
      <c r="L1513" s="106">
        <v>0</v>
      </c>
      <c r="M1513" s="106">
        <v>0</v>
      </c>
      <c r="N1513" s="106">
        <v>0</v>
      </c>
    </row>
    <row r="1514" spans="1:14" ht="30" customHeight="1" outlineLevel="1" x14ac:dyDescent="0.35">
      <c r="A1514" s="77" t="s">
        <v>501</v>
      </c>
      <c r="B1514" s="108" t="s">
        <v>198</v>
      </c>
      <c r="C1514" s="106">
        <v>3916296</v>
      </c>
      <c r="D1514" s="106">
        <v>-4313</v>
      </c>
      <c r="E1514" s="106">
        <v>0</v>
      </c>
      <c r="F1514" s="106">
        <v>0</v>
      </c>
      <c r="G1514" s="106">
        <v>0</v>
      </c>
      <c r="H1514" s="106">
        <v>3911983</v>
      </c>
      <c r="I1514" s="106">
        <v>-3911983</v>
      </c>
      <c r="J1514" s="106">
        <v>0</v>
      </c>
      <c r="K1514" s="106">
        <v>0</v>
      </c>
      <c r="L1514" s="106">
        <v>0</v>
      </c>
      <c r="M1514" s="106">
        <v>0</v>
      </c>
      <c r="N1514" s="106">
        <v>0</v>
      </c>
    </row>
    <row r="1515" spans="1:14" ht="31" outlineLevel="2" x14ac:dyDescent="0.35">
      <c r="A1515" s="77" t="s">
        <v>501</v>
      </c>
      <c r="B1515" s="108" t="s">
        <v>197</v>
      </c>
      <c r="C1515" s="106">
        <v>4130452</v>
      </c>
      <c r="D1515" s="106">
        <v>-630552</v>
      </c>
      <c r="E1515" s="106">
        <v>0</v>
      </c>
      <c r="F1515" s="106">
        <v>0</v>
      </c>
      <c r="G1515" s="106">
        <v>0</v>
      </c>
      <c r="H1515" s="106">
        <v>3499900</v>
      </c>
      <c r="I1515" s="106">
        <v>-3499900</v>
      </c>
      <c r="J1515" s="106">
        <v>0</v>
      </c>
      <c r="K1515" s="106">
        <v>1707693</v>
      </c>
      <c r="L1515" s="106">
        <v>-1706945</v>
      </c>
      <c r="M1515" s="106">
        <v>748</v>
      </c>
      <c r="N1515" s="106">
        <v>-748</v>
      </c>
    </row>
    <row r="1516" spans="1:14" ht="31" outlineLevel="2" x14ac:dyDescent="0.35">
      <c r="A1516" s="77" t="s">
        <v>501</v>
      </c>
      <c r="B1516" s="108" t="s">
        <v>196</v>
      </c>
      <c r="C1516" s="106">
        <v>4802353</v>
      </c>
      <c r="D1516" s="106">
        <v>-159594</v>
      </c>
      <c r="E1516" s="106">
        <v>0</v>
      </c>
      <c r="F1516" s="106">
        <v>0</v>
      </c>
      <c r="G1516" s="106">
        <v>0</v>
      </c>
      <c r="H1516" s="106">
        <v>4642759</v>
      </c>
      <c r="I1516" s="106">
        <v>-4642759</v>
      </c>
      <c r="J1516" s="106">
        <v>0</v>
      </c>
      <c r="K1516" s="106">
        <v>452267</v>
      </c>
      <c r="L1516" s="106">
        <v>-452267</v>
      </c>
      <c r="M1516" s="106">
        <v>0</v>
      </c>
      <c r="N1516" s="106">
        <v>0</v>
      </c>
    </row>
    <row r="1517" spans="1:14" ht="31" outlineLevel="2" x14ac:dyDescent="0.35">
      <c r="A1517" s="77" t="s">
        <v>501</v>
      </c>
      <c r="B1517" s="108" t="s">
        <v>195</v>
      </c>
      <c r="C1517" s="106">
        <v>4379739</v>
      </c>
      <c r="D1517" s="106">
        <v>-7338</v>
      </c>
      <c r="E1517" s="106">
        <v>0</v>
      </c>
      <c r="F1517" s="106">
        <v>0</v>
      </c>
      <c r="G1517" s="106">
        <v>0</v>
      </c>
      <c r="H1517" s="106">
        <v>4372401</v>
      </c>
      <c r="I1517" s="106">
        <v>-4372401</v>
      </c>
      <c r="J1517" s="106">
        <v>0</v>
      </c>
      <c r="K1517" s="106">
        <v>569139</v>
      </c>
      <c r="L1517" s="106">
        <v>-569139</v>
      </c>
      <c r="M1517" s="106">
        <v>0</v>
      </c>
      <c r="N1517" s="106">
        <v>0</v>
      </c>
    </row>
    <row r="1518" spans="1:14" ht="31" outlineLevel="2" x14ac:dyDescent="0.35">
      <c r="A1518" s="77" t="s">
        <v>501</v>
      </c>
      <c r="B1518" s="108" t="s">
        <v>194</v>
      </c>
      <c r="C1518" s="106">
        <v>4056175</v>
      </c>
      <c r="D1518" s="106">
        <v>-14859</v>
      </c>
      <c r="E1518" s="106">
        <v>0</v>
      </c>
      <c r="F1518" s="106">
        <v>0</v>
      </c>
      <c r="G1518" s="106">
        <v>0</v>
      </c>
      <c r="H1518" s="106">
        <v>4041316</v>
      </c>
      <c r="I1518" s="106">
        <v>-4041316</v>
      </c>
      <c r="J1518" s="106">
        <v>0</v>
      </c>
      <c r="K1518" s="106">
        <v>508007</v>
      </c>
      <c r="L1518" s="106">
        <v>-508007</v>
      </c>
      <c r="M1518" s="106">
        <v>0</v>
      </c>
      <c r="N1518" s="106">
        <v>0</v>
      </c>
    </row>
    <row r="1519" spans="1:14" ht="31" outlineLevel="2" x14ac:dyDescent="0.35">
      <c r="A1519" s="77" t="s">
        <v>501</v>
      </c>
      <c r="B1519" s="108" t="s">
        <v>193</v>
      </c>
      <c r="C1519" s="106">
        <v>3330013</v>
      </c>
      <c r="D1519" s="106">
        <v>-744</v>
      </c>
      <c r="E1519" s="106">
        <v>0</v>
      </c>
      <c r="F1519" s="106">
        <v>0</v>
      </c>
      <c r="G1519" s="106">
        <v>0</v>
      </c>
      <c r="H1519" s="106">
        <v>3329269</v>
      </c>
      <c r="I1519" s="106">
        <v>-3329269</v>
      </c>
      <c r="J1519" s="106">
        <v>0</v>
      </c>
      <c r="K1519" s="106">
        <v>3395</v>
      </c>
      <c r="L1519" s="106">
        <v>-3395</v>
      </c>
      <c r="M1519" s="106">
        <v>0</v>
      </c>
      <c r="N1519" s="106">
        <v>0</v>
      </c>
    </row>
    <row r="1520" spans="1:14" ht="31" outlineLevel="2" x14ac:dyDescent="0.35">
      <c r="A1520" s="77" t="s">
        <v>501</v>
      </c>
      <c r="B1520" s="108" t="s">
        <v>192</v>
      </c>
      <c r="C1520" s="106">
        <v>2851620</v>
      </c>
      <c r="D1520" s="106">
        <v>-13441</v>
      </c>
      <c r="E1520" s="106">
        <v>0</v>
      </c>
      <c r="F1520" s="106">
        <v>0</v>
      </c>
      <c r="G1520" s="106">
        <v>0</v>
      </c>
      <c r="H1520" s="106">
        <v>2838179</v>
      </c>
      <c r="I1520" s="106">
        <v>-2838179</v>
      </c>
      <c r="J1520" s="106">
        <v>0</v>
      </c>
      <c r="K1520" s="106">
        <v>8286</v>
      </c>
      <c r="L1520" s="106">
        <v>-8286</v>
      </c>
      <c r="M1520" s="106">
        <v>0</v>
      </c>
      <c r="N1520" s="106">
        <v>0</v>
      </c>
    </row>
    <row r="1521" spans="1:14" ht="31" outlineLevel="2" x14ac:dyDescent="0.35">
      <c r="A1521" s="77" t="s">
        <v>501</v>
      </c>
      <c r="B1521" s="108" t="s">
        <v>191</v>
      </c>
      <c r="C1521" s="106">
        <v>2570582</v>
      </c>
      <c r="D1521" s="106">
        <v>-13295</v>
      </c>
      <c r="E1521" s="106">
        <v>0</v>
      </c>
      <c r="F1521" s="106">
        <v>0</v>
      </c>
      <c r="G1521" s="106">
        <v>0</v>
      </c>
      <c r="H1521" s="106">
        <v>2557287</v>
      </c>
      <c r="I1521" s="106">
        <v>-2557287</v>
      </c>
      <c r="J1521" s="106">
        <v>0</v>
      </c>
      <c r="K1521" s="106">
        <v>7883</v>
      </c>
      <c r="L1521" s="106">
        <v>-7883</v>
      </c>
      <c r="M1521" s="106">
        <v>0</v>
      </c>
      <c r="N1521" s="106">
        <v>0</v>
      </c>
    </row>
    <row r="1522" spans="1:14" ht="31" outlineLevel="1" x14ac:dyDescent="0.35">
      <c r="A1522" s="77" t="s">
        <v>501</v>
      </c>
      <c r="B1522" s="108" t="s">
        <v>190</v>
      </c>
      <c r="C1522" s="106">
        <v>2288310</v>
      </c>
      <c r="D1522" s="106">
        <v>-9530</v>
      </c>
      <c r="E1522" s="106">
        <v>0</v>
      </c>
      <c r="F1522" s="106">
        <v>0</v>
      </c>
      <c r="G1522" s="106">
        <v>0</v>
      </c>
      <c r="H1522" s="106">
        <v>2278780</v>
      </c>
      <c r="I1522" s="106">
        <v>-2278780</v>
      </c>
      <c r="J1522" s="106">
        <v>0</v>
      </c>
      <c r="K1522" s="106">
        <v>7222</v>
      </c>
      <c r="L1522" s="106">
        <v>-7222</v>
      </c>
      <c r="M1522" s="106">
        <v>0</v>
      </c>
      <c r="N1522" s="106">
        <v>0</v>
      </c>
    </row>
    <row r="1523" spans="1:14" ht="30" customHeight="1" outlineLevel="1" x14ac:dyDescent="0.35">
      <c r="A1523" s="77" t="s">
        <v>501</v>
      </c>
      <c r="B1523" s="108" t="s">
        <v>189</v>
      </c>
      <c r="C1523" s="106">
        <v>2006512</v>
      </c>
      <c r="D1523" s="106">
        <v>-7272</v>
      </c>
      <c r="E1523" s="106">
        <v>0</v>
      </c>
      <c r="F1523" s="106">
        <v>0</v>
      </c>
      <c r="G1523" s="106">
        <v>0</v>
      </c>
      <c r="H1523" s="106">
        <v>1999240</v>
      </c>
      <c r="I1523" s="106">
        <v>-1999240</v>
      </c>
      <c r="J1523" s="106">
        <v>0</v>
      </c>
      <c r="K1523" s="106">
        <v>4254</v>
      </c>
      <c r="L1523" s="106">
        <v>-4254</v>
      </c>
      <c r="M1523" s="106">
        <v>0</v>
      </c>
      <c r="N1523" s="106">
        <v>0</v>
      </c>
    </row>
    <row r="1524" spans="1:14" ht="16" outlineLevel="2" thickBot="1" x14ac:dyDescent="0.4">
      <c r="A1524" s="105" t="s">
        <v>380</v>
      </c>
      <c r="B1524" s="79" t="s">
        <v>12</v>
      </c>
      <c r="C1524" s="103">
        <f>SUBTOTAL(109,Program176[(C)
Program
Costs])</f>
        <v>79043638</v>
      </c>
      <c r="D1524" s="103">
        <f>SUBTOTAL(109,Program176[(D)
Prior Period Adjustments])</f>
        <v>-1187594</v>
      </c>
      <c r="E1524" s="103">
        <f>SUBTOTAL(109,Program176[(E)
Current Period Desk 
Reviews])</f>
        <v>0</v>
      </c>
      <c r="F1524" s="103">
        <f>SUBTOTAL(109,Program176[(F)
Current Period 
Final 
Audits])</f>
        <v>0</v>
      </c>
      <c r="G1524" s="103">
        <f>SUBTOTAL(109,Program176[(G)
Current Period 
Other Adjustments])</f>
        <v>0</v>
      </c>
      <c r="H1524" s="103">
        <f>SUBTOTAL(109,Program176[(H)
Net Program Costs
Sum (C through G)])</f>
        <v>77856044</v>
      </c>
      <c r="I1524" s="103">
        <f>SUBTOTAL(109,Program176[(I)
Payments
 and Offsets])</f>
        <v>-73443315</v>
      </c>
      <c r="J1524" s="103">
        <f>SUBTOTAL(109,Program176[(J)
Accounts Payable Balance
(H + I)])</f>
        <v>4412729</v>
      </c>
      <c r="K1524" s="103">
        <f>SUBTOTAL(109,Program176[(K)
Established 
Accounts Receivable])</f>
        <v>3552127</v>
      </c>
      <c r="L1524" s="103">
        <f>SUBTOTAL(109,Program176[(L)
Recovered
 Accounts Receivable])</f>
        <v>-3503635</v>
      </c>
      <c r="M1524" s="103">
        <f>SUBTOTAL(109,Program176[(M)
Accounts Receivable Balance
(K + L)])</f>
        <v>48492</v>
      </c>
      <c r="N1524" s="103">
        <f>SUBTOTAL(109,Program176[(N)
Net Balance
(J minus M)])</f>
        <v>4364237</v>
      </c>
    </row>
    <row r="1525" spans="1:14" outlineLevel="2" x14ac:dyDescent="0.35">
      <c r="A1525" s="116" t="s">
        <v>33</v>
      </c>
      <c r="B1525" s="115"/>
      <c r="C1525" s="114"/>
      <c r="D1525" s="114"/>
      <c r="E1525" s="114"/>
      <c r="F1525" s="114"/>
      <c r="G1525" s="114"/>
      <c r="H1525" s="114"/>
      <c r="I1525" s="114"/>
      <c r="J1525" s="114"/>
      <c r="K1525" s="114"/>
      <c r="L1525" s="114"/>
      <c r="M1525" s="114"/>
      <c r="N1525" s="114"/>
    </row>
    <row r="1526" spans="1:14" ht="77.5" outlineLevel="2" x14ac:dyDescent="0.35">
      <c r="A1526" s="113" t="s">
        <v>185</v>
      </c>
      <c r="B1526" s="112" t="s">
        <v>184</v>
      </c>
      <c r="C1526" s="111" t="s">
        <v>183</v>
      </c>
      <c r="D1526" s="111" t="s">
        <v>182</v>
      </c>
      <c r="E1526" s="111" t="s">
        <v>181</v>
      </c>
      <c r="F1526" s="111" t="s">
        <v>180</v>
      </c>
      <c r="G1526" s="111" t="s">
        <v>179</v>
      </c>
      <c r="H1526" s="110" t="s">
        <v>674</v>
      </c>
      <c r="I1526" s="110" t="s">
        <v>178</v>
      </c>
      <c r="J1526" s="110" t="s">
        <v>177</v>
      </c>
      <c r="K1526" s="111" t="s">
        <v>176</v>
      </c>
      <c r="L1526" s="110" t="s">
        <v>175</v>
      </c>
      <c r="M1526" s="110" t="s">
        <v>174</v>
      </c>
      <c r="N1526" s="109" t="s">
        <v>173</v>
      </c>
    </row>
    <row r="1527" spans="1:14" outlineLevel="2" x14ac:dyDescent="0.35">
      <c r="A1527" s="108" t="s">
        <v>500</v>
      </c>
      <c r="B1527" s="108" t="s">
        <v>219</v>
      </c>
      <c r="C1527" s="106">
        <v>240803</v>
      </c>
      <c r="D1527" s="106">
        <v>0</v>
      </c>
      <c r="E1527" s="106">
        <v>0</v>
      </c>
      <c r="F1527" s="106">
        <v>0</v>
      </c>
      <c r="G1527" s="106">
        <v>0</v>
      </c>
      <c r="H1527" s="106">
        <v>240803</v>
      </c>
      <c r="I1527" s="106">
        <v>-240803</v>
      </c>
      <c r="J1527" s="106">
        <v>0</v>
      </c>
      <c r="K1527" s="106">
        <v>0</v>
      </c>
      <c r="L1527" s="106">
        <v>0</v>
      </c>
      <c r="M1527" s="106">
        <v>0</v>
      </c>
      <c r="N1527" s="106">
        <v>0</v>
      </c>
    </row>
    <row r="1528" spans="1:14" outlineLevel="2" x14ac:dyDescent="0.35">
      <c r="A1528" s="108" t="s">
        <v>500</v>
      </c>
      <c r="B1528" s="108" t="s">
        <v>218</v>
      </c>
      <c r="C1528" s="106">
        <v>60546</v>
      </c>
      <c r="D1528" s="106">
        <v>-4999</v>
      </c>
      <c r="E1528" s="106">
        <v>0</v>
      </c>
      <c r="F1528" s="106">
        <v>0</v>
      </c>
      <c r="G1528" s="106">
        <v>0</v>
      </c>
      <c r="H1528" s="106">
        <v>55547</v>
      </c>
      <c r="I1528" s="106">
        <v>-49268</v>
      </c>
      <c r="J1528" s="106">
        <v>6279</v>
      </c>
      <c r="K1528" s="106">
        <v>0</v>
      </c>
      <c r="L1528" s="106">
        <v>0</v>
      </c>
      <c r="M1528" s="106">
        <v>0</v>
      </c>
      <c r="N1528" s="106">
        <v>6279</v>
      </c>
    </row>
    <row r="1529" spans="1:14" outlineLevel="2" x14ac:dyDescent="0.35">
      <c r="A1529" s="108" t="s">
        <v>500</v>
      </c>
      <c r="B1529" s="108" t="s">
        <v>209</v>
      </c>
      <c r="C1529" s="106">
        <v>29386</v>
      </c>
      <c r="D1529" s="106">
        <v>0</v>
      </c>
      <c r="E1529" s="106">
        <v>0</v>
      </c>
      <c r="F1529" s="106">
        <v>0</v>
      </c>
      <c r="G1529" s="106">
        <v>0</v>
      </c>
      <c r="H1529" s="106">
        <v>29386</v>
      </c>
      <c r="I1529" s="106">
        <v>-29386</v>
      </c>
      <c r="J1529" s="106">
        <v>0</v>
      </c>
      <c r="K1529" s="106">
        <v>0</v>
      </c>
      <c r="L1529" s="106">
        <v>0</v>
      </c>
      <c r="M1529" s="106">
        <v>0</v>
      </c>
      <c r="N1529" s="106">
        <v>0</v>
      </c>
    </row>
    <row r="1530" spans="1:14" outlineLevel="2" x14ac:dyDescent="0.35">
      <c r="A1530" s="108" t="s">
        <v>500</v>
      </c>
      <c r="B1530" s="108" t="s">
        <v>208</v>
      </c>
      <c r="C1530" s="106">
        <v>30197</v>
      </c>
      <c r="D1530" s="106">
        <v>0</v>
      </c>
      <c r="E1530" s="106">
        <v>0</v>
      </c>
      <c r="F1530" s="106">
        <v>0</v>
      </c>
      <c r="G1530" s="106">
        <v>0</v>
      </c>
      <c r="H1530" s="106">
        <v>30197</v>
      </c>
      <c r="I1530" s="106">
        <v>-30197</v>
      </c>
      <c r="J1530" s="106">
        <v>0</v>
      </c>
      <c r="K1530" s="106">
        <v>0</v>
      </c>
      <c r="L1530" s="106">
        <v>0</v>
      </c>
      <c r="M1530" s="106">
        <v>0</v>
      </c>
      <c r="N1530" s="106">
        <v>0</v>
      </c>
    </row>
    <row r="1531" spans="1:14" outlineLevel="2" x14ac:dyDescent="0.35">
      <c r="A1531" s="108" t="s">
        <v>500</v>
      </c>
      <c r="B1531" s="108" t="s">
        <v>206</v>
      </c>
      <c r="C1531" s="106">
        <v>33745</v>
      </c>
      <c r="D1531" s="106">
        <v>0</v>
      </c>
      <c r="E1531" s="106">
        <v>0</v>
      </c>
      <c r="F1531" s="106">
        <v>0</v>
      </c>
      <c r="G1531" s="106">
        <v>0</v>
      </c>
      <c r="H1531" s="106">
        <v>33745</v>
      </c>
      <c r="I1531" s="106">
        <v>-33745</v>
      </c>
      <c r="J1531" s="106">
        <v>0</v>
      </c>
      <c r="K1531" s="106">
        <v>0</v>
      </c>
      <c r="L1531" s="106">
        <v>0</v>
      </c>
      <c r="M1531" s="106">
        <v>0</v>
      </c>
      <c r="N1531" s="106">
        <v>0</v>
      </c>
    </row>
    <row r="1532" spans="1:14" outlineLevel="2" x14ac:dyDescent="0.35">
      <c r="A1532" s="108" t="s">
        <v>500</v>
      </c>
      <c r="B1532" s="108" t="s">
        <v>205</v>
      </c>
      <c r="C1532" s="106">
        <v>2136</v>
      </c>
      <c r="D1532" s="106">
        <v>0</v>
      </c>
      <c r="E1532" s="106">
        <v>0</v>
      </c>
      <c r="F1532" s="106">
        <v>0</v>
      </c>
      <c r="G1532" s="106">
        <v>0</v>
      </c>
      <c r="H1532" s="106">
        <v>2136</v>
      </c>
      <c r="I1532" s="106">
        <v>-2136</v>
      </c>
      <c r="J1532" s="106">
        <v>0</v>
      </c>
      <c r="K1532" s="106">
        <v>0</v>
      </c>
      <c r="L1532" s="106">
        <v>0</v>
      </c>
      <c r="M1532" s="106">
        <v>0</v>
      </c>
      <c r="N1532" s="106">
        <v>0</v>
      </c>
    </row>
    <row r="1533" spans="1:14" ht="16" outlineLevel="2" thickBot="1" x14ac:dyDescent="0.4">
      <c r="A1533" s="105" t="s">
        <v>379</v>
      </c>
      <c r="B1533" s="79" t="s">
        <v>12</v>
      </c>
      <c r="C1533" s="103">
        <f>SUBTOTAL(109,Program362[(C)
Program
Costs])</f>
        <v>396813</v>
      </c>
      <c r="D1533" s="103">
        <f>SUBTOTAL(109,Program362[(D)
Prior Period Adjustments])</f>
        <v>-4999</v>
      </c>
      <c r="E1533" s="103">
        <f>SUBTOTAL(109,Program362[(E)
Current Period Desk 
Reviews])</f>
        <v>0</v>
      </c>
      <c r="F1533" s="103">
        <f>SUBTOTAL(109,Program362[(F)
Current Period 
Final 
Audits])</f>
        <v>0</v>
      </c>
      <c r="G1533" s="103">
        <f>SUBTOTAL(109,Program362[(G)
Current Period 
Other Adjustments])</f>
        <v>0</v>
      </c>
      <c r="H1533" s="103">
        <f>SUBTOTAL(109,Program362[(H)
Net Program Costs
Sum (C through G)])</f>
        <v>391814</v>
      </c>
      <c r="I1533" s="103">
        <f>SUBTOTAL(109,Program362[(I)
Payments
 and Offsets])</f>
        <v>-385535</v>
      </c>
      <c r="J1533" s="103">
        <f>SUBTOTAL(109,Program362[(J)
Accounts Payable Balance
(H + I)])</f>
        <v>6279</v>
      </c>
      <c r="K1533" s="103">
        <f>SUBTOTAL(109,Program362[(K)
Established 
Accounts Receivable])</f>
        <v>0</v>
      </c>
      <c r="L1533" s="103">
        <f>SUBTOTAL(109,Program362[(L)
Recovered
 Accounts Receivable])</f>
        <v>0</v>
      </c>
      <c r="M1533" s="103">
        <f>SUBTOTAL(109,Program362[(M)
Accounts Receivable Balance
(K + L)])</f>
        <v>0</v>
      </c>
      <c r="N1533" s="103">
        <f>SUBTOTAL(109,Program362[(N)
Net Balance
(J minus M)])</f>
        <v>6279</v>
      </c>
    </row>
    <row r="1534" spans="1:14" outlineLevel="1" x14ac:dyDescent="0.35">
      <c r="A1534" s="116" t="s">
        <v>33</v>
      </c>
      <c r="B1534" s="115"/>
      <c r="C1534" s="114"/>
      <c r="D1534" s="114"/>
      <c r="E1534" s="114"/>
      <c r="F1534" s="114"/>
      <c r="G1534" s="114"/>
      <c r="H1534" s="114"/>
      <c r="I1534" s="114"/>
      <c r="J1534" s="114"/>
      <c r="K1534" s="114"/>
      <c r="L1534" s="114"/>
      <c r="M1534" s="114"/>
      <c r="N1534" s="114"/>
    </row>
    <row r="1535" spans="1:14" ht="78.75" customHeight="1" outlineLevel="1" x14ac:dyDescent="0.35">
      <c r="A1535" s="113" t="s">
        <v>185</v>
      </c>
      <c r="B1535" s="112" t="s">
        <v>184</v>
      </c>
      <c r="C1535" s="111" t="s">
        <v>183</v>
      </c>
      <c r="D1535" s="111" t="s">
        <v>182</v>
      </c>
      <c r="E1535" s="111" t="s">
        <v>181</v>
      </c>
      <c r="F1535" s="111" t="s">
        <v>180</v>
      </c>
      <c r="G1535" s="111" t="s">
        <v>179</v>
      </c>
      <c r="H1535" s="110" t="s">
        <v>674</v>
      </c>
      <c r="I1535" s="110" t="s">
        <v>178</v>
      </c>
      <c r="J1535" s="110" t="s">
        <v>177</v>
      </c>
      <c r="K1535" s="111" t="s">
        <v>176</v>
      </c>
      <c r="L1535" s="110" t="s">
        <v>175</v>
      </c>
      <c r="M1535" s="110" t="s">
        <v>174</v>
      </c>
      <c r="N1535" s="109" t="s">
        <v>173</v>
      </c>
    </row>
    <row r="1536" spans="1:14" ht="15.5" customHeight="1" outlineLevel="1" x14ac:dyDescent="0.35">
      <c r="A1536" s="108" t="s">
        <v>499</v>
      </c>
      <c r="B1536" s="108" t="s">
        <v>206</v>
      </c>
      <c r="C1536" s="106">
        <v>110890</v>
      </c>
      <c r="D1536" s="106">
        <v>-2119</v>
      </c>
      <c r="E1536" s="106">
        <v>0</v>
      </c>
      <c r="F1536" s="106">
        <v>0</v>
      </c>
      <c r="G1536" s="106">
        <v>0</v>
      </c>
      <c r="H1536" s="106">
        <v>108771</v>
      </c>
      <c r="I1536" s="106">
        <v>-62375</v>
      </c>
      <c r="J1536" s="106">
        <v>46396</v>
      </c>
      <c r="K1536" s="106">
        <v>0</v>
      </c>
      <c r="L1536" s="106">
        <v>0</v>
      </c>
      <c r="M1536" s="106">
        <v>0</v>
      </c>
      <c r="N1536" s="106">
        <v>46396</v>
      </c>
    </row>
    <row r="1537" spans="1:14" outlineLevel="2" x14ac:dyDescent="0.35">
      <c r="A1537" s="108" t="s">
        <v>499</v>
      </c>
      <c r="B1537" s="108" t="s">
        <v>205</v>
      </c>
      <c r="C1537" s="106">
        <v>975014</v>
      </c>
      <c r="D1537" s="106">
        <v>-1488</v>
      </c>
      <c r="E1537" s="106">
        <v>0</v>
      </c>
      <c r="F1537" s="106">
        <v>0</v>
      </c>
      <c r="G1537" s="106">
        <v>0</v>
      </c>
      <c r="H1537" s="106">
        <v>973526</v>
      </c>
      <c r="I1537" s="106">
        <v>-729055</v>
      </c>
      <c r="J1537" s="106">
        <v>244471</v>
      </c>
      <c r="K1537" s="106">
        <v>0</v>
      </c>
      <c r="L1537" s="106">
        <v>0</v>
      </c>
      <c r="M1537" s="106">
        <v>0</v>
      </c>
      <c r="N1537" s="106">
        <v>244471</v>
      </c>
    </row>
    <row r="1538" spans="1:14" outlineLevel="2" x14ac:dyDescent="0.35">
      <c r="A1538" s="108" t="s">
        <v>499</v>
      </c>
      <c r="B1538" s="108" t="s">
        <v>204</v>
      </c>
      <c r="C1538" s="106">
        <v>1161169</v>
      </c>
      <c r="D1538" s="106">
        <v>-12322</v>
      </c>
      <c r="E1538" s="106">
        <v>0</v>
      </c>
      <c r="F1538" s="106">
        <v>0</v>
      </c>
      <c r="G1538" s="106">
        <v>0</v>
      </c>
      <c r="H1538" s="106">
        <v>1148847</v>
      </c>
      <c r="I1538" s="106">
        <v>-892434</v>
      </c>
      <c r="J1538" s="106">
        <v>256413</v>
      </c>
      <c r="K1538" s="106">
        <v>0</v>
      </c>
      <c r="L1538" s="106">
        <v>0</v>
      </c>
      <c r="M1538" s="106">
        <v>0</v>
      </c>
      <c r="N1538" s="106">
        <v>256413</v>
      </c>
    </row>
    <row r="1539" spans="1:14" outlineLevel="2" x14ac:dyDescent="0.35">
      <c r="A1539" s="108" t="s">
        <v>499</v>
      </c>
      <c r="B1539" s="108" t="s">
        <v>203</v>
      </c>
      <c r="C1539" s="106">
        <v>1382136</v>
      </c>
      <c r="D1539" s="106">
        <v>-4903</v>
      </c>
      <c r="E1539" s="106">
        <v>0</v>
      </c>
      <c r="F1539" s="106">
        <v>0</v>
      </c>
      <c r="G1539" s="106">
        <v>0</v>
      </c>
      <c r="H1539" s="106">
        <v>1377233</v>
      </c>
      <c r="I1539" s="106">
        <v>-1090334</v>
      </c>
      <c r="J1539" s="106">
        <v>286899</v>
      </c>
      <c r="K1539" s="106">
        <v>0</v>
      </c>
      <c r="L1539" s="106">
        <v>0</v>
      </c>
      <c r="M1539" s="106">
        <v>0</v>
      </c>
      <c r="N1539" s="106">
        <v>286899</v>
      </c>
    </row>
    <row r="1540" spans="1:14" outlineLevel="2" x14ac:dyDescent="0.35">
      <c r="A1540" s="108" t="s">
        <v>499</v>
      </c>
      <c r="B1540" s="108" t="s">
        <v>202</v>
      </c>
      <c r="C1540" s="106">
        <v>973961</v>
      </c>
      <c r="D1540" s="106">
        <v>-9662</v>
      </c>
      <c r="E1540" s="106">
        <v>0</v>
      </c>
      <c r="F1540" s="106">
        <v>0</v>
      </c>
      <c r="G1540" s="106">
        <v>0</v>
      </c>
      <c r="H1540" s="106">
        <v>964299</v>
      </c>
      <c r="I1540" s="106">
        <v>-880791</v>
      </c>
      <c r="J1540" s="106">
        <v>83508</v>
      </c>
      <c r="K1540" s="106">
        <v>14205</v>
      </c>
      <c r="L1540" s="106">
        <v>-14205</v>
      </c>
      <c r="M1540" s="106">
        <v>0</v>
      </c>
      <c r="N1540" s="106">
        <v>83508</v>
      </c>
    </row>
    <row r="1541" spans="1:14" outlineLevel="2" x14ac:dyDescent="0.35">
      <c r="A1541" s="108" t="s">
        <v>499</v>
      </c>
      <c r="B1541" s="108" t="s">
        <v>201</v>
      </c>
      <c r="C1541" s="106">
        <v>1060515</v>
      </c>
      <c r="D1541" s="106">
        <v>-4511</v>
      </c>
      <c r="E1541" s="106">
        <v>0</v>
      </c>
      <c r="F1541" s="106">
        <v>0</v>
      </c>
      <c r="G1541" s="106">
        <v>0</v>
      </c>
      <c r="H1541" s="106">
        <v>1056004</v>
      </c>
      <c r="I1541" s="106">
        <v>-948908</v>
      </c>
      <c r="J1541" s="106">
        <v>107096</v>
      </c>
      <c r="K1541" s="106">
        <v>0</v>
      </c>
      <c r="L1541" s="106">
        <v>0</v>
      </c>
      <c r="M1541" s="106">
        <v>0</v>
      </c>
      <c r="N1541" s="106">
        <v>107096</v>
      </c>
    </row>
    <row r="1542" spans="1:14" outlineLevel="2" x14ac:dyDescent="0.35">
      <c r="A1542" s="108" t="s">
        <v>499</v>
      </c>
      <c r="B1542" s="108" t="s">
        <v>200</v>
      </c>
      <c r="C1542" s="106">
        <v>1079490</v>
      </c>
      <c r="D1542" s="106">
        <v>-22929</v>
      </c>
      <c r="E1542" s="106">
        <v>0</v>
      </c>
      <c r="F1542" s="106">
        <v>0</v>
      </c>
      <c r="G1542" s="106">
        <v>0</v>
      </c>
      <c r="H1542" s="106">
        <v>1056561</v>
      </c>
      <c r="I1542" s="106">
        <v>-1000245</v>
      </c>
      <c r="J1542" s="106">
        <v>56316</v>
      </c>
      <c r="K1542" s="106">
        <v>0</v>
      </c>
      <c r="L1542" s="106">
        <v>0</v>
      </c>
      <c r="M1542" s="106">
        <v>0</v>
      </c>
      <c r="N1542" s="106">
        <v>56316</v>
      </c>
    </row>
    <row r="1543" spans="1:14" outlineLevel="2" x14ac:dyDescent="0.35">
      <c r="A1543" s="108" t="s">
        <v>499</v>
      </c>
      <c r="B1543" s="108" t="s">
        <v>199</v>
      </c>
      <c r="C1543" s="106">
        <v>1120920</v>
      </c>
      <c r="D1543" s="106">
        <v>-8046</v>
      </c>
      <c r="E1543" s="106">
        <v>0</v>
      </c>
      <c r="F1543" s="106">
        <v>0</v>
      </c>
      <c r="G1543" s="106">
        <v>0</v>
      </c>
      <c r="H1543" s="106">
        <v>1112874</v>
      </c>
      <c r="I1543" s="106">
        <v>-1107374</v>
      </c>
      <c r="J1543" s="106">
        <v>5500</v>
      </c>
      <c r="K1543" s="106">
        <v>0</v>
      </c>
      <c r="L1543" s="106">
        <v>0</v>
      </c>
      <c r="M1543" s="106">
        <v>0</v>
      </c>
      <c r="N1543" s="106">
        <v>5500</v>
      </c>
    </row>
    <row r="1544" spans="1:14" outlineLevel="2" x14ac:dyDescent="0.35">
      <c r="A1544" s="108" t="s">
        <v>499</v>
      </c>
      <c r="B1544" s="108" t="s">
        <v>198</v>
      </c>
      <c r="C1544" s="106">
        <v>1465283</v>
      </c>
      <c r="D1544" s="106">
        <v>-31023</v>
      </c>
      <c r="E1544" s="106">
        <v>0</v>
      </c>
      <c r="F1544" s="106">
        <v>0</v>
      </c>
      <c r="G1544" s="106">
        <v>0</v>
      </c>
      <c r="H1544" s="106">
        <v>1434260</v>
      </c>
      <c r="I1544" s="106">
        <v>-1415123</v>
      </c>
      <c r="J1544" s="106">
        <v>19137</v>
      </c>
      <c r="K1544" s="106">
        <v>0</v>
      </c>
      <c r="L1544" s="106">
        <v>0</v>
      </c>
      <c r="M1544" s="106">
        <v>0</v>
      </c>
      <c r="N1544" s="106">
        <v>19137</v>
      </c>
    </row>
    <row r="1545" spans="1:14" outlineLevel="2" x14ac:dyDescent="0.35">
      <c r="A1545" s="108" t="s">
        <v>499</v>
      </c>
      <c r="B1545" s="108" t="s">
        <v>197</v>
      </c>
      <c r="C1545" s="106">
        <v>2114967</v>
      </c>
      <c r="D1545" s="106">
        <v>-623701</v>
      </c>
      <c r="E1545" s="106">
        <v>0</v>
      </c>
      <c r="F1545" s="106">
        <v>0</v>
      </c>
      <c r="G1545" s="106">
        <v>0</v>
      </c>
      <c r="H1545" s="106">
        <v>1491266</v>
      </c>
      <c r="I1545" s="106">
        <v>-1489175</v>
      </c>
      <c r="J1545" s="106">
        <v>2091</v>
      </c>
      <c r="K1545" s="106">
        <v>548259</v>
      </c>
      <c r="L1545" s="106">
        <v>-548259</v>
      </c>
      <c r="M1545" s="106">
        <v>0</v>
      </c>
      <c r="N1545" s="106">
        <v>2091</v>
      </c>
    </row>
    <row r="1546" spans="1:14" outlineLevel="2" x14ac:dyDescent="0.35">
      <c r="A1546" s="108" t="s">
        <v>499</v>
      </c>
      <c r="B1546" s="108" t="s">
        <v>196</v>
      </c>
      <c r="C1546" s="106">
        <v>1354890</v>
      </c>
      <c r="D1546" s="106">
        <v>-307327</v>
      </c>
      <c r="E1546" s="106">
        <v>0</v>
      </c>
      <c r="F1546" s="106">
        <v>0</v>
      </c>
      <c r="G1546" s="106">
        <v>0</v>
      </c>
      <c r="H1546" s="106">
        <v>1047563</v>
      </c>
      <c r="I1546" s="106">
        <v>-1047255</v>
      </c>
      <c r="J1546" s="106">
        <v>308</v>
      </c>
      <c r="K1546" s="106">
        <v>780671</v>
      </c>
      <c r="L1546" s="106">
        <v>-780671</v>
      </c>
      <c r="M1546" s="106">
        <v>0</v>
      </c>
      <c r="N1546" s="106">
        <v>308</v>
      </c>
    </row>
    <row r="1547" spans="1:14" outlineLevel="2" x14ac:dyDescent="0.35">
      <c r="A1547" s="108" t="s">
        <v>499</v>
      </c>
      <c r="B1547" s="108" t="s">
        <v>195</v>
      </c>
      <c r="C1547" s="106">
        <v>1758404</v>
      </c>
      <c r="D1547" s="106">
        <v>-470488</v>
      </c>
      <c r="E1547" s="106">
        <v>0</v>
      </c>
      <c r="F1547" s="106">
        <v>0</v>
      </c>
      <c r="G1547" s="106">
        <v>0</v>
      </c>
      <c r="H1547" s="106">
        <v>1287916</v>
      </c>
      <c r="I1547" s="106">
        <v>-1287916</v>
      </c>
      <c r="J1547" s="106">
        <v>0</v>
      </c>
      <c r="K1547" s="106">
        <v>633360</v>
      </c>
      <c r="L1547" s="106">
        <v>-633360</v>
      </c>
      <c r="M1547" s="106">
        <v>0</v>
      </c>
      <c r="N1547" s="106">
        <v>0</v>
      </c>
    </row>
    <row r="1548" spans="1:14" outlineLevel="1" x14ac:dyDescent="0.35">
      <c r="A1548" s="108" t="s">
        <v>499</v>
      </c>
      <c r="B1548" s="108" t="s">
        <v>194</v>
      </c>
      <c r="C1548" s="106">
        <v>1566619</v>
      </c>
      <c r="D1548" s="106">
        <v>-1894</v>
      </c>
      <c r="E1548" s="106">
        <v>0</v>
      </c>
      <c r="F1548" s="106">
        <v>0</v>
      </c>
      <c r="G1548" s="106">
        <v>0</v>
      </c>
      <c r="H1548" s="106">
        <v>1564725</v>
      </c>
      <c r="I1548" s="106">
        <v>-1564725</v>
      </c>
      <c r="J1548" s="106">
        <v>0</v>
      </c>
      <c r="K1548" s="106">
        <v>332963</v>
      </c>
      <c r="L1548" s="106">
        <v>-332963</v>
      </c>
      <c r="M1548" s="106">
        <v>0</v>
      </c>
      <c r="N1548" s="106">
        <v>0</v>
      </c>
    </row>
    <row r="1549" spans="1:14" ht="15.65" customHeight="1" outlineLevel="1" x14ac:dyDescent="0.35">
      <c r="A1549" s="108" t="s">
        <v>499</v>
      </c>
      <c r="B1549" s="108" t="s">
        <v>193</v>
      </c>
      <c r="C1549" s="106">
        <v>1126960</v>
      </c>
      <c r="D1549" s="106">
        <v>-56262</v>
      </c>
      <c r="E1549" s="106">
        <v>0</v>
      </c>
      <c r="F1549" s="106">
        <v>0</v>
      </c>
      <c r="G1549" s="106">
        <v>0</v>
      </c>
      <c r="H1549" s="106">
        <v>1070698</v>
      </c>
      <c r="I1549" s="106">
        <v>-1070698</v>
      </c>
      <c r="J1549" s="106">
        <v>0</v>
      </c>
      <c r="K1549" s="106">
        <v>569409</v>
      </c>
      <c r="L1549" s="106">
        <v>-569409</v>
      </c>
      <c r="M1549" s="106">
        <v>0</v>
      </c>
      <c r="N1549" s="106">
        <v>0</v>
      </c>
    </row>
    <row r="1550" spans="1:14" ht="15.5" customHeight="1" outlineLevel="1" x14ac:dyDescent="0.35">
      <c r="A1550" s="108" t="s">
        <v>499</v>
      </c>
      <c r="B1550" s="108" t="s">
        <v>192</v>
      </c>
      <c r="C1550" s="106">
        <v>1435024</v>
      </c>
      <c r="D1550" s="106">
        <v>-966092</v>
      </c>
      <c r="E1550" s="106">
        <v>0</v>
      </c>
      <c r="F1550" s="106">
        <v>0</v>
      </c>
      <c r="G1550" s="106">
        <v>0</v>
      </c>
      <c r="H1550" s="106">
        <v>468932</v>
      </c>
      <c r="I1550" s="106">
        <v>-468932</v>
      </c>
      <c r="J1550" s="106">
        <v>0</v>
      </c>
      <c r="K1550" s="106">
        <v>1264497</v>
      </c>
      <c r="L1550" s="106">
        <v>-1264497</v>
      </c>
      <c r="M1550" s="106">
        <v>0</v>
      </c>
      <c r="N1550" s="106">
        <v>0</v>
      </c>
    </row>
    <row r="1551" spans="1:14" outlineLevel="2" x14ac:dyDescent="0.35">
      <c r="A1551" s="108" t="s">
        <v>499</v>
      </c>
      <c r="B1551" s="108" t="s">
        <v>191</v>
      </c>
      <c r="C1551" s="106">
        <v>1390559</v>
      </c>
      <c r="D1551" s="106">
        <v>-947406</v>
      </c>
      <c r="E1551" s="106">
        <v>0</v>
      </c>
      <c r="F1551" s="106">
        <v>0</v>
      </c>
      <c r="G1551" s="106">
        <v>0</v>
      </c>
      <c r="H1551" s="106">
        <v>443153</v>
      </c>
      <c r="I1551" s="106">
        <v>-443153</v>
      </c>
      <c r="J1551" s="106">
        <v>0</v>
      </c>
      <c r="K1551" s="106">
        <v>1298735</v>
      </c>
      <c r="L1551" s="106">
        <v>-1298735</v>
      </c>
      <c r="M1551" s="106">
        <v>0</v>
      </c>
      <c r="N1551" s="106">
        <v>0</v>
      </c>
    </row>
    <row r="1552" spans="1:14" outlineLevel="2" x14ac:dyDescent="0.35">
      <c r="A1552" s="108" t="s">
        <v>499</v>
      </c>
      <c r="B1552" s="108" t="s">
        <v>190</v>
      </c>
      <c r="C1552" s="106">
        <v>1286947</v>
      </c>
      <c r="D1552" s="106">
        <v>-679338</v>
      </c>
      <c r="E1552" s="106">
        <v>0</v>
      </c>
      <c r="F1552" s="106">
        <v>0</v>
      </c>
      <c r="G1552" s="106">
        <v>0</v>
      </c>
      <c r="H1552" s="106">
        <v>607609</v>
      </c>
      <c r="I1552" s="106">
        <v>-607609</v>
      </c>
      <c r="J1552" s="106">
        <v>0</v>
      </c>
      <c r="K1552" s="106">
        <v>855675</v>
      </c>
      <c r="L1552" s="106">
        <v>-855675</v>
      </c>
      <c r="M1552" s="106">
        <v>0</v>
      </c>
      <c r="N1552" s="106">
        <v>0</v>
      </c>
    </row>
    <row r="1553" spans="1:14" outlineLevel="2" x14ac:dyDescent="0.35">
      <c r="A1553" s="108" t="s">
        <v>499</v>
      </c>
      <c r="B1553" s="108" t="s">
        <v>189</v>
      </c>
      <c r="C1553" s="106">
        <v>1826959</v>
      </c>
      <c r="D1553" s="106">
        <v>-985368</v>
      </c>
      <c r="E1553" s="106">
        <v>0</v>
      </c>
      <c r="F1553" s="106">
        <v>0</v>
      </c>
      <c r="G1553" s="106">
        <v>0</v>
      </c>
      <c r="H1553" s="106">
        <v>841591</v>
      </c>
      <c r="I1553" s="106">
        <v>-841591</v>
      </c>
      <c r="J1553" s="106">
        <v>0</v>
      </c>
      <c r="K1553" s="106">
        <v>238858</v>
      </c>
      <c r="L1553" s="106">
        <v>-238858</v>
      </c>
      <c r="M1553" s="106">
        <v>0</v>
      </c>
      <c r="N1553" s="106">
        <v>0</v>
      </c>
    </row>
    <row r="1554" spans="1:14" outlineLevel="2" x14ac:dyDescent="0.35">
      <c r="A1554" s="108" t="s">
        <v>499</v>
      </c>
      <c r="B1554" s="108" t="s">
        <v>188</v>
      </c>
      <c r="C1554" s="106">
        <v>862590</v>
      </c>
      <c r="D1554" s="106">
        <v>-333564</v>
      </c>
      <c r="E1554" s="106">
        <v>0</v>
      </c>
      <c r="F1554" s="106">
        <v>0</v>
      </c>
      <c r="G1554" s="106">
        <v>0</v>
      </c>
      <c r="H1554" s="106">
        <v>529026</v>
      </c>
      <c r="I1554" s="106">
        <v>-529026</v>
      </c>
      <c r="J1554" s="106">
        <v>0</v>
      </c>
      <c r="K1554" s="106">
        <v>158916</v>
      </c>
      <c r="L1554" s="106">
        <v>-158916</v>
      </c>
      <c r="M1554" s="106">
        <v>0</v>
      </c>
      <c r="N1554" s="106">
        <v>0</v>
      </c>
    </row>
    <row r="1555" spans="1:14" outlineLevel="2" x14ac:dyDescent="0.35">
      <c r="A1555" s="108" t="s">
        <v>499</v>
      </c>
      <c r="B1555" s="108" t="s">
        <v>186</v>
      </c>
      <c r="C1555" s="106">
        <v>1200217.05</v>
      </c>
      <c r="D1555" s="106">
        <v>-634540.05000000005</v>
      </c>
      <c r="E1555" s="106">
        <v>0</v>
      </c>
      <c r="F1555" s="106">
        <v>0</v>
      </c>
      <c r="G1555" s="106">
        <v>0</v>
      </c>
      <c r="H1555" s="106">
        <v>565677</v>
      </c>
      <c r="I1555" s="106">
        <v>-565677</v>
      </c>
      <c r="J1555" s="106">
        <v>0</v>
      </c>
      <c r="K1555" s="106">
        <v>0</v>
      </c>
      <c r="L1555" s="106">
        <v>0</v>
      </c>
      <c r="M1555" s="106">
        <v>0</v>
      </c>
      <c r="N1555" s="106">
        <v>0</v>
      </c>
    </row>
    <row r="1556" spans="1:14" outlineLevel="2" x14ac:dyDescent="0.35">
      <c r="A1556" s="108" t="s">
        <v>499</v>
      </c>
      <c r="B1556" s="108" t="s">
        <v>227</v>
      </c>
      <c r="C1556" s="106">
        <v>638897.42999999993</v>
      </c>
      <c r="D1556" s="106">
        <v>-331486.43</v>
      </c>
      <c r="E1556" s="106">
        <v>0</v>
      </c>
      <c r="F1556" s="106">
        <v>0</v>
      </c>
      <c r="G1556" s="106">
        <v>0</v>
      </c>
      <c r="H1556" s="106">
        <v>307411</v>
      </c>
      <c r="I1556" s="106">
        <v>-307411</v>
      </c>
      <c r="J1556" s="106">
        <v>0</v>
      </c>
      <c r="K1556" s="106">
        <v>0</v>
      </c>
      <c r="L1556" s="106">
        <v>0</v>
      </c>
      <c r="M1556" s="106">
        <v>0</v>
      </c>
      <c r="N1556" s="106">
        <v>0</v>
      </c>
    </row>
    <row r="1557" spans="1:14" outlineLevel="2" x14ac:dyDescent="0.35">
      <c r="A1557" s="108" t="s">
        <v>499</v>
      </c>
      <c r="B1557" s="108" t="s">
        <v>226</v>
      </c>
      <c r="C1557" s="106">
        <v>623018</v>
      </c>
      <c r="D1557" s="106">
        <v>-364064</v>
      </c>
      <c r="E1557" s="106">
        <v>0</v>
      </c>
      <c r="F1557" s="106">
        <v>0</v>
      </c>
      <c r="G1557" s="106">
        <v>0</v>
      </c>
      <c r="H1557" s="106">
        <v>258954</v>
      </c>
      <c r="I1557" s="106">
        <v>-258954</v>
      </c>
      <c r="J1557" s="106">
        <v>0</v>
      </c>
      <c r="K1557" s="106">
        <v>0</v>
      </c>
      <c r="L1557" s="106">
        <v>0</v>
      </c>
      <c r="M1557" s="106">
        <v>0</v>
      </c>
      <c r="N1557" s="106">
        <v>0</v>
      </c>
    </row>
    <row r="1558" spans="1:14" outlineLevel="2" x14ac:dyDescent="0.35">
      <c r="A1558" s="108" t="s">
        <v>499</v>
      </c>
      <c r="B1558" s="108" t="s">
        <v>225</v>
      </c>
      <c r="C1558" s="106">
        <v>597165</v>
      </c>
      <c r="D1558" s="106">
        <v>-326271</v>
      </c>
      <c r="E1558" s="106">
        <v>0</v>
      </c>
      <c r="F1558" s="106">
        <v>0</v>
      </c>
      <c r="G1558" s="106">
        <v>0</v>
      </c>
      <c r="H1558" s="106">
        <v>270894</v>
      </c>
      <c r="I1558" s="106">
        <v>-270894</v>
      </c>
      <c r="J1558" s="106">
        <v>0</v>
      </c>
      <c r="K1558" s="106">
        <v>0</v>
      </c>
      <c r="L1558" s="106">
        <v>0</v>
      </c>
      <c r="M1558" s="106">
        <v>0</v>
      </c>
      <c r="N1558" s="106">
        <v>0</v>
      </c>
    </row>
    <row r="1559" spans="1:14" outlineLevel="2" x14ac:dyDescent="0.35">
      <c r="A1559" s="108" t="s">
        <v>499</v>
      </c>
      <c r="B1559" s="108" t="s">
        <v>223</v>
      </c>
      <c r="C1559" s="106">
        <v>1004426</v>
      </c>
      <c r="D1559" s="106">
        <v>-277422</v>
      </c>
      <c r="E1559" s="106">
        <v>0</v>
      </c>
      <c r="F1559" s="106">
        <v>0</v>
      </c>
      <c r="G1559" s="106">
        <v>0</v>
      </c>
      <c r="H1559" s="106">
        <v>727004</v>
      </c>
      <c r="I1559" s="106">
        <v>-727004</v>
      </c>
      <c r="J1559" s="106">
        <v>0</v>
      </c>
      <c r="K1559" s="106">
        <v>0</v>
      </c>
      <c r="L1559" s="106">
        <v>0</v>
      </c>
      <c r="M1559" s="106">
        <v>0</v>
      </c>
      <c r="N1559" s="106">
        <v>0</v>
      </c>
    </row>
    <row r="1560" spans="1:14" outlineLevel="2" x14ac:dyDescent="0.35">
      <c r="A1560" s="108" t="s">
        <v>499</v>
      </c>
      <c r="B1560" s="108" t="s">
        <v>257</v>
      </c>
      <c r="C1560" s="106">
        <v>306334</v>
      </c>
      <c r="D1560" s="106">
        <v>-28288</v>
      </c>
      <c r="E1560" s="106">
        <v>0</v>
      </c>
      <c r="F1560" s="106">
        <v>0</v>
      </c>
      <c r="G1560" s="106">
        <v>0</v>
      </c>
      <c r="H1560" s="106">
        <v>278046</v>
      </c>
      <c r="I1560" s="106">
        <v>-278046</v>
      </c>
      <c r="J1560" s="106">
        <v>0</v>
      </c>
      <c r="K1560" s="106">
        <v>0</v>
      </c>
      <c r="L1560" s="106">
        <v>0</v>
      </c>
      <c r="M1560" s="106">
        <v>0</v>
      </c>
      <c r="N1560" s="106">
        <v>0</v>
      </c>
    </row>
    <row r="1561" spans="1:14" outlineLevel="2" x14ac:dyDescent="0.35">
      <c r="A1561" s="108" t="s">
        <v>499</v>
      </c>
      <c r="B1561" s="108" t="s">
        <v>255</v>
      </c>
      <c r="C1561" s="106">
        <v>269443</v>
      </c>
      <c r="D1561" s="106">
        <v>-51053</v>
      </c>
      <c r="E1561" s="106">
        <v>0</v>
      </c>
      <c r="F1561" s="106">
        <v>0</v>
      </c>
      <c r="G1561" s="106">
        <v>0</v>
      </c>
      <c r="H1561" s="106">
        <v>218390</v>
      </c>
      <c r="I1561" s="106">
        <v>-218390</v>
      </c>
      <c r="J1561" s="106">
        <v>0</v>
      </c>
      <c r="K1561" s="106">
        <v>0</v>
      </c>
      <c r="L1561" s="106">
        <v>0</v>
      </c>
      <c r="M1561" s="106">
        <v>0</v>
      </c>
      <c r="N1561" s="106">
        <v>0</v>
      </c>
    </row>
    <row r="1562" spans="1:14" outlineLevel="2" x14ac:dyDescent="0.35">
      <c r="A1562" s="108" t="s">
        <v>499</v>
      </c>
      <c r="B1562" s="108" t="s">
        <v>275</v>
      </c>
      <c r="C1562" s="106">
        <v>87208</v>
      </c>
      <c r="D1562" s="106">
        <v>0</v>
      </c>
      <c r="E1562" s="106">
        <v>0</v>
      </c>
      <c r="F1562" s="106">
        <v>0</v>
      </c>
      <c r="G1562" s="106">
        <v>0</v>
      </c>
      <c r="H1562" s="106">
        <v>87208</v>
      </c>
      <c r="I1562" s="106">
        <v>-87208</v>
      </c>
      <c r="J1562" s="106">
        <v>0</v>
      </c>
      <c r="K1562" s="106">
        <v>0</v>
      </c>
      <c r="L1562" s="106">
        <v>0</v>
      </c>
      <c r="M1562" s="106">
        <v>0</v>
      </c>
      <c r="N1562" s="106">
        <v>0</v>
      </c>
    </row>
    <row r="1563" spans="1:14" ht="16" outlineLevel="2" thickBot="1" x14ac:dyDescent="0.4">
      <c r="A1563" s="105" t="s">
        <v>378</v>
      </c>
      <c r="B1563" s="79" t="s">
        <v>12</v>
      </c>
      <c r="C1563" s="103">
        <f>SUBTOTAL(109,Program57[(C)
Program
Costs])</f>
        <v>28780005.48</v>
      </c>
      <c r="D1563" s="103">
        <f>SUBTOTAL(109,Program57[(D)
Prior Period Adjustments])</f>
        <v>-7481567.4799999995</v>
      </c>
      <c r="E1563" s="103">
        <f>SUBTOTAL(109,Program57[(E)
Current Period Desk 
Reviews])</f>
        <v>0</v>
      </c>
      <c r="F1563" s="103">
        <f>SUBTOTAL(109,Program57[(F)
Current Period 
Final 
Audits])</f>
        <v>0</v>
      </c>
      <c r="G1563" s="103">
        <f>SUBTOTAL(109,Program57[(G)
Current Period 
Other Adjustments])</f>
        <v>0</v>
      </c>
      <c r="H1563" s="103">
        <f>SUBTOTAL(109,Program57[(H)
Net Program Costs
Sum (C through G)])</f>
        <v>21298438</v>
      </c>
      <c r="I1563" s="103">
        <f>SUBTOTAL(109,Program57[(I)
Payments
 and Offsets])</f>
        <v>-20190303</v>
      </c>
      <c r="J1563" s="103">
        <f>SUBTOTAL(109,Program57[(J)
Accounts Payable Balance
(H + I)])</f>
        <v>1108135</v>
      </c>
      <c r="K1563" s="103">
        <f>SUBTOTAL(109,Program57[(K)
Established 
Accounts Receivable])</f>
        <v>6695548</v>
      </c>
      <c r="L1563" s="103">
        <f>SUBTOTAL(109,Program57[(L)
Recovered
 Accounts Receivable])</f>
        <v>-6695548</v>
      </c>
      <c r="M1563" s="103">
        <f>SUBTOTAL(109,Program57[(M)
Accounts Receivable Balance
(K + L)])</f>
        <v>0</v>
      </c>
      <c r="N1563" s="103">
        <f>SUBTOTAL(109,Program57[(N)
Net Balance
(J minus M)])</f>
        <v>1108135</v>
      </c>
    </row>
    <row r="1564" spans="1:14" outlineLevel="1" x14ac:dyDescent="0.35">
      <c r="A1564" s="116" t="s">
        <v>33</v>
      </c>
      <c r="B1564" s="115"/>
      <c r="C1564" s="114"/>
      <c r="D1564" s="114"/>
      <c r="E1564" s="114"/>
      <c r="F1564" s="114"/>
      <c r="G1564" s="114"/>
      <c r="H1564" s="114"/>
      <c r="I1564" s="114"/>
      <c r="J1564" s="114"/>
      <c r="K1564" s="114"/>
      <c r="L1564" s="114"/>
      <c r="M1564" s="114"/>
      <c r="N1564" s="114"/>
    </row>
    <row r="1565" spans="1:14" ht="78.75" customHeight="1" outlineLevel="1" x14ac:dyDescent="0.35">
      <c r="A1565" s="113" t="s">
        <v>185</v>
      </c>
      <c r="B1565" s="112" t="s">
        <v>184</v>
      </c>
      <c r="C1565" s="111" t="s">
        <v>183</v>
      </c>
      <c r="D1565" s="111" t="s">
        <v>182</v>
      </c>
      <c r="E1565" s="111" t="s">
        <v>181</v>
      </c>
      <c r="F1565" s="111" t="s">
        <v>180</v>
      </c>
      <c r="G1565" s="111" t="s">
        <v>179</v>
      </c>
      <c r="H1565" s="110" t="s">
        <v>674</v>
      </c>
      <c r="I1565" s="110" t="s">
        <v>178</v>
      </c>
      <c r="J1565" s="110" t="s">
        <v>177</v>
      </c>
      <c r="K1565" s="111" t="s">
        <v>176</v>
      </c>
      <c r="L1565" s="110" t="s">
        <v>175</v>
      </c>
      <c r="M1565" s="110" t="s">
        <v>174</v>
      </c>
      <c r="N1565" s="109" t="s">
        <v>173</v>
      </c>
    </row>
    <row r="1566" spans="1:14" ht="15.5" customHeight="1" outlineLevel="1" x14ac:dyDescent="0.35">
      <c r="A1566" s="108" t="s">
        <v>498</v>
      </c>
      <c r="B1566" s="108" t="s">
        <v>215</v>
      </c>
      <c r="C1566" s="106">
        <v>15251</v>
      </c>
      <c r="D1566" s="106">
        <v>0</v>
      </c>
      <c r="E1566" s="106">
        <v>0</v>
      </c>
      <c r="F1566" s="106">
        <v>0</v>
      </c>
      <c r="G1566" s="106">
        <v>0</v>
      </c>
      <c r="H1566" s="106">
        <v>15251</v>
      </c>
      <c r="I1566" s="106">
        <v>0</v>
      </c>
      <c r="J1566" s="106">
        <v>15251</v>
      </c>
      <c r="K1566" s="106">
        <v>0</v>
      </c>
      <c r="L1566" s="106">
        <v>0</v>
      </c>
      <c r="M1566" s="106">
        <v>0</v>
      </c>
      <c r="N1566" s="106">
        <v>15251</v>
      </c>
    </row>
    <row r="1567" spans="1:14" outlineLevel="2" x14ac:dyDescent="0.35">
      <c r="A1567" s="108" t="s">
        <v>498</v>
      </c>
      <c r="B1567" s="108" t="s">
        <v>214</v>
      </c>
      <c r="C1567" s="106">
        <v>18422</v>
      </c>
      <c r="D1567" s="106">
        <v>0</v>
      </c>
      <c r="E1567" s="106">
        <v>0</v>
      </c>
      <c r="F1567" s="106">
        <v>0</v>
      </c>
      <c r="G1567" s="106">
        <v>0</v>
      </c>
      <c r="H1567" s="106">
        <v>18422</v>
      </c>
      <c r="I1567" s="106">
        <v>-1000</v>
      </c>
      <c r="J1567" s="106">
        <v>17422</v>
      </c>
      <c r="K1567" s="106">
        <v>0</v>
      </c>
      <c r="L1567" s="106">
        <v>0</v>
      </c>
      <c r="M1567" s="106">
        <v>0</v>
      </c>
      <c r="N1567" s="106">
        <v>17422</v>
      </c>
    </row>
    <row r="1568" spans="1:14" outlineLevel="2" x14ac:dyDescent="0.35">
      <c r="A1568" s="108" t="s">
        <v>498</v>
      </c>
      <c r="B1568" s="108" t="s">
        <v>212</v>
      </c>
      <c r="C1568" s="106">
        <v>18873</v>
      </c>
      <c r="D1568" s="106">
        <v>0</v>
      </c>
      <c r="E1568" s="106">
        <v>0</v>
      </c>
      <c r="F1568" s="106">
        <v>0</v>
      </c>
      <c r="G1568" s="106">
        <v>0</v>
      </c>
      <c r="H1568" s="106">
        <v>18873</v>
      </c>
      <c r="I1568" s="106">
        <v>-3510</v>
      </c>
      <c r="J1568" s="106">
        <v>15363</v>
      </c>
      <c r="K1568" s="106">
        <v>0</v>
      </c>
      <c r="L1568" s="106">
        <v>0</v>
      </c>
      <c r="M1568" s="106">
        <v>0</v>
      </c>
      <c r="N1568" s="106">
        <v>15363</v>
      </c>
    </row>
    <row r="1569" spans="1:14" outlineLevel="2" x14ac:dyDescent="0.35">
      <c r="A1569" s="108" t="s">
        <v>498</v>
      </c>
      <c r="B1569" s="108" t="s">
        <v>220</v>
      </c>
      <c r="C1569" s="106">
        <v>32551</v>
      </c>
      <c r="D1569" s="106">
        <v>-226</v>
      </c>
      <c r="E1569" s="106">
        <v>0</v>
      </c>
      <c r="F1569" s="106">
        <v>0</v>
      </c>
      <c r="G1569" s="106">
        <v>0</v>
      </c>
      <c r="H1569" s="106">
        <v>32325</v>
      </c>
      <c r="I1569" s="106">
        <v>-7778</v>
      </c>
      <c r="J1569" s="106">
        <v>24547</v>
      </c>
      <c r="K1569" s="106">
        <v>0</v>
      </c>
      <c r="L1569" s="106">
        <v>0</v>
      </c>
      <c r="M1569" s="106">
        <v>0</v>
      </c>
      <c r="N1569" s="106">
        <v>24547</v>
      </c>
    </row>
    <row r="1570" spans="1:14" outlineLevel="2" x14ac:dyDescent="0.35">
      <c r="A1570" s="108" t="s">
        <v>498</v>
      </c>
      <c r="B1570" s="108" t="s">
        <v>219</v>
      </c>
      <c r="C1570" s="106">
        <v>109844</v>
      </c>
      <c r="D1570" s="106">
        <v>0</v>
      </c>
      <c r="E1570" s="106">
        <v>0</v>
      </c>
      <c r="F1570" s="106">
        <v>0</v>
      </c>
      <c r="G1570" s="106">
        <v>0</v>
      </c>
      <c r="H1570" s="106">
        <v>109844</v>
      </c>
      <c r="I1570" s="106">
        <v>-28148</v>
      </c>
      <c r="J1570" s="106">
        <v>81696</v>
      </c>
      <c r="K1570" s="106">
        <v>0</v>
      </c>
      <c r="L1570" s="106">
        <v>0</v>
      </c>
      <c r="M1570" s="106">
        <v>0</v>
      </c>
      <c r="N1570" s="106">
        <v>81696</v>
      </c>
    </row>
    <row r="1571" spans="1:14" outlineLevel="2" x14ac:dyDescent="0.35">
      <c r="A1571" s="108" t="s">
        <v>498</v>
      </c>
      <c r="B1571" s="108" t="s">
        <v>218</v>
      </c>
      <c r="C1571" s="106">
        <v>161737</v>
      </c>
      <c r="D1571" s="106">
        <v>-887</v>
      </c>
      <c r="E1571" s="106">
        <v>0</v>
      </c>
      <c r="F1571" s="106">
        <v>0</v>
      </c>
      <c r="G1571" s="106">
        <v>0</v>
      </c>
      <c r="H1571" s="106">
        <v>160850</v>
      </c>
      <c r="I1571" s="106">
        <v>-55602</v>
      </c>
      <c r="J1571" s="106">
        <v>105248</v>
      </c>
      <c r="K1571" s="106">
        <v>0</v>
      </c>
      <c r="L1571" s="106">
        <v>0</v>
      </c>
      <c r="M1571" s="106">
        <v>0</v>
      </c>
      <c r="N1571" s="106">
        <v>105248</v>
      </c>
    </row>
    <row r="1572" spans="1:14" outlineLevel="2" x14ac:dyDescent="0.35">
      <c r="A1572" s="108" t="s">
        <v>498</v>
      </c>
      <c r="B1572" s="108" t="s">
        <v>209</v>
      </c>
      <c r="C1572" s="106">
        <v>497865</v>
      </c>
      <c r="D1572" s="106">
        <v>-13640</v>
      </c>
      <c r="E1572" s="106">
        <v>0</v>
      </c>
      <c r="F1572" s="106">
        <v>0</v>
      </c>
      <c r="G1572" s="106">
        <v>0</v>
      </c>
      <c r="H1572" s="106">
        <v>484225</v>
      </c>
      <c r="I1572" s="106">
        <v>-297786</v>
      </c>
      <c r="J1572" s="106">
        <v>186439</v>
      </c>
      <c r="K1572" s="106">
        <v>0</v>
      </c>
      <c r="L1572" s="106">
        <v>0</v>
      </c>
      <c r="M1572" s="106">
        <v>0</v>
      </c>
      <c r="N1572" s="106">
        <v>186439</v>
      </c>
    </row>
    <row r="1573" spans="1:14" outlineLevel="2" x14ac:dyDescent="0.35">
      <c r="A1573" s="108" t="s">
        <v>498</v>
      </c>
      <c r="B1573" s="108" t="s">
        <v>208</v>
      </c>
      <c r="C1573" s="106">
        <v>2311869</v>
      </c>
      <c r="D1573" s="106">
        <v>-5569</v>
      </c>
      <c r="E1573" s="106">
        <v>0</v>
      </c>
      <c r="F1573" s="106">
        <v>0</v>
      </c>
      <c r="G1573" s="106">
        <v>0</v>
      </c>
      <c r="H1573" s="106">
        <v>2306300</v>
      </c>
      <c r="I1573" s="106">
        <v>-1836916</v>
      </c>
      <c r="J1573" s="106">
        <v>469384</v>
      </c>
      <c r="K1573" s="106">
        <v>0</v>
      </c>
      <c r="L1573" s="106">
        <v>0</v>
      </c>
      <c r="M1573" s="106">
        <v>0</v>
      </c>
      <c r="N1573" s="106">
        <v>469384</v>
      </c>
    </row>
    <row r="1574" spans="1:14" outlineLevel="2" x14ac:dyDescent="0.35">
      <c r="A1574" s="108" t="s">
        <v>498</v>
      </c>
      <c r="B1574" s="108" t="s">
        <v>206</v>
      </c>
      <c r="C1574" s="106">
        <v>2700473</v>
      </c>
      <c r="D1574" s="106">
        <v>-10258</v>
      </c>
      <c r="E1574" s="106">
        <v>0</v>
      </c>
      <c r="F1574" s="106">
        <v>0</v>
      </c>
      <c r="G1574" s="106">
        <v>0</v>
      </c>
      <c r="H1574" s="106">
        <v>2690215</v>
      </c>
      <c r="I1574" s="106">
        <v>-2201763</v>
      </c>
      <c r="J1574" s="106">
        <v>488452</v>
      </c>
      <c r="K1574" s="106">
        <v>0</v>
      </c>
      <c r="L1574" s="106">
        <v>0</v>
      </c>
      <c r="M1574" s="106">
        <v>0</v>
      </c>
      <c r="N1574" s="106">
        <v>488452</v>
      </c>
    </row>
    <row r="1575" spans="1:14" outlineLevel="2" x14ac:dyDescent="0.35">
      <c r="A1575" s="108" t="s">
        <v>498</v>
      </c>
      <c r="B1575" s="108" t="s">
        <v>205</v>
      </c>
      <c r="C1575" s="106">
        <v>2445575</v>
      </c>
      <c r="D1575" s="106">
        <v>-87381</v>
      </c>
      <c r="E1575" s="106">
        <v>0</v>
      </c>
      <c r="F1575" s="106">
        <v>0</v>
      </c>
      <c r="G1575" s="106">
        <v>0</v>
      </c>
      <c r="H1575" s="106">
        <v>2358194</v>
      </c>
      <c r="I1575" s="106">
        <v>-2024268</v>
      </c>
      <c r="J1575" s="106">
        <v>333926</v>
      </c>
      <c r="K1575" s="106">
        <v>0</v>
      </c>
      <c r="L1575" s="106">
        <v>0</v>
      </c>
      <c r="M1575" s="106">
        <v>0</v>
      </c>
      <c r="N1575" s="106">
        <v>333926</v>
      </c>
    </row>
    <row r="1576" spans="1:14" outlineLevel="2" x14ac:dyDescent="0.35">
      <c r="A1576" s="108" t="s">
        <v>498</v>
      </c>
      <c r="B1576" s="108" t="s">
        <v>204</v>
      </c>
      <c r="C1576" s="106">
        <v>2163565</v>
      </c>
      <c r="D1576" s="106">
        <v>-11183</v>
      </c>
      <c r="E1576" s="106">
        <v>0</v>
      </c>
      <c r="F1576" s="106">
        <v>0</v>
      </c>
      <c r="G1576" s="106">
        <v>0</v>
      </c>
      <c r="H1576" s="106">
        <v>2152382</v>
      </c>
      <c r="I1576" s="106">
        <v>-1909924</v>
      </c>
      <c r="J1576" s="106">
        <v>242458</v>
      </c>
      <c r="K1576" s="106">
        <v>0</v>
      </c>
      <c r="L1576" s="106">
        <v>0</v>
      </c>
      <c r="M1576" s="106">
        <v>0</v>
      </c>
      <c r="N1576" s="106">
        <v>242458</v>
      </c>
    </row>
    <row r="1577" spans="1:14" outlineLevel="1" x14ac:dyDescent="0.35">
      <c r="A1577" s="108" t="s">
        <v>498</v>
      </c>
      <c r="B1577" s="108" t="s">
        <v>203</v>
      </c>
      <c r="C1577" s="106">
        <v>2201579</v>
      </c>
      <c r="D1577" s="106">
        <v>-7560</v>
      </c>
      <c r="E1577" s="106">
        <v>0</v>
      </c>
      <c r="F1577" s="106">
        <v>0</v>
      </c>
      <c r="G1577" s="106">
        <v>0</v>
      </c>
      <c r="H1577" s="106">
        <v>2194019</v>
      </c>
      <c r="I1577" s="106">
        <v>-1998085</v>
      </c>
      <c r="J1577" s="106">
        <v>195934</v>
      </c>
      <c r="K1577" s="106">
        <v>0</v>
      </c>
      <c r="L1577" s="106">
        <v>0</v>
      </c>
      <c r="M1577" s="106">
        <v>0</v>
      </c>
      <c r="N1577" s="106">
        <v>195934</v>
      </c>
    </row>
    <row r="1578" spans="1:14" ht="15.65" customHeight="1" outlineLevel="1" x14ac:dyDescent="0.35">
      <c r="A1578" s="108" t="s">
        <v>498</v>
      </c>
      <c r="B1578" s="108" t="s">
        <v>202</v>
      </c>
      <c r="C1578" s="106">
        <v>2205578</v>
      </c>
      <c r="D1578" s="106">
        <v>-8670</v>
      </c>
      <c r="E1578" s="106">
        <v>0</v>
      </c>
      <c r="F1578" s="106">
        <v>0</v>
      </c>
      <c r="G1578" s="106">
        <v>0</v>
      </c>
      <c r="H1578" s="106">
        <v>2196908</v>
      </c>
      <c r="I1578" s="106">
        <v>-2046608</v>
      </c>
      <c r="J1578" s="106">
        <v>150300</v>
      </c>
      <c r="K1578" s="106">
        <v>0</v>
      </c>
      <c r="L1578" s="106">
        <v>0</v>
      </c>
      <c r="M1578" s="106">
        <v>0</v>
      </c>
      <c r="N1578" s="106">
        <v>150300</v>
      </c>
    </row>
    <row r="1579" spans="1:14" ht="15.5" customHeight="1" outlineLevel="1" x14ac:dyDescent="0.35">
      <c r="A1579" s="108" t="s">
        <v>498</v>
      </c>
      <c r="B1579" s="108" t="s">
        <v>201</v>
      </c>
      <c r="C1579" s="106">
        <v>1918244</v>
      </c>
      <c r="D1579" s="106">
        <v>-95235</v>
      </c>
      <c r="E1579" s="106">
        <v>0</v>
      </c>
      <c r="F1579" s="106">
        <v>0</v>
      </c>
      <c r="G1579" s="106">
        <v>0</v>
      </c>
      <c r="H1579" s="106">
        <v>1823009</v>
      </c>
      <c r="I1579" s="106">
        <v>-1710342</v>
      </c>
      <c r="J1579" s="106">
        <v>112667</v>
      </c>
      <c r="K1579" s="106">
        <v>0</v>
      </c>
      <c r="L1579" s="106">
        <v>0</v>
      </c>
      <c r="M1579" s="106">
        <v>0</v>
      </c>
      <c r="N1579" s="106">
        <v>112667</v>
      </c>
    </row>
    <row r="1580" spans="1:14" outlineLevel="2" x14ac:dyDescent="0.35">
      <c r="A1580" s="108" t="s">
        <v>498</v>
      </c>
      <c r="B1580" s="108" t="s">
        <v>200</v>
      </c>
      <c r="C1580" s="106">
        <v>3404857</v>
      </c>
      <c r="D1580" s="106">
        <v>-15303</v>
      </c>
      <c r="E1580" s="106">
        <v>0</v>
      </c>
      <c r="F1580" s="106">
        <v>0</v>
      </c>
      <c r="G1580" s="106">
        <v>0</v>
      </c>
      <c r="H1580" s="106">
        <v>3389554</v>
      </c>
      <c r="I1580" s="106">
        <v>-3389554</v>
      </c>
      <c r="J1580" s="106">
        <v>0</v>
      </c>
      <c r="K1580" s="106">
        <v>93191</v>
      </c>
      <c r="L1580" s="106">
        <v>-1158</v>
      </c>
      <c r="M1580" s="106">
        <v>92033</v>
      </c>
      <c r="N1580" s="106">
        <v>-92033</v>
      </c>
    </row>
    <row r="1581" spans="1:14" outlineLevel="2" x14ac:dyDescent="0.35">
      <c r="A1581" s="108" t="s">
        <v>498</v>
      </c>
      <c r="B1581" s="108" t="s">
        <v>199</v>
      </c>
      <c r="C1581" s="106">
        <v>3877531</v>
      </c>
      <c r="D1581" s="106">
        <v>-14397</v>
      </c>
      <c r="E1581" s="106">
        <v>0</v>
      </c>
      <c r="F1581" s="106">
        <v>0</v>
      </c>
      <c r="G1581" s="106">
        <v>0</v>
      </c>
      <c r="H1581" s="106">
        <v>3863134</v>
      </c>
      <c r="I1581" s="106">
        <v>-3863134</v>
      </c>
      <c r="J1581" s="106">
        <v>0</v>
      </c>
      <c r="K1581" s="106">
        <v>69</v>
      </c>
      <c r="L1581" s="106">
        <v>-69</v>
      </c>
      <c r="M1581" s="106">
        <v>0</v>
      </c>
      <c r="N1581" s="106">
        <v>0</v>
      </c>
    </row>
    <row r="1582" spans="1:14" outlineLevel="2" x14ac:dyDescent="0.35">
      <c r="A1582" s="108" t="s">
        <v>498</v>
      </c>
      <c r="B1582" s="108" t="s">
        <v>198</v>
      </c>
      <c r="C1582" s="106">
        <v>4361708</v>
      </c>
      <c r="D1582" s="106">
        <v>-9562</v>
      </c>
      <c r="E1582" s="106">
        <v>0</v>
      </c>
      <c r="F1582" s="106">
        <v>0</v>
      </c>
      <c r="G1582" s="106">
        <v>0</v>
      </c>
      <c r="H1582" s="106">
        <v>4352146</v>
      </c>
      <c r="I1582" s="106">
        <v>-4352146</v>
      </c>
      <c r="J1582" s="106">
        <v>0</v>
      </c>
      <c r="K1582" s="106">
        <v>0</v>
      </c>
      <c r="L1582" s="106">
        <v>0</v>
      </c>
      <c r="M1582" s="106">
        <v>0</v>
      </c>
      <c r="N1582" s="106">
        <v>0</v>
      </c>
    </row>
    <row r="1583" spans="1:14" outlineLevel="2" x14ac:dyDescent="0.35">
      <c r="A1583" s="108" t="s">
        <v>498</v>
      </c>
      <c r="B1583" s="108" t="s">
        <v>197</v>
      </c>
      <c r="C1583" s="106">
        <v>4717344</v>
      </c>
      <c r="D1583" s="106">
        <v>-167413</v>
      </c>
      <c r="E1583" s="106">
        <v>0</v>
      </c>
      <c r="F1583" s="106">
        <v>0</v>
      </c>
      <c r="G1583" s="106">
        <v>0</v>
      </c>
      <c r="H1583" s="106">
        <v>4549931</v>
      </c>
      <c r="I1583" s="106">
        <v>-4549931</v>
      </c>
      <c r="J1583" s="106">
        <v>0</v>
      </c>
      <c r="K1583" s="106">
        <v>420875</v>
      </c>
      <c r="L1583" s="106">
        <v>-420292</v>
      </c>
      <c r="M1583" s="106">
        <v>583</v>
      </c>
      <c r="N1583" s="106">
        <v>-583</v>
      </c>
    </row>
    <row r="1584" spans="1:14" outlineLevel="2" x14ac:dyDescent="0.35">
      <c r="A1584" s="108" t="s">
        <v>498</v>
      </c>
      <c r="B1584" s="108" t="s">
        <v>196</v>
      </c>
      <c r="C1584" s="106">
        <v>3504909</v>
      </c>
      <c r="D1584" s="106">
        <v>-17051</v>
      </c>
      <c r="E1584" s="106">
        <v>0</v>
      </c>
      <c r="F1584" s="106">
        <v>0</v>
      </c>
      <c r="G1584" s="106">
        <v>0</v>
      </c>
      <c r="H1584" s="106">
        <v>3487858</v>
      </c>
      <c r="I1584" s="106">
        <v>-3487858</v>
      </c>
      <c r="J1584" s="106">
        <v>0</v>
      </c>
      <c r="K1584" s="106">
        <v>502743</v>
      </c>
      <c r="L1584" s="106">
        <v>-502743</v>
      </c>
      <c r="M1584" s="106">
        <v>0</v>
      </c>
      <c r="N1584" s="106">
        <v>0</v>
      </c>
    </row>
    <row r="1585" spans="1:14" outlineLevel="2" x14ac:dyDescent="0.35">
      <c r="A1585" s="108" t="s">
        <v>498</v>
      </c>
      <c r="B1585" s="108" t="s">
        <v>195</v>
      </c>
      <c r="C1585" s="106">
        <v>3225897</v>
      </c>
      <c r="D1585" s="106">
        <v>-7662</v>
      </c>
      <c r="E1585" s="106">
        <v>0</v>
      </c>
      <c r="F1585" s="106">
        <v>0</v>
      </c>
      <c r="G1585" s="106">
        <v>0</v>
      </c>
      <c r="H1585" s="106">
        <v>3218235</v>
      </c>
      <c r="I1585" s="106">
        <v>-3218235</v>
      </c>
      <c r="J1585" s="106">
        <v>0</v>
      </c>
      <c r="K1585" s="106">
        <v>54516</v>
      </c>
      <c r="L1585" s="106">
        <v>-54516</v>
      </c>
      <c r="M1585" s="106">
        <v>0</v>
      </c>
      <c r="N1585" s="106">
        <v>0</v>
      </c>
    </row>
    <row r="1586" spans="1:14" outlineLevel="2" x14ac:dyDescent="0.35">
      <c r="A1586" s="108" t="s">
        <v>498</v>
      </c>
      <c r="B1586" s="108" t="s">
        <v>194</v>
      </c>
      <c r="C1586" s="106">
        <v>2830879</v>
      </c>
      <c r="D1586" s="106">
        <v>-26015</v>
      </c>
      <c r="E1586" s="106">
        <v>0</v>
      </c>
      <c r="F1586" s="106">
        <v>0</v>
      </c>
      <c r="G1586" s="106">
        <v>0</v>
      </c>
      <c r="H1586" s="106">
        <v>2804864</v>
      </c>
      <c r="I1586" s="106">
        <v>-2804864</v>
      </c>
      <c r="J1586" s="106">
        <v>0</v>
      </c>
      <c r="K1586" s="106">
        <v>484721</v>
      </c>
      <c r="L1586" s="106">
        <v>-484421</v>
      </c>
      <c r="M1586" s="106">
        <v>300</v>
      </c>
      <c r="N1586" s="106">
        <v>-300</v>
      </c>
    </row>
    <row r="1587" spans="1:14" outlineLevel="1" x14ac:dyDescent="0.35">
      <c r="A1587" s="108" t="s">
        <v>498</v>
      </c>
      <c r="B1587" s="108" t="s">
        <v>193</v>
      </c>
      <c r="C1587" s="106">
        <v>2246156</v>
      </c>
      <c r="D1587" s="106">
        <v>-15679</v>
      </c>
      <c r="E1587" s="106">
        <v>0</v>
      </c>
      <c r="F1587" s="106">
        <v>0</v>
      </c>
      <c r="G1587" s="106">
        <v>0</v>
      </c>
      <c r="H1587" s="106">
        <v>2230477</v>
      </c>
      <c r="I1587" s="106">
        <v>-2230477</v>
      </c>
      <c r="J1587" s="106">
        <v>0</v>
      </c>
      <c r="K1587" s="106">
        <v>542</v>
      </c>
      <c r="L1587" s="106">
        <v>-542</v>
      </c>
      <c r="M1587" s="106">
        <v>0</v>
      </c>
      <c r="N1587" s="106">
        <v>0</v>
      </c>
    </row>
    <row r="1588" spans="1:14" ht="15.5" customHeight="1" outlineLevel="1" x14ac:dyDescent="0.35">
      <c r="A1588" s="108" t="s">
        <v>498</v>
      </c>
      <c r="B1588" s="108" t="s">
        <v>192</v>
      </c>
      <c r="C1588" s="106">
        <v>1218533</v>
      </c>
      <c r="D1588" s="106">
        <v>-7225</v>
      </c>
      <c r="E1588" s="106">
        <v>0</v>
      </c>
      <c r="F1588" s="106">
        <v>0</v>
      </c>
      <c r="G1588" s="106">
        <v>0</v>
      </c>
      <c r="H1588" s="106">
        <v>1211308</v>
      </c>
      <c r="I1588" s="106">
        <v>-1211308</v>
      </c>
      <c r="J1588" s="106">
        <v>0</v>
      </c>
      <c r="K1588" s="106">
        <v>0</v>
      </c>
      <c r="L1588" s="106">
        <v>0</v>
      </c>
      <c r="M1588" s="106">
        <v>0</v>
      </c>
      <c r="N1588" s="106">
        <v>0</v>
      </c>
    </row>
    <row r="1589" spans="1:14" ht="16" outlineLevel="2" thickBot="1" x14ac:dyDescent="0.4">
      <c r="A1589" s="105" t="s">
        <v>377</v>
      </c>
      <c r="B1589" s="79" t="s">
        <v>12</v>
      </c>
      <c r="C1589" s="103">
        <f>SUBTOTAL(109,Program171[(C)
Program
Costs])</f>
        <v>46189240</v>
      </c>
      <c r="D1589" s="103">
        <f>SUBTOTAL(109,Program171[(D)
Prior Period Adjustments])</f>
        <v>-520916</v>
      </c>
      <c r="E1589" s="103">
        <f>SUBTOTAL(109,Program171[(E)
Current Period Desk 
Reviews])</f>
        <v>0</v>
      </c>
      <c r="F1589" s="103">
        <f>SUBTOTAL(109,Program171[(F)
Current Period 
Final 
Audits])</f>
        <v>0</v>
      </c>
      <c r="G1589" s="103">
        <f>SUBTOTAL(109,Program171[(G)
Current Period 
Other Adjustments])</f>
        <v>0</v>
      </c>
      <c r="H1589" s="103">
        <f>SUBTOTAL(109,Program171[(H)
Net Program Costs
Sum (C through G)])</f>
        <v>45668324</v>
      </c>
      <c r="I1589" s="103">
        <f>SUBTOTAL(109,Program171[(I)
Payments
 and Offsets])</f>
        <v>-43229237</v>
      </c>
      <c r="J1589" s="103">
        <f>SUBTOTAL(109,Program171[(J)
Accounts Payable Balance
(H + I)])</f>
        <v>2439087</v>
      </c>
      <c r="K1589" s="103">
        <f>SUBTOTAL(109,Program171[(K)
Established 
Accounts Receivable])</f>
        <v>1556657</v>
      </c>
      <c r="L1589" s="103">
        <f>SUBTOTAL(109,Program171[(L)
Recovered
 Accounts Receivable])</f>
        <v>-1463741</v>
      </c>
      <c r="M1589" s="103">
        <f>SUBTOTAL(109,Program171[(M)
Accounts Receivable Balance
(K + L)])</f>
        <v>92916</v>
      </c>
      <c r="N1589" s="103">
        <f>SUBTOTAL(109,Program171[(N)
Net Balance
(J minus M)])</f>
        <v>2346171</v>
      </c>
    </row>
    <row r="1590" spans="1:14" outlineLevel="2" x14ac:dyDescent="0.35">
      <c r="A1590" s="116" t="s">
        <v>33</v>
      </c>
      <c r="B1590" s="115"/>
      <c r="C1590" s="114"/>
      <c r="D1590" s="114"/>
      <c r="E1590" s="114"/>
      <c r="F1590" s="114"/>
      <c r="G1590" s="114"/>
      <c r="H1590" s="114"/>
      <c r="I1590" s="114"/>
      <c r="J1590" s="114"/>
      <c r="K1590" s="114"/>
      <c r="L1590" s="114"/>
      <c r="M1590" s="114"/>
      <c r="N1590" s="114"/>
    </row>
    <row r="1591" spans="1:14" ht="77.5" outlineLevel="2" x14ac:dyDescent="0.35">
      <c r="A1591" s="113" t="s">
        <v>185</v>
      </c>
      <c r="B1591" s="112" t="s">
        <v>184</v>
      </c>
      <c r="C1591" s="111" t="s">
        <v>183</v>
      </c>
      <c r="D1591" s="111" t="s">
        <v>182</v>
      </c>
      <c r="E1591" s="111" t="s">
        <v>181</v>
      </c>
      <c r="F1591" s="111" t="s">
        <v>180</v>
      </c>
      <c r="G1591" s="111" t="s">
        <v>179</v>
      </c>
      <c r="H1591" s="110" t="s">
        <v>674</v>
      </c>
      <c r="I1591" s="110" t="s">
        <v>178</v>
      </c>
      <c r="J1591" s="110" t="s">
        <v>177</v>
      </c>
      <c r="K1591" s="111" t="s">
        <v>176</v>
      </c>
      <c r="L1591" s="110" t="s">
        <v>175</v>
      </c>
      <c r="M1591" s="110" t="s">
        <v>174</v>
      </c>
      <c r="N1591" s="109" t="s">
        <v>173</v>
      </c>
    </row>
    <row r="1592" spans="1:14" outlineLevel="2" x14ac:dyDescent="0.35">
      <c r="A1592" s="108" t="s">
        <v>676</v>
      </c>
      <c r="B1592" s="108" t="s">
        <v>195</v>
      </c>
      <c r="C1592" s="106">
        <v>49459</v>
      </c>
      <c r="D1592" s="106">
        <v>-49217</v>
      </c>
      <c r="E1592" s="106">
        <v>0</v>
      </c>
      <c r="F1592" s="106">
        <v>0</v>
      </c>
      <c r="G1592" s="106">
        <v>0</v>
      </c>
      <c r="H1592" s="106">
        <v>242</v>
      </c>
      <c r="I1592" s="106">
        <v>-242</v>
      </c>
      <c r="J1592" s="106">
        <v>0</v>
      </c>
      <c r="K1592" s="106">
        <v>5578</v>
      </c>
      <c r="L1592" s="106">
        <v>-5336</v>
      </c>
      <c r="M1592" s="106">
        <v>242</v>
      </c>
      <c r="N1592" s="106">
        <v>-242</v>
      </c>
    </row>
    <row r="1593" spans="1:14" outlineLevel="2" x14ac:dyDescent="0.35">
      <c r="A1593" s="108" t="s">
        <v>676</v>
      </c>
      <c r="B1593" s="108" t="s">
        <v>194</v>
      </c>
      <c r="C1593" s="106">
        <v>1123064</v>
      </c>
      <c r="D1593" s="106">
        <v>-57006</v>
      </c>
      <c r="E1593" s="106">
        <v>0</v>
      </c>
      <c r="F1593" s="106">
        <v>0</v>
      </c>
      <c r="G1593" s="106">
        <v>0</v>
      </c>
      <c r="H1593" s="106">
        <v>1066058</v>
      </c>
      <c r="I1593" s="106">
        <v>-1066058</v>
      </c>
      <c r="J1593" s="106">
        <v>0</v>
      </c>
      <c r="K1593" s="106">
        <v>160483</v>
      </c>
      <c r="L1593" s="106">
        <v>-160483</v>
      </c>
      <c r="M1593" s="106">
        <v>0</v>
      </c>
      <c r="N1593" s="106">
        <v>0</v>
      </c>
    </row>
    <row r="1594" spans="1:14" outlineLevel="2" x14ac:dyDescent="0.35">
      <c r="A1594" s="108" t="s">
        <v>676</v>
      </c>
      <c r="B1594" s="108" t="s">
        <v>193</v>
      </c>
      <c r="C1594" s="106">
        <v>1149440</v>
      </c>
      <c r="D1594" s="106">
        <v>-28437</v>
      </c>
      <c r="E1594" s="106">
        <v>0</v>
      </c>
      <c r="F1594" s="106">
        <v>0</v>
      </c>
      <c r="G1594" s="106">
        <v>0</v>
      </c>
      <c r="H1594" s="106">
        <v>1121003</v>
      </c>
      <c r="I1594" s="106">
        <v>-1121003</v>
      </c>
      <c r="J1594" s="106">
        <v>0</v>
      </c>
      <c r="K1594" s="106">
        <v>101953</v>
      </c>
      <c r="L1594" s="106">
        <v>-101953</v>
      </c>
      <c r="M1594" s="106">
        <v>0</v>
      </c>
      <c r="N1594" s="106">
        <v>0</v>
      </c>
    </row>
    <row r="1595" spans="1:14" outlineLevel="2" x14ac:dyDescent="0.35">
      <c r="A1595" s="108" t="s">
        <v>676</v>
      </c>
      <c r="B1595" s="108" t="s">
        <v>192</v>
      </c>
      <c r="C1595" s="106">
        <v>741955</v>
      </c>
      <c r="D1595" s="106">
        <v>-49516</v>
      </c>
      <c r="E1595" s="106">
        <v>0</v>
      </c>
      <c r="F1595" s="106">
        <v>0</v>
      </c>
      <c r="G1595" s="106">
        <v>0</v>
      </c>
      <c r="H1595" s="106">
        <v>692439</v>
      </c>
      <c r="I1595" s="106">
        <v>-692439</v>
      </c>
      <c r="J1595" s="106">
        <v>0</v>
      </c>
      <c r="K1595" s="106">
        <v>6478</v>
      </c>
      <c r="L1595" s="106">
        <v>-6478</v>
      </c>
      <c r="M1595" s="106">
        <v>0</v>
      </c>
      <c r="N1595" s="106">
        <v>0</v>
      </c>
    </row>
    <row r="1596" spans="1:14" outlineLevel="2" x14ac:dyDescent="0.35">
      <c r="A1596" s="108" t="s">
        <v>676</v>
      </c>
      <c r="B1596" s="108" t="s">
        <v>191</v>
      </c>
      <c r="C1596" s="106">
        <v>859581</v>
      </c>
      <c r="D1596" s="106">
        <v>-216993</v>
      </c>
      <c r="E1596" s="106">
        <v>0</v>
      </c>
      <c r="F1596" s="106">
        <v>0</v>
      </c>
      <c r="G1596" s="106">
        <v>0</v>
      </c>
      <c r="H1596" s="106">
        <v>642588</v>
      </c>
      <c r="I1596" s="106">
        <v>-642588</v>
      </c>
      <c r="J1596" s="106">
        <v>0</v>
      </c>
      <c r="K1596" s="106">
        <v>1198</v>
      </c>
      <c r="L1596" s="106">
        <v>-1198</v>
      </c>
      <c r="M1596" s="106">
        <v>0</v>
      </c>
      <c r="N1596" s="106">
        <v>0</v>
      </c>
    </row>
    <row r="1597" spans="1:14" outlineLevel="1" x14ac:dyDescent="0.35">
      <c r="A1597" s="108" t="s">
        <v>676</v>
      </c>
      <c r="B1597" s="108" t="s">
        <v>190</v>
      </c>
      <c r="C1597" s="106">
        <v>690156</v>
      </c>
      <c r="D1597" s="106">
        <v>-185572</v>
      </c>
      <c r="E1597" s="106">
        <v>0</v>
      </c>
      <c r="F1597" s="106">
        <v>0</v>
      </c>
      <c r="G1597" s="106">
        <v>0</v>
      </c>
      <c r="H1597" s="106">
        <v>504584</v>
      </c>
      <c r="I1597" s="106">
        <v>-504584</v>
      </c>
      <c r="J1597" s="106">
        <v>0</v>
      </c>
      <c r="K1597" s="106">
        <v>159391</v>
      </c>
      <c r="L1597" s="106">
        <v>-159391</v>
      </c>
      <c r="M1597" s="106">
        <v>0</v>
      </c>
      <c r="N1597" s="106">
        <v>0</v>
      </c>
    </row>
    <row r="1598" spans="1:14" ht="15.65" customHeight="1" outlineLevel="1" x14ac:dyDescent="0.35">
      <c r="A1598" s="108" t="s">
        <v>676</v>
      </c>
      <c r="B1598" s="108" t="s">
        <v>189</v>
      </c>
      <c r="C1598" s="106">
        <v>678196</v>
      </c>
      <c r="D1598" s="106">
        <v>-192702</v>
      </c>
      <c r="E1598" s="106">
        <v>0</v>
      </c>
      <c r="F1598" s="106">
        <v>0</v>
      </c>
      <c r="G1598" s="106">
        <v>0</v>
      </c>
      <c r="H1598" s="106">
        <v>485494</v>
      </c>
      <c r="I1598" s="106">
        <v>-485494</v>
      </c>
      <c r="J1598" s="106">
        <v>0</v>
      </c>
      <c r="K1598" s="106">
        <v>105714</v>
      </c>
      <c r="L1598" s="106">
        <v>-105714</v>
      </c>
      <c r="M1598" s="106">
        <v>0</v>
      </c>
      <c r="N1598" s="106">
        <v>0</v>
      </c>
    </row>
    <row r="1599" spans="1:14" ht="15.5" customHeight="1" outlineLevel="1" x14ac:dyDescent="0.35">
      <c r="A1599" s="108" t="s">
        <v>676</v>
      </c>
      <c r="B1599" s="108" t="s">
        <v>188</v>
      </c>
      <c r="C1599" s="106">
        <v>708586</v>
      </c>
      <c r="D1599" s="106">
        <v>-173467</v>
      </c>
      <c r="E1599" s="106">
        <v>0</v>
      </c>
      <c r="F1599" s="106">
        <v>0</v>
      </c>
      <c r="G1599" s="106">
        <v>0</v>
      </c>
      <c r="H1599" s="106">
        <v>535119</v>
      </c>
      <c r="I1599" s="106">
        <v>-535119</v>
      </c>
      <c r="J1599" s="106">
        <v>0</v>
      </c>
      <c r="K1599" s="106">
        <v>135171</v>
      </c>
      <c r="L1599" s="106">
        <v>-135171</v>
      </c>
      <c r="M1599" s="106">
        <v>0</v>
      </c>
      <c r="N1599" s="106">
        <v>0</v>
      </c>
    </row>
    <row r="1600" spans="1:14" ht="16" outlineLevel="2" thickBot="1" x14ac:dyDescent="0.4">
      <c r="A1600" s="105" t="s">
        <v>376</v>
      </c>
      <c r="B1600" s="79" t="s">
        <v>12</v>
      </c>
      <c r="C1600" s="103">
        <f>SUBTOTAL(109,Program137[(C)
Program
Costs])</f>
        <v>6000437</v>
      </c>
      <c r="D1600" s="103">
        <f>SUBTOTAL(109,Program137[(D)
Prior Period Adjustments])</f>
        <v>-952910</v>
      </c>
      <c r="E1600" s="103">
        <f>SUBTOTAL(109,Program137[(E)
Current Period Desk 
Reviews])</f>
        <v>0</v>
      </c>
      <c r="F1600" s="103">
        <f>SUBTOTAL(109,Program137[(F)
Current Period 
Final 
Audits])</f>
        <v>0</v>
      </c>
      <c r="G1600" s="103">
        <f>SUBTOTAL(109,Program137[(G)
Current Period 
Other Adjustments])</f>
        <v>0</v>
      </c>
      <c r="H1600" s="103">
        <f>SUBTOTAL(109,Program137[(H)
Net Program Costs
Sum (C through G)])</f>
        <v>5047527</v>
      </c>
      <c r="I1600" s="103">
        <f>SUBTOTAL(109,Program137[(I)
Payments
 and Offsets])</f>
        <v>-5047527</v>
      </c>
      <c r="J1600" s="103">
        <f>SUBTOTAL(109,Program137[(J)
Accounts Payable Balance
(H + I)])</f>
        <v>0</v>
      </c>
      <c r="K1600" s="103">
        <f>SUBTOTAL(109,Program137[(K)
Established 
Accounts Receivable])</f>
        <v>675966</v>
      </c>
      <c r="L1600" s="103">
        <f>SUBTOTAL(109,Program137[(L)
Recovered
 Accounts Receivable])</f>
        <v>-675724</v>
      </c>
      <c r="M1600" s="103">
        <f>SUBTOTAL(109,Program137[(M)
Accounts Receivable Balance
(K + L)])</f>
        <v>242</v>
      </c>
      <c r="N1600" s="103">
        <f>SUBTOTAL(109,Program137[(N)
Net Balance
(J minus M)])</f>
        <v>-242</v>
      </c>
    </row>
    <row r="1601" spans="1:14" outlineLevel="2" x14ac:dyDescent="0.35">
      <c r="A1601" s="116" t="s">
        <v>33</v>
      </c>
      <c r="B1601" s="115"/>
      <c r="C1601" s="114"/>
      <c r="D1601" s="114"/>
      <c r="E1601" s="114"/>
      <c r="F1601" s="114"/>
      <c r="G1601" s="114"/>
      <c r="H1601" s="114"/>
      <c r="I1601" s="114"/>
      <c r="J1601" s="114"/>
      <c r="K1601" s="114"/>
      <c r="L1601" s="114"/>
      <c r="M1601" s="114"/>
      <c r="N1601" s="114"/>
    </row>
    <row r="1602" spans="1:14" ht="77.5" outlineLevel="2" x14ac:dyDescent="0.35">
      <c r="A1602" s="113" t="s">
        <v>185</v>
      </c>
      <c r="B1602" s="112" t="s">
        <v>184</v>
      </c>
      <c r="C1602" s="111" t="s">
        <v>183</v>
      </c>
      <c r="D1602" s="111" t="s">
        <v>182</v>
      </c>
      <c r="E1602" s="111" t="s">
        <v>181</v>
      </c>
      <c r="F1602" s="111" t="s">
        <v>180</v>
      </c>
      <c r="G1602" s="111" t="s">
        <v>179</v>
      </c>
      <c r="H1602" s="110" t="s">
        <v>674</v>
      </c>
      <c r="I1602" s="110" t="s">
        <v>178</v>
      </c>
      <c r="J1602" s="110" t="s">
        <v>177</v>
      </c>
      <c r="K1602" s="111" t="s">
        <v>176</v>
      </c>
      <c r="L1602" s="110" t="s">
        <v>175</v>
      </c>
      <c r="M1602" s="110" t="s">
        <v>174</v>
      </c>
      <c r="N1602" s="109" t="s">
        <v>173</v>
      </c>
    </row>
    <row r="1603" spans="1:14" outlineLevel="2" x14ac:dyDescent="0.35">
      <c r="A1603" s="108" t="s">
        <v>497</v>
      </c>
      <c r="B1603" s="108" t="s">
        <v>198</v>
      </c>
      <c r="C1603" s="106">
        <v>36344</v>
      </c>
      <c r="D1603" s="106">
        <v>-30392</v>
      </c>
      <c r="E1603" s="106">
        <v>0</v>
      </c>
      <c r="F1603" s="106">
        <v>0</v>
      </c>
      <c r="G1603" s="106">
        <v>0</v>
      </c>
      <c r="H1603" s="106">
        <v>5952</v>
      </c>
      <c r="I1603" s="106">
        <v>-5952</v>
      </c>
      <c r="J1603" s="106">
        <v>0</v>
      </c>
      <c r="K1603" s="106">
        <v>0</v>
      </c>
      <c r="L1603" s="106">
        <v>0</v>
      </c>
      <c r="M1603" s="106">
        <v>0</v>
      </c>
      <c r="N1603" s="106">
        <v>0</v>
      </c>
    </row>
    <row r="1604" spans="1:14" outlineLevel="2" x14ac:dyDescent="0.35">
      <c r="A1604" s="108" t="s">
        <v>497</v>
      </c>
      <c r="B1604" s="108" t="s">
        <v>197</v>
      </c>
      <c r="C1604" s="106">
        <v>3418703</v>
      </c>
      <c r="D1604" s="106">
        <v>-2243834</v>
      </c>
      <c r="E1604" s="106">
        <v>0</v>
      </c>
      <c r="F1604" s="106">
        <v>0</v>
      </c>
      <c r="G1604" s="106">
        <v>0</v>
      </c>
      <c r="H1604" s="106">
        <v>1174869</v>
      </c>
      <c r="I1604" s="106">
        <v>-1174869</v>
      </c>
      <c r="J1604" s="106">
        <v>0</v>
      </c>
      <c r="K1604" s="106">
        <v>0</v>
      </c>
      <c r="L1604" s="106">
        <v>0</v>
      </c>
      <c r="M1604" s="106">
        <v>0</v>
      </c>
      <c r="N1604" s="106">
        <v>0</v>
      </c>
    </row>
    <row r="1605" spans="1:14" outlineLevel="2" x14ac:dyDescent="0.35">
      <c r="A1605" s="108" t="s">
        <v>497</v>
      </c>
      <c r="B1605" s="108" t="s">
        <v>196</v>
      </c>
      <c r="C1605" s="106">
        <v>53402786</v>
      </c>
      <c r="D1605" s="106">
        <v>-50633632</v>
      </c>
      <c r="E1605" s="106">
        <v>0</v>
      </c>
      <c r="F1605" s="106">
        <v>0</v>
      </c>
      <c r="G1605" s="106">
        <v>0</v>
      </c>
      <c r="H1605" s="106">
        <v>2769154</v>
      </c>
      <c r="I1605" s="106">
        <v>-2765894</v>
      </c>
      <c r="J1605" s="106">
        <v>3260</v>
      </c>
      <c r="K1605" s="106">
        <v>2356</v>
      </c>
      <c r="L1605" s="106">
        <v>-2356</v>
      </c>
      <c r="M1605" s="106">
        <v>0</v>
      </c>
      <c r="N1605" s="106">
        <v>3260</v>
      </c>
    </row>
    <row r="1606" spans="1:14" outlineLevel="2" x14ac:dyDescent="0.35">
      <c r="A1606" s="108" t="s">
        <v>497</v>
      </c>
      <c r="B1606" s="108" t="s">
        <v>195</v>
      </c>
      <c r="C1606" s="106">
        <v>59344981</v>
      </c>
      <c r="D1606" s="106">
        <v>-55777411</v>
      </c>
      <c r="E1606" s="106">
        <v>0</v>
      </c>
      <c r="F1606" s="106">
        <v>0</v>
      </c>
      <c r="G1606" s="106">
        <v>0</v>
      </c>
      <c r="H1606" s="106">
        <v>3567570</v>
      </c>
      <c r="I1606" s="106">
        <v>-3567570</v>
      </c>
      <c r="J1606" s="106">
        <v>0</v>
      </c>
      <c r="K1606" s="106">
        <v>21765</v>
      </c>
      <c r="L1606" s="106">
        <v>-21752</v>
      </c>
      <c r="M1606" s="106">
        <v>13</v>
      </c>
      <c r="N1606" s="106">
        <v>-13</v>
      </c>
    </row>
    <row r="1607" spans="1:14" outlineLevel="2" x14ac:dyDescent="0.35">
      <c r="A1607" s="108" t="s">
        <v>497</v>
      </c>
      <c r="B1607" s="108" t="s">
        <v>194</v>
      </c>
      <c r="C1607" s="106">
        <v>60154459</v>
      </c>
      <c r="D1607" s="106">
        <v>-60026414</v>
      </c>
      <c r="E1607" s="106">
        <v>0</v>
      </c>
      <c r="F1607" s="106">
        <v>0</v>
      </c>
      <c r="G1607" s="106">
        <v>0</v>
      </c>
      <c r="H1607" s="106">
        <v>128045</v>
      </c>
      <c r="I1607" s="106">
        <v>-128045</v>
      </c>
      <c r="J1607" s="106">
        <v>0</v>
      </c>
      <c r="K1607" s="106">
        <v>21349</v>
      </c>
      <c r="L1607" s="106">
        <v>-21349</v>
      </c>
      <c r="M1607" s="106">
        <v>0</v>
      </c>
      <c r="N1607" s="106">
        <v>0</v>
      </c>
    </row>
    <row r="1608" spans="1:14" outlineLevel="2" x14ac:dyDescent="0.35">
      <c r="A1608" s="108" t="s">
        <v>497</v>
      </c>
      <c r="B1608" s="108" t="s">
        <v>193</v>
      </c>
      <c r="C1608" s="106">
        <v>34350139</v>
      </c>
      <c r="D1608" s="106">
        <v>-34216965</v>
      </c>
      <c r="E1608" s="106">
        <v>0</v>
      </c>
      <c r="F1608" s="106">
        <v>0</v>
      </c>
      <c r="G1608" s="106">
        <v>0</v>
      </c>
      <c r="H1608" s="106">
        <v>133174</v>
      </c>
      <c r="I1608" s="106">
        <v>-133174</v>
      </c>
      <c r="J1608" s="106">
        <v>0</v>
      </c>
      <c r="K1608" s="106">
        <v>2452</v>
      </c>
      <c r="L1608" s="106">
        <v>-2452</v>
      </c>
      <c r="M1608" s="106">
        <v>0</v>
      </c>
      <c r="N1608" s="106">
        <v>0</v>
      </c>
    </row>
    <row r="1609" spans="1:14" outlineLevel="1" x14ac:dyDescent="0.35">
      <c r="A1609" s="108" t="s">
        <v>497</v>
      </c>
      <c r="B1609" s="108" t="s">
        <v>192</v>
      </c>
      <c r="C1609" s="106">
        <v>1729822</v>
      </c>
      <c r="D1609" s="106">
        <v>-1643419</v>
      </c>
      <c r="E1609" s="106">
        <v>0</v>
      </c>
      <c r="F1609" s="106">
        <v>0</v>
      </c>
      <c r="G1609" s="106">
        <v>0</v>
      </c>
      <c r="H1609" s="106">
        <v>86403</v>
      </c>
      <c r="I1609" s="106">
        <v>-86403</v>
      </c>
      <c r="J1609" s="106">
        <v>0</v>
      </c>
      <c r="K1609" s="106">
        <v>0</v>
      </c>
      <c r="L1609" s="106">
        <v>0</v>
      </c>
      <c r="M1609" s="106">
        <v>0</v>
      </c>
      <c r="N1609" s="106">
        <v>0</v>
      </c>
    </row>
    <row r="1610" spans="1:14" ht="16" customHeight="1" outlineLevel="1" thickBot="1" x14ac:dyDescent="0.4">
      <c r="A1610" s="105" t="s">
        <v>375</v>
      </c>
      <c r="B1610" s="79" t="s">
        <v>12</v>
      </c>
      <c r="C1610" s="103">
        <f>SUBTOTAL(109,Program184[(C)
Program
Costs])</f>
        <v>212437234</v>
      </c>
      <c r="D1610" s="103">
        <f>SUBTOTAL(109,Program184[(D)
Prior Period Adjustments])</f>
        <v>-204572067</v>
      </c>
      <c r="E1610" s="103">
        <f>SUBTOTAL(109,Program184[(E)
Current Period Desk 
Reviews])</f>
        <v>0</v>
      </c>
      <c r="F1610" s="103">
        <f>SUBTOTAL(109,Program184[(F)
Current Period 
Final 
Audits])</f>
        <v>0</v>
      </c>
      <c r="G1610" s="103">
        <f>SUBTOTAL(109,Program184[(G)
Current Period 
Other Adjustments])</f>
        <v>0</v>
      </c>
      <c r="H1610" s="103">
        <f>SUBTOTAL(109,Program184[(H)
Net Program Costs
Sum (C through G)])</f>
        <v>7865167</v>
      </c>
      <c r="I1610" s="103">
        <f>SUBTOTAL(109,Program184[(I)
Payments
 and Offsets])</f>
        <v>-7861907</v>
      </c>
      <c r="J1610" s="103">
        <f>SUBTOTAL(109,Program184[(J)
Accounts Payable Balance
(H + I)])</f>
        <v>3260</v>
      </c>
      <c r="K1610" s="103">
        <f>SUBTOTAL(109,Program184[(K)
Established 
Accounts Receivable])</f>
        <v>47922</v>
      </c>
      <c r="L1610" s="103">
        <f>SUBTOTAL(109,Program184[(L)
Recovered
 Accounts Receivable])</f>
        <v>-47909</v>
      </c>
      <c r="M1610" s="103">
        <f>SUBTOTAL(109,Program184[(M)
Accounts Receivable Balance
(K + L)])</f>
        <v>13</v>
      </c>
      <c r="N1610" s="103">
        <f>SUBTOTAL(109,Program184[(N)
Net Balance
(J minus M)])</f>
        <v>3247</v>
      </c>
    </row>
    <row r="1611" spans="1:14" outlineLevel="2" x14ac:dyDescent="0.35">
      <c r="A1611" s="116" t="s">
        <v>33</v>
      </c>
      <c r="B1611" s="115"/>
      <c r="C1611" s="114"/>
      <c r="D1611" s="114"/>
      <c r="E1611" s="114"/>
      <c r="F1611" s="114"/>
      <c r="G1611" s="114"/>
      <c r="H1611" s="114"/>
      <c r="I1611" s="114"/>
      <c r="J1611" s="114"/>
      <c r="K1611" s="114"/>
      <c r="L1611" s="114"/>
      <c r="M1611" s="114"/>
      <c r="N1611" s="114"/>
    </row>
    <row r="1612" spans="1:14" ht="77.5" outlineLevel="2" x14ac:dyDescent="0.35">
      <c r="A1612" s="113" t="s">
        <v>185</v>
      </c>
      <c r="B1612" s="112" t="s">
        <v>184</v>
      </c>
      <c r="C1612" s="111" t="s">
        <v>183</v>
      </c>
      <c r="D1612" s="111" t="s">
        <v>182</v>
      </c>
      <c r="E1612" s="111" t="s">
        <v>181</v>
      </c>
      <c r="F1612" s="111" t="s">
        <v>180</v>
      </c>
      <c r="G1612" s="111" t="s">
        <v>179</v>
      </c>
      <c r="H1612" s="110" t="s">
        <v>674</v>
      </c>
      <c r="I1612" s="110" t="s">
        <v>178</v>
      </c>
      <c r="J1612" s="110" t="s">
        <v>177</v>
      </c>
      <c r="K1612" s="111" t="s">
        <v>176</v>
      </c>
      <c r="L1612" s="110" t="s">
        <v>175</v>
      </c>
      <c r="M1612" s="110" t="s">
        <v>174</v>
      </c>
      <c r="N1612" s="109" t="s">
        <v>173</v>
      </c>
    </row>
    <row r="1613" spans="1:14" outlineLevel="2" x14ac:dyDescent="0.35">
      <c r="A1613" s="108" t="s">
        <v>496</v>
      </c>
      <c r="B1613" s="108" t="s">
        <v>198</v>
      </c>
      <c r="C1613" s="106">
        <v>110908</v>
      </c>
      <c r="D1613" s="106">
        <v>-82508</v>
      </c>
      <c r="E1613" s="106">
        <v>0</v>
      </c>
      <c r="F1613" s="106">
        <v>0</v>
      </c>
      <c r="G1613" s="106">
        <v>0</v>
      </c>
      <c r="H1613" s="106">
        <v>28400</v>
      </c>
      <c r="I1613" s="106">
        <v>-28400</v>
      </c>
      <c r="J1613" s="106">
        <v>0</v>
      </c>
      <c r="K1613" s="106">
        <v>0</v>
      </c>
      <c r="L1613" s="106">
        <v>0</v>
      </c>
      <c r="M1613" s="106">
        <v>0</v>
      </c>
      <c r="N1613" s="106">
        <v>0</v>
      </c>
    </row>
    <row r="1614" spans="1:14" outlineLevel="2" x14ac:dyDescent="0.35">
      <c r="A1614" s="108" t="s">
        <v>496</v>
      </c>
      <c r="B1614" s="108" t="s">
        <v>197</v>
      </c>
      <c r="C1614" s="106">
        <v>10231741</v>
      </c>
      <c r="D1614" s="106">
        <v>-10670</v>
      </c>
      <c r="E1614" s="106">
        <v>0</v>
      </c>
      <c r="F1614" s="106">
        <v>0</v>
      </c>
      <c r="G1614" s="106">
        <v>0</v>
      </c>
      <c r="H1614" s="106">
        <v>10221071</v>
      </c>
      <c r="I1614" s="106">
        <v>-10221071</v>
      </c>
      <c r="J1614" s="106">
        <v>0</v>
      </c>
      <c r="K1614" s="106">
        <v>0</v>
      </c>
      <c r="L1614" s="106">
        <v>0</v>
      </c>
      <c r="M1614" s="106">
        <v>0</v>
      </c>
      <c r="N1614" s="106">
        <v>0</v>
      </c>
    </row>
    <row r="1615" spans="1:14" outlineLevel="2" x14ac:dyDescent="0.35">
      <c r="A1615" s="108" t="s">
        <v>496</v>
      </c>
      <c r="B1615" s="108" t="s">
        <v>196</v>
      </c>
      <c r="C1615" s="106">
        <v>10719734</v>
      </c>
      <c r="D1615" s="106">
        <v>-141845</v>
      </c>
      <c r="E1615" s="106">
        <v>0</v>
      </c>
      <c r="F1615" s="106">
        <v>0</v>
      </c>
      <c r="G1615" s="106">
        <v>0</v>
      </c>
      <c r="H1615" s="106">
        <v>10577889</v>
      </c>
      <c r="I1615" s="106">
        <v>-10577889</v>
      </c>
      <c r="J1615" s="106">
        <v>0</v>
      </c>
      <c r="K1615" s="106">
        <v>976021</v>
      </c>
      <c r="L1615" s="106">
        <v>-976021</v>
      </c>
      <c r="M1615" s="106">
        <v>0</v>
      </c>
      <c r="N1615" s="106">
        <v>0</v>
      </c>
    </row>
    <row r="1616" spans="1:14" outlineLevel="2" x14ac:dyDescent="0.35">
      <c r="A1616" s="108" t="s">
        <v>496</v>
      </c>
      <c r="B1616" s="108" t="s">
        <v>195</v>
      </c>
      <c r="C1616" s="106">
        <v>8268300</v>
      </c>
      <c r="D1616" s="106">
        <v>-233992</v>
      </c>
      <c r="E1616" s="106">
        <v>0</v>
      </c>
      <c r="F1616" s="106">
        <v>0</v>
      </c>
      <c r="G1616" s="106">
        <v>0</v>
      </c>
      <c r="H1616" s="106">
        <v>8034308</v>
      </c>
      <c r="I1616" s="106">
        <v>-8034308</v>
      </c>
      <c r="J1616" s="106">
        <v>0</v>
      </c>
      <c r="K1616" s="106">
        <v>117840</v>
      </c>
      <c r="L1616" s="106">
        <v>-117840</v>
      </c>
      <c r="M1616" s="106">
        <v>0</v>
      </c>
      <c r="N1616" s="106">
        <v>0</v>
      </c>
    </row>
    <row r="1617" spans="1:14" outlineLevel="2" x14ac:dyDescent="0.35">
      <c r="A1617" s="108" t="s">
        <v>496</v>
      </c>
      <c r="B1617" s="108" t="s">
        <v>194</v>
      </c>
      <c r="C1617" s="106">
        <v>7466523</v>
      </c>
      <c r="D1617" s="106">
        <v>-52855</v>
      </c>
      <c r="E1617" s="106">
        <v>0</v>
      </c>
      <c r="F1617" s="106">
        <v>0</v>
      </c>
      <c r="G1617" s="106">
        <v>0</v>
      </c>
      <c r="H1617" s="106">
        <v>7413668</v>
      </c>
      <c r="I1617" s="106">
        <v>-7413668</v>
      </c>
      <c r="J1617" s="106">
        <v>0</v>
      </c>
      <c r="K1617" s="106">
        <v>30278</v>
      </c>
      <c r="L1617" s="106">
        <v>-30278</v>
      </c>
      <c r="M1617" s="106">
        <v>0</v>
      </c>
      <c r="N1617" s="106">
        <v>0</v>
      </c>
    </row>
    <row r="1618" spans="1:14" outlineLevel="2" x14ac:dyDescent="0.35">
      <c r="A1618" s="108" t="s">
        <v>496</v>
      </c>
      <c r="B1618" s="108" t="s">
        <v>193</v>
      </c>
      <c r="C1618" s="106">
        <v>6763200</v>
      </c>
      <c r="D1618" s="106">
        <v>-28606</v>
      </c>
      <c r="E1618" s="106">
        <v>0</v>
      </c>
      <c r="F1618" s="106">
        <v>0</v>
      </c>
      <c r="G1618" s="106">
        <v>0</v>
      </c>
      <c r="H1618" s="106">
        <v>6734594</v>
      </c>
      <c r="I1618" s="106">
        <v>-6734594</v>
      </c>
      <c r="J1618" s="106">
        <v>0</v>
      </c>
      <c r="K1618" s="106">
        <v>38</v>
      </c>
      <c r="L1618" s="106">
        <v>-38</v>
      </c>
      <c r="M1618" s="106">
        <v>0</v>
      </c>
      <c r="N1618" s="106">
        <v>0</v>
      </c>
    </row>
    <row r="1619" spans="1:14" outlineLevel="2" x14ac:dyDescent="0.35">
      <c r="A1619" s="108" t="s">
        <v>496</v>
      </c>
      <c r="B1619" s="108" t="s">
        <v>192</v>
      </c>
      <c r="C1619" s="106">
        <v>6407970</v>
      </c>
      <c r="D1619" s="106">
        <v>-33307</v>
      </c>
      <c r="E1619" s="106">
        <v>0</v>
      </c>
      <c r="F1619" s="106">
        <v>0</v>
      </c>
      <c r="G1619" s="106">
        <v>0</v>
      </c>
      <c r="H1619" s="106">
        <v>6374663</v>
      </c>
      <c r="I1619" s="106">
        <v>-6374663</v>
      </c>
      <c r="J1619" s="106">
        <v>0</v>
      </c>
      <c r="K1619" s="106">
        <v>0</v>
      </c>
      <c r="L1619" s="106">
        <v>0</v>
      </c>
      <c r="M1619" s="106">
        <v>0</v>
      </c>
      <c r="N1619" s="106">
        <v>0</v>
      </c>
    </row>
    <row r="1620" spans="1:14" ht="16" outlineLevel="2" thickBot="1" x14ac:dyDescent="0.4">
      <c r="A1620" s="105" t="s">
        <v>374</v>
      </c>
      <c r="B1620" s="79" t="s">
        <v>12</v>
      </c>
      <c r="C1620" s="103">
        <f>SUBTOTAL(109,Program190[(C)
Program
Costs])</f>
        <v>49968376</v>
      </c>
      <c r="D1620" s="103">
        <f>SUBTOTAL(109,Program190[(D)
Prior Period Adjustments])</f>
        <v>-583783</v>
      </c>
      <c r="E1620" s="103">
        <f>SUBTOTAL(105,Program190[(E)
Current Period Desk 
Reviews])</f>
        <v>0</v>
      </c>
      <c r="F1620" s="103">
        <f>SUBTOTAL(109,Program190[(F)
Current Period 
Final 
Audits])</f>
        <v>0</v>
      </c>
      <c r="G1620" s="103">
        <f>SUBTOTAL(109,Program190[(G)
Current Period 
Other Adjustments])</f>
        <v>0</v>
      </c>
      <c r="H1620" s="103">
        <f>SUBTOTAL(109,Program190[(H)
Net Program Costs
Sum (C through G)])</f>
        <v>49384593</v>
      </c>
      <c r="I1620" s="103">
        <f>SUBTOTAL(109,Program190[(I)
Payments
 and Offsets])</f>
        <v>-49384593</v>
      </c>
      <c r="J1620" s="103">
        <f>SUBTOTAL(109,Program190[(J)
Accounts Payable Balance
(H + I)])</f>
        <v>0</v>
      </c>
      <c r="K1620" s="103">
        <f>SUBTOTAL(109,Program190[(K)
Established 
Accounts Receivable])</f>
        <v>1124177</v>
      </c>
      <c r="L1620" s="103">
        <f>SUBTOTAL(109,Program190[(L)
Recovered
 Accounts Receivable])</f>
        <v>-1124177</v>
      </c>
      <c r="M1620" s="103">
        <f>SUBTOTAL(109,Program190[(M)
Accounts Receivable Balance
(K + L)])</f>
        <v>0</v>
      </c>
      <c r="N1620" s="103">
        <f>SUBTOTAL(109,Program190[(N)
Net Balance
(J minus M)])</f>
        <v>0</v>
      </c>
    </row>
    <row r="1621" spans="1:14" outlineLevel="2" x14ac:dyDescent="0.35">
      <c r="A1621" s="116" t="s">
        <v>33</v>
      </c>
      <c r="B1621" s="115"/>
      <c r="C1621" s="114"/>
      <c r="D1621" s="114"/>
      <c r="E1621" s="114"/>
      <c r="F1621" s="114"/>
      <c r="G1621" s="114"/>
      <c r="H1621" s="114"/>
      <c r="I1621" s="114"/>
      <c r="J1621" s="114"/>
      <c r="K1621" s="114"/>
      <c r="L1621" s="114"/>
      <c r="M1621" s="114"/>
      <c r="N1621" s="114"/>
    </row>
    <row r="1622" spans="1:14" ht="77.5" outlineLevel="2" x14ac:dyDescent="0.35">
      <c r="A1622" s="113" t="s">
        <v>185</v>
      </c>
      <c r="B1622" s="112" t="s">
        <v>184</v>
      </c>
      <c r="C1622" s="111" t="s">
        <v>183</v>
      </c>
      <c r="D1622" s="111" t="s">
        <v>182</v>
      </c>
      <c r="E1622" s="111" t="s">
        <v>181</v>
      </c>
      <c r="F1622" s="111" t="s">
        <v>180</v>
      </c>
      <c r="G1622" s="111" t="s">
        <v>179</v>
      </c>
      <c r="H1622" s="110" t="s">
        <v>674</v>
      </c>
      <c r="I1622" s="110" t="s">
        <v>178</v>
      </c>
      <c r="J1622" s="110" t="s">
        <v>177</v>
      </c>
      <c r="K1622" s="111" t="s">
        <v>176</v>
      </c>
      <c r="L1622" s="110" t="s">
        <v>175</v>
      </c>
      <c r="M1622" s="110" t="s">
        <v>174</v>
      </c>
      <c r="N1622" s="109" t="s">
        <v>173</v>
      </c>
    </row>
    <row r="1623" spans="1:14" outlineLevel="2" x14ac:dyDescent="0.35">
      <c r="A1623" s="108" t="s">
        <v>495</v>
      </c>
      <c r="B1623" s="108" t="s">
        <v>195</v>
      </c>
      <c r="C1623" s="106">
        <v>1431044</v>
      </c>
      <c r="D1623" s="106">
        <v>-287375</v>
      </c>
      <c r="E1623" s="106">
        <v>0</v>
      </c>
      <c r="F1623" s="106">
        <v>0</v>
      </c>
      <c r="G1623" s="106">
        <v>0</v>
      </c>
      <c r="H1623" s="106">
        <v>1143669</v>
      </c>
      <c r="I1623" s="106">
        <v>-1143669</v>
      </c>
      <c r="J1623" s="106">
        <v>0</v>
      </c>
      <c r="K1623" s="106">
        <v>1986</v>
      </c>
      <c r="L1623" s="106">
        <v>-1986</v>
      </c>
      <c r="M1623" s="106">
        <v>0</v>
      </c>
      <c r="N1623" s="106">
        <v>0</v>
      </c>
    </row>
    <row r="1624" spans="1:14" outlineLevel="2" x14ac:dyDescent="0.35">
      <c r="A1624" s="108" t="s">
        <v>495</v>
      </c>
      <c r="B1624" s="108" t="s">
        <v>194</v>
      </c>
      <c r="C1624" s="106">
        <v>3253079</v>
      </c>
      <c r="D1624" s="106">
        <v>-3935</v>
      </c>
      <c r="E1624" s="106">
        <v>0</v>
      </c>
      <c r="F1624" s="106">
        <v>0</v>
      </c>
      <c r="G1624" s="106">
        <v>0</v>
      </c>
      <c r="H1624" s="106">
        <v>3249144</v>
      </c>
      <c r="I1624" s="106">
        <v>-3249144</v>
      </c>
      <c r="J1624" s="106">
        <v>0</v>
      </c>
      <c r="K1624" s="106">
        <v>152456</v>
      </c>
      <c r="L1624" s="106">
        <v>-152456</v>
      </c>
      <c r="M1624" s="106">
        <v>0</v>
      </c>
      <c r="N1624" s="106">
        <v>0</v>
      </c>
    </row>
    <row r="1625" spans="1:14" outlineLevel="2" x14ac:dyDescent="0.35">
      <c r="A1625" s="108" t="s">
        <v>495</v>
      </c>
      <c r="B1625" s="108" t="s">
        <v>193</v>
      </c>
      <c r="C1625" s="106">
        <v>2839094</v>
      </c>
      <c r="D1625" s="106">
        <v>-69075</v>
      </c>
      <c r="E1625" s="106">
        <v>0</v>
      </c>
      <c r="F1625" s="106">
        <v>0</v>
      </c>
      <c r="G1625" s="106">
        <v>0</v>
      </c>
      <c r="H1625" s="106">
        <v>2770019</v>
      </c>
      <c r="I1625" s="106">
        <v>-2770019</v>
      </c>
      <c r="J1625" s="106">
        <v>0</v>
      </c>
      <c r="K1625" s="106">
        <v>713495</v>
      </c>
      <c r="L1625" s="106">
        <v>-713495</v>
      </c>
      <c r="M1625" s="106">
        <v>0</v>
      </c>
      <c r="N1625" s="106">
        <v>0</v>
      </c>
    </row>
    <row r="1626" spans="1:14" outlineLevel="2" x14ac:dyDescent="0.35">
      <c r="A1626" s="108" t="s">
        <v>495</v>
      </c>
      <c r="B1626" s="108" t="s">
        <v>192</v>
      </c>
      <c r="C1626" s="106">
        <v>1848934</v>
      </c>
      <c r="D1626" s="106">
        <v>-312679</v>
      </c>
      <c r="E1626" s="106">
        <v>0</v>
      </c>
      <c r="F1626" s="106">
        <v>0</v>
      </c>
      <c r="G1626" s="106">
        <v>0</v>
      </c>
      <c r="H1626" s="106">
        <v>1536255</v>
      </c>
      <c r="I1626" s="106">
        <v>-1536255</v>
      </c>
      <c r="J1626" s="106">
        <v>0</v>
      </c>
      <c r="K1626" s="106">
        <v>373718</v>
      </c>
      <c r="L1626" s="106">
        <v>-373718</v>
      </c>
      <c r="M1626" s="106">
        <v>0</v>
      </c>
      <c r="N1626" s="106">
        <v>0</v>
      </c>
    </row>
    <row r="1627" spans="1:14" outlineLevel="2" x14ac:dyDescent="0.35">
      <c r="A1627" s="108" t="s">
        <v>495</v>
      </c>
      <c r="B1627" s="108" t="s">
        <v>191</v>
      </c>
      <c r="C1627" s="106">
        <v>1873655</v>
      </c>
      <c r="D1627" s="106">
        <v>-452661</v>
      </c>
      <c r="E1627" s="106">
        <v>0</v>
      </c>
      <c r="F1627" s="106">
        <v>0</v>
      </c>
      <c r="G1627" s="106">
        <v>0</v>
      </c>
      <c r="H1627" s="106">
        <v>1420994</v>
      </c>
      <c r="I1627" s="106">
        <v>-1420994</v>
      </c>
      <c r="J1627" s="106">
        <v>0</v>
      </c>
      <c r="K1627" s="106">
        <v>407149</v>
      </c>
      <c r="L1627" s="106">
        <v>-407149</v>
      </c>
      <c r="M1627" s="106">
        <v>0</v>
      </c>
      <c r="N1627" s="106">
        <v>0</v>
      </c>
    </row>
    <row r="1628" spans="1:14" outlineLevel="2" x14ac:dyDescent="0.35">
      <c r="A1628" s="108" t="s">
        <v>495</v>
      </c>
      <c r="B1628" s="108" t="s">
        <v>189</v>
      </c>
      <c r="C1628" s="106">
        <v>996359</v>
      </c>
      <c r="D1628" s="106">
        <v>-11293</v>
      </c>
      <c r="E1628" s="106">
        <v>0</v>
      </c>
      <c r="F1628" s="106">
        <v>0</v>
      </c>
      <c r="G1628" s="106">
        <v>0</v>
      </c>
      <c r="H1628" s="106">
        <v>985066</v>
      </c>
      <c r="I1628" s="106">
        <v>-985066</v>
      </c>
      <c r="J1628" s="106">
        <v>0</v>
      </c>
      <c r="K1628" s="106">
        <v>65698</v>
      </c>
      <c r="L1628" s="106">
        <v>-65698</v>
      </c>
      <c r="M1628" s="106">
        <v>0</v>
      </c>
      <c r="N1628" s="106">
        <v>0</v>
      </c>
    </row>
    <row r="1629" spans="1:14" outlineLevel="2" x14ac:dyDescent="0.35">
      <c r="A1629" s="108" t="s">
        <v>495</v>
      </c>
      <c r="B1629" s="108" t="s">
        <v>188</v>
      </c>
      <c r="C1629" s="106">
        <v>536674</v>
      </c>
      <c r="D1629" s="106">
        <v>-80012</v>
      </c>
      <c r="E1629" s="106">
        <v>0</v>
      </c>
      <c r="F1629" s="106">
        <v>0</v>
      </c>
      <c r="G1629" s="106">
        <v>0</v>
      </c>
      <c r="H1629" s="106">
        <v>456662</v>
      </c>
      <c r="I1629" s="106">
        <v>-456662</v>
      </c>
      <c r="J1629" s="106">
        <v>0</v>
      </c>
      <c r="K1629" s="106">
        <v>151805</v>
      </c>
      <c r="L1629" s="106">
        <v>-151805</v>
      </c>
      <c r="M1629" s="106">
        <v>0</v>
      </c>
      <c r="N1629" s="106">
        <v>0</v>
      </c>
    </row>
    <row r="1630" spans="1:14" outlineLevel="2" x14ac:dyDescent="0.35">
      <c r="A1630" s="108" t="s">
        <v>495</v>
      </c>
      <c r="B1630" s="108" t="s">
        <v>186</v>
      </c>
      <c r="C1630" s="106">
        <v>650410</v>
      </c>
      <c r="D1630" s="106">
        <v>-139683</v>
      </c>
      <c r="E1630" s="106">
        <v>0</v>
      </c>
      <c r="F1630" s="106">
        <v>0</v>
      </c>
      <c r="G1630" s="106">
        <v>0</v>
      </c>
      <c r="H1630" s="106">
        <v>510727</v>
      </c>
      <c r="I1630" s="106">
        <v>-510727</v>
      </c>
      <c r="J1630" s="106">
        <v>0</v>
      </c>
      <c r="K1630" s="106">
        <v>186427</v>
      </c>
      <c r="L1630" s="106">
        <v>-186427</v>
      </c>
      <c r="M1630" s="106">
        <v>0</v>
      </c>
      <c r="N1630" s="106">
        <v>0</v>
      </c>
    </row>
    <row r="1631" spans="1:14" outlineLevel="2" x14ac:dyDescent="0.35">
      <c r="A1631" s="108" t="s">
        <v>495</v>
      </c>
      <c r="B1631" s="108" t="s">
        <v>227</v>
      </c>
      <c r="C1631" s="106">
        <v>972319</v>
      </c>
      <c r="D1631" s="106">
        <v>-185315</v>
      </c>
      <c r="E1631" s="106">
        <v>0</v>
      </c>
      <c r="F1631" s="106">
        <v>0</v>
      </c>
      <c r="G1631" s="106">
        <v>0</v>
      </c>
      <c r="H1631" s="106">
        <v>787004</v>
      </c>
      <c r="I1631" s="106">
        <v>-787004</v>
      </c>
      <c r="J1631" s="106">
        <v>0</v>
      </c>
      <c r="K1631" s="106">
        <v>192990</v>
      </c>
      <c r="L1631" s="106">
        <v>-192990</v>
      </c>
      <c r="M1631" s="106">
        <v>0</v>
      </c>
      <c r="N1631" s="106">
        <v>0</v>
      </c>
    </row>
    <row r="1632" spans="1:14" outlineLevel="2" x14ac:dyDescent="0.35">
      <c r="A1632" s="108" t="s">
        <v>495</v>
      </c>
      <c r="B1632" s="108" t="s">
        <v>226</v>
      </c>
      <c r="C1632" s="106">
        <v>886629</v>
      </c>
      <c r="D1632" s="106">
        <v>-175285</v>
      </c>
      <c r="E1632" s="106">
        <v>0</v>
      </c>
      <c r="F1632" s="106">
        <v>0</v>
      </c>
      <c r="G1632" s="106">
        <v>0</v>
      </c>
      <c r="H1632" s="106">
        <v>711344</v>
      </c>
      <c r="I1632" s="106">
        <v>-711344</v>
      </c>
      <c r="J1632" s="106">
        <v>0</v>
      </c>
      <c r="K1632" s="106">
        <v>176543</v>
      </c>
      <c r="L1632" s="106">
        <v>-176543</v>
      </c>
      <c r="M1632" s="106">
        <v>0</v>
      </c>
      <c r="N1632" s="106">
        <v>0</v>
      </c>
    </row>
    <row r="1633" spans="1:14" outlineLevel="2" x14ac:dyDescent="0.35">
      <c r="A1633" s="108" t="s">
        <v>495</v>
      </c>
      <c r="B1633" s="108" t="s">
        <v>225</v>
      </c>
      <c r="C1633" s="106">
        <v>866156</v>
      </c>
      <c r="D1633" s="106">
        <v>-165593</v>
      </c>
      <c r="E1633" s="106">
        <v>0</v>
      </c>
      <c r="F1633" s="106">
        <v>0</v>
      </c>
      <c r="G1633" s="106">
        <v>0</v>
      </c>
      <c r="H1633" s="106">
        <v>700563</v>
      </c>
      <c r="I1633" s="106">
        <v>-700563</v>
      </c>
      <c r="J1633" s="106">
        <v>0</v>
      </c>
      <c r="K1633" s="106">
        <v>175898</v>
      </c>
      <c r="L1633" s="106">
        <v>-175898</v>
      </c>
      <c r="M1633" s="106">
        <v>0</v>
      </c>
      <c r="N1633" s="106">
        <v>0</v>
      </c>
    </row>
    <row r="1634" spans="1:14" ht="16" outlineLevel="1" thickBot="1" x14ac:dyDescent="0.4">
      <c r="A1634" s="105" t="s">
        <v>373</v>
      </c>
      <c r="B1634" s="79" t="s">
        <v>12</v>
      </c>
      <c r="C1634" s="103">
        <f>SUBTOTAL(109,Program109[(C)
Program
Costs])</f>
        <v>16154353</v>
      </c>
      <c r="D1634" s="103">
        <f>SUBTOTAL(109,Program109[(D)
Prior Period Adjustments])</f>
        <v>-1882906</v>
      </c>
      <c r="E1634" s="103">
        <f>SUBTOTAL(109,Program109[(E)
Current Period Desk 
Reviews])</f>
        <v>0</v>
      </c>
      <c r="F1634" s="103">
        <f>SUBTOTAL(109,Program109[(F)
Current Period 
Final 
Audits])</f>
        <v>0</v>
      </c>
      <c r="G1634" s="103">
        <f>SUBTOTAL(109,Program109[(G)
Current Period 
Other Adjustments])</f>
        <v>0</v>
      </c>
      <c r="H1634" s="103">
        <f>SUBTOTAL(109,Program109[(H)
Net Program Costs
Sum (C through G)])</f>
        <v>14271447</v>
      </c>
      <c r="I1634" s="103">
        <f>SUBTOTAL(109,Program109[(I)
Payments
 and Offsets])</f>
        <v>-14271447</v>
      </c>
      <c r="J1634" s="103">
        <f>SUBTOTAL(109,Program109[(J)
Accounts Payable Balance
(H + I)])</f>
        <v>0</v>
      </c>
      <c r="K1634" s="103">
        <f>SUBTOTAL(109,Program109[(K)
Established 
Accounts Receivable])</f>
        <v>2598165</v>
      </c>
      <c r="L1634" s="103">
        <f>SUBTOTAL(109,Program109[(L)
Recovered
 Accounts Receivable])</f>
        <v>-2598165</v>
      </c>
      <c r="M1634" s="103">
        <f>SUBTOTAL(109,Program109[(M)
Accounts Receivable Balance
(K + L)])</f>
        <v>0</v>
      </c>
      <c r="N1634" s="103">
        <f>SUBTOTAL(109,Program109[(N)
Net Balance
(J minus M)])</f>
        <v>0</v>
      </c>
    </row>
    <row r="1635" spans="1:14" ht="15.65" customHeight="1" outlineLevel="1" x14ac:dyDescent="0.35">
      <c r="A1635" s="116" t="s">
        <v>33</v>
      </c>
      <c r="B1635" s="115"/>
      <c r="C1635" s="114"/>
      <c r="D1635" s="114"/>
      <c r="E1635" s="114"/>
      <c r="F1635" s="114"/>
      <c r="G1635" s="114"/>
      <c r="H1635" s="114"/>
      <c r="I1635" s="114"/>
      <c r="J1635" s="114"/>
      <c r="K1635" s="114"/>
      <c r="L1635" s="114"/>
      <c r="M1635" s="114"/>
      <c r="N1635" s="114"/>
    </row>
    <row r="1636" spans="1:14" ht="78.75" customHeight="1" outlineLevel="1" x14ac:dyDescent="0.35">
      <c r="A1636" s="113" t="s">
        <v>185</v>
      </c>
      <c r="B1636" s="112" t="s">
        <v>184</v>
      </c>
      <c r="C1636" s="111" t="s">
        <v>183</v>
      </c>
      <c r="D1636" s="111" t="s">
        <v>182</v>
      </c>
      <c r="E1636" s="111" t="s">
        <v>181</v>
      </c>
      <c r="F1636" s="111" t="s">
        <v>180</v>
      </c>
      <c r="G1636" s="111" t="s">
        <v>179</v>
      </c>
      <c r="H1636" s="110" t="s">
        <v>674</v>
      </c>
      <c r="I1636" s="110" t="s">
        <v>178</v>
      </c>
      <c r="J1636" s="110" t="s">
        <v>177</v>
      </c>
      <c r="K1636" s="111" t="s">
        <v>176</v>
      </c>
      <c r="L1636" s="110" t="s">
        <v>175</v>
      </c>
      <c r="M1636" s="110" t="s">
        <v>174</v>
      </c>
      <c r="N1636" s="109" t="s">
        <v>173</v>
      </c>
    </row>
    <row r="1637" spans="1:14" ht="31" outlineLevel="2" x14ac:dyDescent="0.35">
      <c r="A1637" s="77" t="s">
        <v>494</v>
      </c>
      <c r="B1637" s="108" t="s">
        <v>203</v>
      </c>
      <c r="C1637" s="106">
        <v>11158</v>
      </c>
      <c r="D1637" s="106">
        <v>-8217</v>
      </c>
      <c r="E1637" s="106">
        <v>0</v>
      </c>
      <c r="F1637" s="106">
        <v>0</v>
      </c>
      <c r="G1637" s="106">
        <v>0</v>
      </c>
      <c r="H1637" s="106">
        <v>2941</v>
      </c>
      <c r="I1637" s="106">
        <v>-2941</v>
      </c>
      <c r="J1637" s="106">
        <v>0</v>
      </c>
      <c r="K1637" s="106">
        <v>0</v>
      </c>
      <c r="L1637" s="106">
        <v>0</v>
      </c>
      <c r="M1637" s="106">
        <v>0</v>
      </c>
      <c r="N1637" s="106">
        <v>0</v>
      </c>
    </row>
    <row r="1638" spans="1:14" ht="31" outlineLevel="2" x14ac:dyDescent="0.35">
      <c r="A1638" s="77" t="s">
        <v>494</v>
      </c>
      <c r="B1638" s="108" t="s">
        <v>201</v>
      </c>
      <c r="C1638" s="106">
        <v>328472</v>
      </c>
      <c r="D1638" s="106">
        <v>-17194</v>
      </c>
      <c r="E1638" s="106">
        <v>0</v>
      </c>
      <c r="F1638" s="106">
        <v>0</v>
      </c>
      <c r="G1638" s="106">
        <v>0</v>
      </c>
      <c r="H1638" s="106">
        <v>311278</v>
      </c>
      <c r="I1638" s="106">
        <v>-311278</v>
      </c>
      <c r="J1638" s="106">
        <v>0</v>
      </c>
      <c r="K1638" s="106">
        <v>0</v>
      </c>
      <c r="L1638" s="106">
        <v>0</v>
      </c>
      <c r="M1638" s="106">
        <v>0</v>
      </c>
      <c r="N1638" s="106">
        <v>0</v>
      </c>
    </row>
    <row r="1639" spans="1:14" ht="31" outlineLevel="2" x14ac:dyDescent="0.35">
      <c r="A1639" s="77" t="s">
        <v>494</v>
      </c>
      <c r="B1639" s="108" t="s">
        <v>200</v>
      </c>
      <c r="C1639" s="106">
        <v>2302932</v>
      </c>
      <c r="D1639" s="106">
        <v>-45624</v>
      </c>
      <c r="E1639" s="106">
        <v>0</v>
      </c>
      <c r="F1639" s="106">
        <v>0</v>
      </c>
      <c r="G1639" s="106">
        <v>0</v>
      </c>
      <c r="H1639" s="106">
        <v>2257308</v>
      </c>
      <c r="I1639" s="106">
        <v>-2257308</v>
      </c>
      <c r="J1639" s="106">
        <v>0</v>
      </c>
      <c r="K1639" s="106">
        <v>23731</v>
      </c>
      <c r="L1639" s="106">
        <v>-2908</v>
      </c>
      <c r="M1639" s="106">
        <v>20823</v>
      </c>
      <c r="N1639" s="106">
        <v>-20823</v>
      </c>
    </row>
    <row r="1640" spans="1:14" ht="31" outlineLevel="2" x14ac:dyDescent="0.35">
      <c r="A1640" s="77" t="s">
        <v>494</v>
      </c>
      <c r="B1640" s="108" t="s">
        <v>199</v>
      </c>
      <c r="C1640" s="106">
        <v>1953697</v>
      </c>
      <c r="D1640" s="106">
        <v>-19682</v>
      </c>
      <c r="E1640" s="106">
        <v>0</v>
      </c>
      <c r="F1640" s="106">
        <v>0</v>
      </c>
      <c r="G1640" s="106">
        <v>0</v>
      </c>
      <c r="H1640" s="106">
        <v>1934015</v>
      </c>
      <c r="I1640" s="106">
        <v>-1934015</v>
      </c>
      <c r="J1640" s="106">
        <v>0</v>
      </c>
      <c r="K1640" s="106">
        <v>0</v>
      </c>
      <c r="L1640" s="106">
        <v>0</v>
      </c>
      <c r="M1640" s="106">
        <v>0</v>
      </c>
      <c r="N1640" s="106">
        <v>0</v>
      </c>
    </row>
    <row r="1641" spans="1:14" ht="31" outlineLevel="2" x14ac:dyDescent="0.35">
      <c r="A1641" s="77" t="s">
        <v>494</v>
      </c>
      <c r="B1641" s="108" t="s">
        <v>198</v>
      </c>
      <c r="C1641" s="106">
        <v>2028140</v>
      </c>
      <c r="D1641" s="106">
        <v>-10482</v>
      </c>
      <c r="E1641" s="106">
        <v>0</v>
      </c>
      <c r="F1641" s="106">
        <v>0</v>
      </c>
      <c r="G1641" s="106">
        <v>0</v>
      </c>
      <c r="H1641" s="106">
        <v>2017658</v>
      </c>
      <c r="I1641" s="106">
        <v>-2017658</v>
      </c>
      <c r="J1641" s="106">
        <v>0</v>
      </c>
      <c r="K1641" s="106">
        <v>0</v>
      </c>
      <c r="L1641" s="106">
        <v>0</v>
      </c>
      <c r="M1641" s="106">
        <v>0</v>
      </c>
      <c r="N1641" s="106">
        <v>0</v>
      </c>
    </row>
    <row r="1642" spans="1:14" ht="31" outlineLevel="2" x14ac:dyDescent="0.35">
      <c r="A1642" s="77" t="s">
        <v>494</v>
      </c>
      <c r="B1642" s="108" t="s">
        <v>197</v>
      </c>
      <c r="C1642" s="106">
        <v>2195237</v>
      </c>
      <c r="D1642" s="106">
        <v>-32721</v>
      </c>
      <c r="E1642" s="106">
        <v>0</v>
      </c>
      <c r="F1642" s="106">
        <v>0</v>
      </c>
      <c r="G1642" s="106">
        <v>0</v>
      </c>
      <c r="H1642" s="106">
        <v>2162516</v>
      </c>
      <c r="I1642" s="106">
        <v>-2162516</v>
      </c>
      <c r="J1642" s="106">
        <v>0</v>
      </c>
      <c r="K1642" s="106">
        <v>0</v>
      </c>
      <c r="L1642" s="106">
        <v>0</v>
      </c>
      <c r="M1642" s="106">
        <v>0</v>
      </c>
      <c r="N1642" s="106">
        <v>0</v>
      </c>
    </row>
    <row r="1643" spans="1:14" ht="31" outlineLevel="2" x14ac:dyDescent="0.35">
      <c r="A1643" s="77" t="s">
        <v>494</v>
      </c>
      <c r="B1643" s="108" t="s">
        <v>196</v>
      </c>
      <c r="C1643" s="106">
        <v>2268106</v>
      </c>
      <c r="D1643" s="106">
        <v>-30340</v>
      </c>
      <c r="E1643" s="106">
        <v>0</v>
      </c>
      <c r="F1643" s="106">
        <v>0</v>
      </c>
      <c r="G1643" s="106">
        <v>0</v>
      </c>
      <c r="H1643" s="106">
        <v>2237766</v>
      </c>
      <c r="I1643" s="106">
        <v>-2237766</v>
      </c>
      <c r="J1643" s="106">
        <v>0</v>
      </c>
      <c r="K1643" s="106">
        <v>8882</v>
      </c>
      <c r="L1643" s="106">
        <v>-8882</v>
      </c>
      <c r="M1643" s="106">
        <v>0</v>
      </c>
      <c r="N1643" s="106">
        <v>0</v>
      </c>
    </row>
    <row r="1644" spans="1:14" ht="31" outlineLevel="2" x14ac:dyDescent="0.35">
      <c r="A1644" s="77" t="s">
        <v>494</v>
      </c>
      <c r="B1644" s="108" t="s">
        <v>195</v>
      </c>
      <c r="C1644" s="106">
        <v>2019852</v>
      </c>
      <c r="D1644" s="106">
        <v>-25168</v>
      </c>
      <c r="E1644" s="106">
        <v>0</v>
      </c>
      <c r="F1644" s="106">
        <v>0</v>
      </c>
      <c r="G1644" s="106">
        <v>0</v>
      </c>
      <c r="H1644" s="106">
        <v>1994684</v>
      </c>
      <c r="I1644" s="106">
        <v>-1994684</v>
      </c>
      <c r="J1644" s="106">
        <v>0</v>
      </c>
      <c r="K1644" s="106">
        <v>0</v>
      </c>
      <c r="L1644" s="106">
        <v>0</v>
      </c>
      <c r="M1644" s="106">
        <v>0</v>
      </c>
      <c r="N1644" s="106">
        <v>0</v>
      </c>
    </row>
    <row r="1645" spans="1:14" ht="31" outlineLevel="2" x14ac:dyDescent="0.35">
      <c r="A1645" s="77" t="s">
        <v>494</v>
      </c>
      <c r="B1645" s="108" t="s">
        <v>194</v>
      </c>
      <c r="C1645" s="106">
        <v>1802086</v>
      </c>
      <c r="D1645" s="106">
        <v>-20501</v>
      </c>
      <c r="E1645" s="106">
        <v>0</v>
      </c>
      <c r="F1645" s="106">
        <v>0</v>
      </c>
      <c r="G1645" s="106">
        <v>0</v>
      </c>
      <c r="H1645" s="106">
        <v>1781585</v>
      </c>
      <c r="I1645" s="106">
        <v>-1781585</v>
      </c>
      <c r="J1645" s="106">
        <v>0</v>
      </c>
      <c r="K1645" s="106">
        <v>0</v>
      </c>
      <c r="L1645" s="106">
        <v>0</v>
      </c>
      <c r="M1645" s="106">
        <v>0</v>
      </c>
      <c r="N1645" s="106">
        <v>0</v>
      </c>
    </row>
    <row r="1646" spans="1:14" ht="31" outlineLevel="1" x14ac:dyDescent="0.35">
      <c r="A1646" s="77" t="s">
        <v>494</v>
      </c>
      <c r="B1646" s="108" t="s">
        <v>193</v>
      </c>
      <c r="C1646" s="106">
        <v>1620584</v>
      </c>
      <c r="D1646" s="106">
        <v>-18563</v>
      </c>
      <c r="E1646" s="106">
        <v>0</v>
      </c>
      <c r="F1646" s="106">
        <v>0</v>
      </c>
      <c r="G1646" s="106">
        <v>0</v>
      </c>
      <c r="H1646" s="106">
        <v>1602021</v>
      </c>
      <c r="I1646" s="106">
        <v>-1602021</v>
      </c>
      <c r="J1646" s="106">
        <v>0</v>
      </c>
      <c r="K1646" s="106">
        <v>0</v>
      </c>
      <c r="L1646" s="106">
        <v>0</v>
      </c>
      <c r="M1646" s="106">
        <v>0</v>
      </c>
      <c r="N1646" s="106">
        <v>0</v>
      </c>
    </row>
    <row r="1647" spans="1:14" ht="30" customHeight="1" outlineLevel="1" x14ac:dyDescent="0.35">
      <c r="A1647" s="77" t="s">
        <v>494</v>
      </c>
      <c r="B1647" s="108" t="s">
        <v>192</v>
      </c>
      <c r="C1647" s="106">
        <v>1499846</v>
      </c>
      <c r="D1647" s="106">
        <v>-18310</v>
      </c>
      <c r="E1647" s="106">
        <v>0</v>
      </c>
      <c r="F1647" s="106">
        <v>0</v>
      </c>
      <c r="G1647" s="106">
        <v>0</v>
      </c>
      <c r="H1647" s="106">
        <v>1481536</v>
      </c>
      <c r="I1647" s="106">
        <v>-1481536</v>
      </c>
      <c r="J1647" s="106">
        <v>0</v>
      </c>
      <c r="K1647" s="106">
        <v>0</v>
      </c>
      <c r="L1647" s="106">
        <v>0</v>
      </c>
      <c r="M1647" s="106">
        <v>0</v>
      </c>
      <c r="N1647" s="106">
        <v>0</v>
      </c>
    </row>
    <row r="1648" spans="1:14" ht="16" outlineLevel="2" thickBot="1" x14ac:dyDescent="0.4">
      <c r="A1648" s="105" t="s">
        <v>372</v>
      </c>
      <c r="B1648" s="79" t="s">
        <v>12</v>
      </c>
      <c r="C1648" s="103">
        <f>SUBTOTAL(109,Program211[(C)
Program
Costs])</f>
        <v>18030110</v>
      </c>
      <c r="D1648" s="103">
        <f>SUBTOTAL(109,Program211[(D)
Prior Period Adjustments])</f>
        <v>-246802</v>
      </c>
      <c r="E1648" s="103">
        <f>SUBTOTAL(109,Program211[(E)
Current Period Desk 
Reviews])</f>
        <v>0</v>
      </c>
      <c r="F1648" s="103">
        <f>SUBTOTAL(109,Program211[(F)
Current Period 
Final 
Audits])</f>
        <v>0</v>
      </c>
      <c r="G1648" s="103">
        <f>SUBTOTAL(109,Program211[(G)
Current Period 
Other Adjustments])</f>
        <v>0</v>
      </c>
      <c r="H1648" s="103">
        <f>SUBTOTAL(109,Program211[(H)
Net Program Costs
Sum (C through G)])</f>
        <v>17783308</v>
      </c>
      <c r="I1648" s="103">
        <f>SUBTOTAL(109,Program211[(I)
Payments
 and Offsets])</f>
        <v>-17783308</v>
      </c>
      <c r="J1648" s="103">
        <f>SUBTOTAL(109,Program211[(J)
Accounts Payable Balance
(H + I)])</f>
        <v>0</v>
      </c>
      <c r="K1648" s="103">
        <f>SUBTOTAL(109,Program211[(K)
Established 
Accounts Receivable])</f>
        <v>32613</v>
      </c>
      <c r="L1648" s="103">
        <f>SUBTOTAL(109,Program211[(L)
Recovered
 Accounts Receivable])</f>
        <v>-11790</v>
      </c>
      <c r="M1648" s="103">
        <f>SUBTOTAL(109,Program211[(M)
Accounts Receivable Balance
(K + L)])</f>
        <v>20823</v>
      </c>
      <c r="N1648" s="103">
        <f>SUBTOTAL(109,Program211[(N)
Net Balance
(J minus M)])</f>
        <v>-20823</v>
      </c>
    </row>
    <row r="1649" spans="1:14" outlineLevel="2" x14ac:dyDescent="0.35">
      <c r="A1649" s="116" t="s">
        <v>33</v>
      </c>
      <c r="B1649" s="115"/>
      <c r="C1649" s="114"/>
      <c r="D1649" s="114"/>
      <c r="E1649" s="114"/>
      <c r="F1649" s="114"/>
      <c r="G1649" s="114"/>
      <c r="H1649" s="114"/>
      <c r="I1649" s="114"/>
      <c r="J1649" s="114"/>
      <c r="K1649" s="114"/>
      <c r="L1649" s="114"/>
      <c r="M1649" s="114"/>
      <c r="N1649" s="114"/>
    </row>
    <row r="1650" spans="1:14" ht="77.5" outlineLevel="1" x14ac:dyDescent="0.35">
      <c r="A1650" s="113" t="s">
        <v>185</v>
      </c>
      <c r="B1650" s="112" t="s">
        <v>184</v>
      </c>
      <c r="C1650" s="111" t="s">
        <v>183</v>
      </c>
      <c r="D1650" s="111" t="s">
        <v>182</v>
      </c>
      <c r="E1650" s="111" t="s">
        <v>181</v>
      </c>
      <c r="F1650" s="111" t="s">
        <v>180</v>
      </c>
      <c r="G1650" s="111" t="s">
        <v>179</v>
      </c>
      <c r="H1650" s="110" t="s">
        <v>674</v>
      </c>
      <c r="I1650" s="110" t="s">
        <v>178</v>
      </c>
      <c r="J1650" s="110" t="s">
        <v>177</v>
      </c>
      <c r="K1650" s="111" t="s">
        <v>176</v>
      </c>
      <c r="L1650" s="110" t="s">
        <v>175</v>
      </c>
      <c r="M1650" s="110" t="s">
        <v>174</v>
      </c>
      <c r="N1650" s="109" t="s">
        <v>173</v>
      </c>
    </row>
    <row r="1651" spans="1:14" ht="30" customHeight="1" outlineLevel="1" x14ac:dyDescent="0.35">
      <c r="A1651" s="77" t="s">
        <v>493</v>
      </c>
      <c r="B1651" s="108" t="s">
        <v>215</v>
      </c>
      <c r="C1651" s="106">
        <v>53492</v>
      </c>
      <c r="D1651" s="106">
        <v>0</v>
      </c>
      <c r="E1651" s="106">
        <v>0</v>
      </c>
      <c r="F1651" s="106">
        <v>0</v>
      </c>
      <c r="G1651" s="106">
        <v>0</v>
      </c>
      <c r="H1651" s="106">
        <v>53492</v>
      </c>
      <c r="I1651" s="106">
        <v>0</v>
      </c>
      <c r="J1651" s="106">
        <v>53492</v>
      </c>
      <c r="K1651" s="106">
        <v>0</v>
      </c>
      <c r="L1651" s="106">
        <v>0</v>
      </c>
      <c r="M1651" s="106">
        <v>0</v>
      </c>
      <c r="N1651" s="106">
        <v>53492</v>
      </c>
    </row>
    <row r="1652" spans="1:14" ht="30" customHeight="1" outlineLevel="1" x14ac:dyDescent="0.35">
      <c r="A1652" s="77" t="s">
        <v>493</v>
      </c>
      <c r="B1652" s="108" t="s">
        <v>214</v>
      </c>
      <c r="C1652" s="106">
        <v>68578</v>
      </c>
      <c r="D1652" s="106">
        <v>0</v>
      </c>
      <c r="E1652" s="106">
        <v>0</v>
      </c>
      <c r="F1652" s="106">
        <v>0</v>
      </c>
      <c r="G1652" s="106">
        <v>0</v>
      </c>
      <c r="H1652" s="106">
        <v>68578</v>
      </c>
      <c r="I1652" s="106">
        <v>-1000</v>
      </c>
      <c r="J1652" s="106">
        <v>67578</v>
      </c>
      <c r="K1652" s="106">
        <v>0</v>
      </c>
      <c r="L1652" s="106">
        <v>0</v>
      </c>
      <c r="M1652" s="106">
        <v>0</v>
      </c>
      <c r="N1652" s="106">
        <v>67578</v>
      </c>
    </row>
    <row r="1653" spans="1:14" ht="31" outlineLevel="2" x14ac:dyDescent="0.35">
      <c r="A1653" s="77" t="s">
        <v>493</v>
      </c>
      <c r="B1653" s="108" t="s">
        <v>212</v>
      </c>
      <c r="C1653" s="106">
        <v>62743</v>
      </c>
      <c r="D1653" s="106">
        <v>0</v>
      </c>
      <c r="E1653" s="106">
        <v>0</v>
      </c>
      <c r="F1653" s="106">
        <v>0</v>
      </c>
      <c r="G1653" s="106">
        <v>0</v>
      </c>
      <c r="H1653" s="106">
        <v>62743</v>
      </c>
      <c r="I1653" s="106">
        <v>-4325</v>
      </c>
      <c r="J1653" s="106">
        <v>58418</v>
      </c>
      <c r="K1653" s="106">
        <v>0</v>
      </c>
      <c r="L1653" s="106">
        <v>0</v>
      </c>
      <c r="M1653" s="106">
        <v>0</v>
      </c>
      <c r="N1653" s="106">
        <v>58418</v>
      </c>
    </row>
    <row r="1654" spans="1:14" ht="31" outlineLevel="2" x14ac:dyDescent="0.35">
      <c r="A1654" s="77" t="s">
        <v>493</v>
      </c>
      <c r="B1654" s="108" t="s">
        <v>220</v>
      </c>
      <c r="C1654" s="106">
        <v>68239</v>
      </c>
      <c r="D1654" s="106">
        <v>-1098</v>
      </c>
      <c r="E1654" s="106">
        <v>0</v>
      </c>
      <c r="F1654" s="106">
        <v>0</v>
      </c>
      <c r="G1654" s="106">
        <v>0</v>
      </c>
      <c r="H1654" s="106">
        <v>67141</v>
      </c>
      <c r="I1654" s="106">
        <v>-7407</v>
      </c>
      <c r="J1654" s="106">
        <v>59734</v>
      </c>
      <c r="K1654" s="106">
        <v>0</v>
      </c>
      <c r="L1654" s="106">
        <v>0</v>
      </c>
      <c r="M1654" s="106">
        <v>0</v>
      </c>
      <c r="N1654" s="106">
        <v>59734</v>
      </c>
    </row>
    <row r="1655" spans="1:14" ht="31" outlineLevel="2" x14ac:dyDescent="0.35">
      <c r="A1655" s="77" t="s">
        <v>493</v>
      </c>
      <c r="B1655" s="108" t="s">
        <v>219</v>
      </c>
      <c r="C1655" s="106">
        <v>396673</v>
      </c>
      <c r="D1655" s="106">
        <v>-160</v>
      </c>
      <c r="E1655" s="106">
        <v>0</v>
      </c>
      <c r="F1655" s="106">
        <v>0</v>
      </c>
      <c r="G1655" s="106">
        <v>0</v>
      </c>
      <c r="H1655" s="106">
        <v>396513</v>
      </c>
      <c r="I1655" s="106">
        <v>-31957</v>
      </c>
      <c r="J1655" s="106">
        <v>364556</v>
      </c>
      <c r="K1655" s="106">
        <v>0</v>
      </c>
      <c r="L1655" s="106">
        <v>0</v>
      </c>
      <c r="M1655" s="106">
        <v>0</v>
      </c>
      <c r="N1655" s="106">
        <v>364556</v>
      </c>
    </row>
    <row r="1656" spans="1:14" ht="31" outlineLevel="2" x14ac:dyDescent="0.35">
      <c r="A1656" s="77" t="s">
        <v>493</v>
      </c>
      <c r="B1656" s="108" t="s">
        <v>218</v>
      </c>
      <c r="C1656" s="106">
        <v>479001</v>
      </c>
      <c r="D1656" s="106">
        <v>-103</v>
      </c>
      <c r="E1656" s="106">
        <v>0</v>
      </c>
      <c r="F1656" s="106">
        <v>0</v>
      </c>
      <c r="G1656" s="106">
        <v>0</v>
      </c>
      <c r="H1656" s="106">
        <v>478898</v>
      </c>
      <c r="I1656" s="106">
        <v>-117893</v>
      </c>
      <c r="J1656" s="106">
        <v>361005</v>
      </c>
      <c r="K1656" s="106">
        <v>0</v>
      </c>
      <c r="L1656" s="106">
        <v>0</v>
      </c>
      <c r="M1656" s="106">
        <v>0</v>
      </c>
      <c r="N1656" s="106">
        <v>361005</v>
      </c>
    </row>
    <row r="1657" spans="1:14" ht="31" outlineLevel="2" x14ac:dyDescent="0.35">
      <c r="A1657" s="77" t="s">
        <v>493</v>
      </c>
      <c r="B1657" s="108" t="s">
        <v>209</v>
      </c>
      <c r="C1657" s="106">
        <v>901863</v>
      </c>
      <c r="D1657" s="106">
        <v>0</v>
      </c>
      <c r="E1657" s="106">
        <v>0</v>
      </c>
      <c r="F1657" s="106">
        <v>0</v>
      </c>
      <c r="G1657" s="106">
        <v>0</v>
      </c>
      <c r="H1657" s="106">
        <v>901863</v>
      </c>
      <c r="I1657" s="106">
        <v>-389941</v>
      </c>
      <c r="J1657" s="106">
        <v>511922</v>
      </c>
      <c r="K1657" s="106">
        <v>0</v>
      </c>
      <c r="L1657" s="106">
        <v>0</v>
      </c>
      <c r="M1657" s="106">
        <v>0</v>
      </c>
      <c r="N1657" s="106">
        <v>511922</v>
      </c>
    </row>
    <row r="1658" spans="1:14" ht="31" outlineLevel="2" x14ac:dyDescent="0.35">
      <c r="A1658" s="77" t="s">
        <v>493</v>
      </c>
      <c r="B1658" s="108" t="s">
        <v>208</v>
      </c>
      <c r="C1658" s="106">
        <v>2686113</v>
      </c>
      <c r="D1658" s="106">
        <v>-2925</v>
      </c>
      <c r="E1658" s="106">
        <v>0</v>
      </c>
      <c r="F1658" s="106">
        <v>0</v>
      </c>
      <c r="G1658" s="106">
        <v>0</v>
      </c>
      <c r="H1658" s="106">
        <v>2683188</v>
      </c>
      <c r="I1658" s="106">
        <v>-1665935</v>
      </c>
      <c r="J1658" s="106">
        <v>1017253</v>
      </c>
      <c r="K1658" s="106">
        <v>0</v>
      </c>
      <c r="L1658" s="106">
        <v>0</v>
      </c>
      <c r="M1658" s="106">
        <v>0</v>
      </c>
      <c r="N1658" s="106">
        <v>1017253</v>
      </c>
    </row>
    <row r="1659" spans="1:14" ht="31" outlineLevel="2" x14ac:dyDescent="0.35">
      <c r="A1659" s="77" t="s">
        <v>493</v>
      </c>
      <c r="B1659" s="108" t="s">
        <v>206</v>
      </c>
      <c r="C1659" s="106">
        <v>3280732</v>
      </c>
      <c r="D1659" s="106">
        <v>-16407</v>
      </c>
      <c r="E1659" s="106">
        <v>0</v>
      </c>
      <c r="F1659" s="106">
        <v>0</v>
      </c>
      <c r="G1659" s="106">
        <v>0</v>
      </c>
      <c r="H1659" s="106">
        <v>3264325</v>
      </c>
      <c r="I1659" s="106">
        <v>-2074791</v>
      </c>
      <c r="J1659" s="106">
        <v>1189534</v>
      </c>
      <c r="K1659" s="106">
        <v>0</v>
      </c>
      <c r="L1659" s="106">
        <v>0</v>
      </c>
      <c r="M1659" s="106">
        <v>0</v>
      </c>
      <c r="N1659" s="106">
        <v>1189534</v>
      </c>
    </row>
    <row r="1660" spans="1:14" ht="31" outlineLevel="2" x14ac:dyDescent="0.35">
      <c r="A1660" s="77" t="s">
        <v>493</v>
      </c>
      <c r="B1660" s="108" t="s">
        <v>205</v>
      </c>
      <c r="C1660" s="106">
        <v>3514004</v>
      </c>
      <c r="D1660" s="106">
        <v>-52169</v>
      </c>
      <c r="E1660" s="106">
        <v>0</v>
      </c>
      <c r="F1660" s="106">
        <v>0</v>
      </c>
      <c r="G1660" s="106">
        <v>0</v>
      </c>
      <c r="H1660" s="106">
        <v>3461835</v>
      </c>
      <c r="I1660" s="106">
        <v>-3265219</v>
      </c>
      <c r="J1660" s="106">
        <v>196616</v>
      </c>
      <c r="K1660" s="106">
        <v>0</v>
      </c>
      <c r="L1660" s="106">
        <v>0</v>
      </c>
      <c r="M1660" s="106">
        <v>0</v>
      </c>
      <c r="N1660" s="106">
        <v>196616</v>
      </c>
    </row>
    <row r="1661" spans="1:14" ht="31" outlineLevel="2" x14ac:dyDescent="0.35">
      <c r="A1661" s="77" t="s">
        <v>493</v>
      </c>
      <c r="B1661" s="108" t="s">
        <v>204</v>
      </c>
      <c r="C1661" s="106">
        <v>3384315</v>
      </c>
      <c r="D1661" s="106">
        <v>-14647</v>
      </c>
      <c r="E1661" s="106">
        <v>0</v>
      </c>
      <c r="F1661" s="106">
        <v>0</v>
      </c>
      <c r="G1661" s="106">
        <v>0</v>
      </c>
      <c r="H1661" s="106">
        <v>3369668</v>
      </c>
      <c r="I1661" s="106">
        <v>-2647678</v>
      </c>
      <c r="J1661" s="106">
        <v>721990</v>
      </c>
      <c r="K1661" s="106">
        <v>0</v>
      </c>
      <c r="L1661" s="106">
        <v>0</v>
      </c>
      <c r="M1661" s="106">
        <v>0</v>
      </c>
      <c r="N1661" s="106">
        <v>721990</v>
      </c>
    </row>
    <row r="1662" spans="1:14" ht="31" outlineLevel="2" x14ac:dyDescent="0.35">
      <c r="A1662" s="77" t="s">
        <v>493</v>
      </c>
      <c r="B1662" s="108" t="s">
        <v>203</v>
      </c>
      <c r="C1662" s="106">
        <v>3273723</v>
      </c>
      <c r="D1662" s="106">
        <v>-21605</v>
      </c>
      <c r="E1662" s="106">
        <v>0</v>
      </c>
      <c r="F1662" s="106">
        <v>0</v>
      </c>
      <c r="G1662" s="106">
        <v>0</v>
      </c>
      <c r="H1662" s="106">
        <v>3252118</v>
      </c>
      <c r="I1662" s="106">
        <v>-2699148</v>
      </c>
      <c r="J1662" s="106">
        <v>552970</v>
      </c>
      <c r="K1662" s="106">
        <v>1</v>
      </c>
      <c r="L1662" s="106">
        <v>0</v>
      </c>
      <c r="M1662" s="106">
        <v>1</v>
      </c>
      <c r="N1662" s="106">
        <v>552969</v>
      </c>
    </row>
    <row r="1663" spans="1:14" ht="31" outlineLevel="2" x14ac:dyDescent="0.35">
      <c r="A1663" s="77" t="s">
        <v>493</v>
      </c>
      <c r="B1663" s="108" t="s">
        <v>202</v>
      </c>
      <c r="C1663" s="106">
        <v>2785304</v>
      </c>
      <c r="D1663" s="106">
        <v>-26041</v>
      </c>
      <c r="E1663" s="106">
        <v>0</v>
      </c>
      <c r="F1663" s="106">
        <v>0</v>
      </c>
      <c r="G1663" s="106">
        <v>0</v>
      </c>
      <c r="H1663" s="106">
        <v>2759263</v>
      </c>
      <c r="I1663" s="106">
        <v>-2425375</v>
      </c>
      <c r="J1663" s="106">
        <v>333888</v>
      </c>
      <c r="K1663" s="106">
        <v>42825</v>
      </c>
      <c r="L1663" s="106">
        <v>-40423</v>
      </c>
      <c r="M1663" s="106">
        <v>2402</v>
      </c>
      <c r="N1663" s="106">
        <v>331486</v>
      </c>
    </row>
    <row r="1664" spans="1:14" ht="31" outlineLevel="2" x14ac:dyDescent="0.35">
      <c r="A1664" s="77" t="s">
        <v>493</v>
      </c>
      <c r="B1664" s="108" t="s">
        <v>201</v>
      </c>
      <c r="C1664" s="106">
        <v>2162747</v>
      </c>
      <c r="D1664" s="106">
        <v>-14345</v>
      </c>
      <c r="E1664" s="106">
        <v>0</v>
      </c>
      <c r="F1664" s="106">
        <v>0</v>
      </c>
      <c r="G1664" s="106">
        <v>0</v>
      </c>
      <c r="H1664" s="106">
        <v>2148402</v>
      </c>
      <c r="I1664" s="106">
        <v>-2148402</v>
      </c>
      <c r="J1664" s="106">
        <v>0</v>
      </c>
      <c r="K1664" s="106">
        <v>0</v>
      </c>
      <c r="L1664" s="106">
        <v>0</v>
      </c>
      <c r="M1664" s="106">
        <v>0</v>
      </c>
      <c r="N1664" s="106">
        <v>0</v>
      </c>
    </row>
    <row r="1665" spans="1:14" ht="16" outlineLevel="1" thickBot="1" x14ac:dyDescent="0.4">
      <c r="A1665" s="105" t="s">
        <v>371</v>
      </c>
      <c r="B1665" s="79" t="s">
        <v>12</v>
      </c>
      <c r="C1665" s="103">
        <f>SUBTOTAL(109,Program258[(C)
Program
Costs])</f>
        <v>23117527</v>
      </c>
      <c r="D1665" s="103">
        <f>SUBTOTAL(109,Program258[(D)
Prior Period Adjustments])</f>
        <v>-149500</v>
      </c>
      <c r="E1665" s="103">
        <f>SUBTOTAL(109,Program258[(E)
Current Period Desk 
Reviews])</f>
        <v>0</v>
      </c>
      <c r="F1665" s="103">
        <f>SUBTOTAL(109,Program258[(F)
Current Period 
Final 
Audits])</f>
        <v>0</v>
      </c>
      <c r="G1665" s="103">
        <f>SUBTOTAL(109,Program258[(G)
Current Period 
Other Adjustments])</f>
        <v>0</v>
      </c>
      <c r="H1665" s="103">
        <f>SUBTOTAL(109,Program258[(H)
Net Program Costs
Sum (C through G)])</f>
        <v>22968027</v>
      </c>
      <c r="I1665" s="103">
        <f>SUBTOTAL(109,Program258[(I)
Payments
 and Offsets])</f>
        <v>-17479071</v>
      </c>
      <c r="J1665" s="103">
        <f>SUBTOTAL(109,Program258[(J)
Accounts Payable Balance
(H + I)])</f>
        <v>5488956</v>
      </c>
      <c r="K1665" s="103">
        <f>SUBTOTAL(109,Program258[(K)
Established 
Accounts Receivable])</f>
        <v>42826</v>
      </c>
      <c r="L1665" s="103">
        <f>SUBTOTAL(109,Program258[(L)
Recovered
 Accounts Receivable])</f>
        <v>-40423</v>
      </c>
      <c r="M1665" s="103">
        <f>SUBTOTAL(109,Program258[(M)
Accounts Receivable Balance
(K + L)])</f>
        <v>2403</v>
      </c>
      <c r="N1665" s="103">
        <f>SUBTOTAL(109,Program258[(N)
Net Balance
(J minus M)])</f>
        <v>5486553</v>
      </c>
    </row>
    <row r="1666" spans="1:14" ht="15.65" customHeight="1" outlineLevel="1" x14ac:dyDescent="0.35">
      <c r="A1666" s="116" t="s">
        <v>33</v>
      </c>
      <c r="B1666" s="115"/>
      <c r="C1666" s="114"/>
      <c r="D1666" s="114"/>
      <c r="E1666" s="114"/>
      <c r="F1666" s="114"/>
      <c r="G1666" s="114"/>
      <c r="H1666" s="114"/>
      <c r="I1666" s="114"/>
      <c r="J1666" s="114"/>
      <c r="K1666" s="114"/>
      <c r="L1666" s="114"/>
      <c r="M1666" s="114"/>
      <c r="N1666" s="114"/>
    </row>
    <row r="1667" spans="1:14" ht="78.75" customHeight="1" outlineLevel="1" x14ac:dyDescent="0.35">
      <c r="A1667" s="113" t="s">
        <v>185</v>
      </c>
      <c r="B1667" s="112" t="s">
        <v>184</v>
      </c>
      <c r="C1667" s="111" t="s">
        <v>183</v>
      </c>
      <c r="D1667" s="111" t="s">
        <v>182</v>
      </c>
      <c r="E1667" s="111" t="s">
        <v>181</v>
      </c>
      <c r="F1667" s="111" t="s">
        <v>180</v>
      </c>
      <c r="G1667" s="111" t="s">
        <v>179</v>
      </c>
      <c r="H1667" s="110" t="s">
        <v>674</v>
      </c>
      <c r="I1667" s="110" t="s">
        <v>178</v>
      </c>
      <c r="J1667" s="110" t="s">
        <v>177</v>
      </c>
      <c r="K1667" s="111" t="s">
        <v>176</v>
      </c>
      <c r="L1667" s="110" t="s">
        <v>175</v>
      </c>
      <c r="M1667" s="110" t="s">
        <v>174</v>
      </c>
      <c r="N1667" s="109" t="s">
        <v>173</v>
      </c>
    </row>
    <row r="1668" spans="1:14" ht="31" outlineLevel="2" x14ac:dyDescent="0.35">
      <c r="A1668" s="77" t="s">
        <v>492</v>
      </c>
      <c r="B1668" s="108" t="s">
        <v>198</v>
      </c>
      <c r="C1668" s="106">
        <v>774664</v>
      </c>
      <c r="D1668" s="106">
        <v>0</v>
      </c>
      <c r="E1668" s="106">
        <v>0</v>
      </c>
      <c r="F1668" s="106">
        <v>0</v>
      </c>
      <c r="G1668" s="106">
        <v>0</v>
      </c>
      <c r="H1668" s="106">
        <v>774664</v>
      </c>
      <c r="I1668" s="106">
        <v>-774664</v>
      </c>
      <c r="J1668" s="106">
        <v>0</v>
      </c>
      <c r="K1668" s="106">
        <v>0</v>
      </c>
      <c r="L1668" s="106">
        <v>0</v>
      </c>
      <c r="M1668" s="106">
        <v>0</v>
      </c>
      <c r="N1668" s="106">
        <v>0</v>
      </c>
    </row>
    <row r="1669" spans="1:14" ht="31" outlineLevel="2" x14ac:dyDescent="0.35">
      <c r="A1669" s="77" t="s">
        <v>492</v>
      </c>
      <c r="B1669" s="108" t="s">
        <v>197</v>
      </c>
      <c r="C1669" s="106">
        <v>6435545</v>
      </c>
      <c r="D1669" s="106">
        <v>-637962</v>
      </c>
      <c r="E1669" s="106">
        <v>0</v>
      </c>
      <c r="F1669" s="106">
        <v>0</v>
      </c>
      <c r="G1669" s="106">
        <v>0</v>
      </c>
      <c r="H1669" s="106">
        <v>5797583</v>
      </c>
      <c r="I1669" s="106">
        <v>-5797583</v>
      </c>
      <c r="J1669" s="106">
        <v>0</v>
      </c>
      <c r="K1669" s="106">
        <v>3639998</v>
      </c>
      <c r="L1669" s="106">
        <v>-3571501</v>
      </c>
      <c r="M1669" s="106">
        <v>68497</v>
      </c>
      <c r="N1669" s="106">
        <v>-68497</v>
      </c>
    </row>
    <row r="1670" spans="1:14" ht="31" outlineLevel="2" x14ac:dyDescent="0.35">
      <c r="A1670" s="77" t="s">
        <v>492</v>
      </c>
      <c r="B1670" s="108" t="s">
        <v>196</v>
      </c>
      <c r="C1670" s="106">
        <v>6880257</v>
      </c>
      <c r="D1670" s="106">
        <v>-3928670</v>
      </c>
      <c r="E1670" s="106">
        <v>0</v>
      </c>
      <c r="F1670" s="106">
        <v>0</v>
      </c>
      <c r="G1670" s="106">
        <v>0</v>
      </c>
      <c r="H1670" s="106">
        <v>2951587</v>
      </c>
      <c r="I1670" s="106">
        <v>-2951587</v>
      </c>
      <c r="J1670" s="106">
        <v>0</v>
      </c>
      <c r="K1670" s="106">
        <v>4502407</v>
      </c>
      <c r="L1670" s="106">
        <v>-4444654</v>
      </c>
      <c r="M1670" s="106">
        <v>57753</v>
      </c>
      <c r="N1670" s="106">
        <v>-57753</v>
      </c>
    </row>
    <row r="1671" spans="1:14" ht="31" outlineLevel="2" x14ac:dyDescent="0.35">
      <c r="A1671" s="77" t="s">
        <v>492</v>
      </c>
      <c r="B1671" s="108" t="s">
        <v>195</v>
      </c>
      <c r="C1671" s="106">
        <v>6767537</v>
      </c>
      <c r="D1671" s="106">
        <v>-2959332</v>
      </c>
      <c r="E1671" s="106">
        <v>0</v>
      </c>
      <c r="F1671" s="106">
        <v>0</v>
      </c>
      <c r="G1671" s="106">
        <v>0</v>
      </c>
      <c r="H1671" s="106">
        <v>3808205</v>
      </c>
      <c r="I1671" s="106">
        <v>-3808205</v>
      </c>
      <c r="J1671" s="106">
        <v>0</v>
      </c>
      <c r="K1671" s="106">
        <v>1122365</v>
      </c>
      <c r="L1671" s="106">
        <v>-1122365</v>
      </c>
      <c r="M1671" s="106">
        <v>0</v>
      </c>
      <c r="N1671" s="106">
        <v>0</v>
      </c>
    </row>
    <row r="1672" spans="1:14" ht="31" outlineLevel="2" x14ac:dyDescent="0.35">
      <c r="A1672" s="77" t="s">
        <v>492</v>
      </c>
      <c r="B1672" s="108" t="s">
        <v>194</v>
      </c>
      <c r="C1672" s="106">
        <v>9194318</v>
      </c>
      <c r="D1672" s="106">
        <v>-6726617</v>
      </c>
      <c r="E1672" s="106">
        <v>0</v>
      </c>
      <c r="F1672" s="106">
        <v>0</v>
      </c>
      <c r="G1672" s="106">
        <v>0</v>
      </c>
      <c r="H1672" s="106">
        <v>2467701</v>
      </c>
      <c r="I1672" s="106">
        <v>-2467701</v>
      </c>
      <c r="J1672" s="106">
        <v>0</v>
      </c>
      <c r="K1672" s="106">
        <v>682237</v>
      </c>
      <c r="L1672" s="106">
        <v>-682237</v>
      </c>
      <c r="M1672" s="106">
        <v>0</v>
      </c>
      <c r="N1672" s="106">
        <v>0</v>
      </c>
    </row>
    <row r="1673" spans="1:14" ht="31" outlineLevel="1" x14ac:dyDescent="0.35">
      <c r="A1673" s="77" t="s">
        <v>492</v>
      </c>
      <c r="B1673" s="108" t="s">
        <v>193</v>
      </c>
      <c r="C1673" s="106">
        <v>10109255</v>
      </c>
      <c r="D1673" s="106">
        <v>-4184894</v>
      </c>
      <c r="E1673" s="106">
        <v>0</v>
      </c>
      <c r="F1673" s="106">
        <v>0</v>
      </c>
      <c r="G1673" s="106">
        <v>0</v>
      </c>
      <c r="H1673" s="106">
        <v>5924361</v>
      </c>
      <c r="I1673" s="106">
        <v>-5924361</v>
      </c>
      <c r="J1673" s="106">
        <v>0</v>
      </c>
      <c r="K1673" s="106">
        <v>0</v>
      </c>
      <c r="L1673" s="106">
        <v>0</v>
      </c>
      <c r="M1673" s="106">
        <v>0</v>
      </c>
      <c r="N1673" s="106">
        <v>0</v>
      </c>
    </row>
    <row r="1674" spans="1:14" ht="30" customHeight="1" outlineLevel="1" x14ac:dyDescent="0.35">
      <c r="A1674" s="77" t="s">
        <v>492</v>
      </c>
      <c r="B1674" s="108" t="s">
        <v>192</v>
      </c>
      <c r="C1674" s="106">
        <v>9918306</v>
      </c>
      <c r="D1674" s="106">
        <v>-4146090</v>
      </c>
      <c r="E1674" s="106">
        <v>0</v>
      </c>
      <c r="F1674" s="106">
        <v>0</v>
      </c>
      <c r="G1674" s="106">
        <v>0</v>
      </c>
      <c r="H1674" s="106">
        <v>5772216</v>
      </c>
      <c r="I1674" s="106">
        <v>-5772216</v>
      </c>
      <c r="J1674" s="106">
        <v>0</v>
      </c>
      <c r="K1674" s="106">
        <v>136699</v>
      </c>
      <c r="L1674" s="106">
        <v>-136651</v>
      </c>
      <c r="M1674" s="106">
        <v>48</v>
      </c>
      <c r="N1674" s="106">
        <v>-48</v>
      </c>
    </row>
    <row r="1675" spans="1:14" ht="30" customHeight="1" outlineLevel="1" x14ac:dyDescent="0.35">
      <c r="A1675" s="77" t="s">
        <v>492</v>
      </c>
      <c r="B1675" s="108" t="s">
        <v>191</v>
      </c>
      <c r="C1675" s="106">
        <v>8970168</v>
      </c>
      <c r="D1675" s="106">
        <v>-4244159</v>
      </c>
      <c r="E1675" s="106">
        <v>0</v>
      </c>
      <c r="F1675" s="106">
        <v>0</v>
      </c>
      <c r="G1675" s="106">
        <v>0</v>
      </c>
      <c r="H1675" s="106">
        <v>4726009</v>
      </c>
      <c r="I1675" s="106">
        <v>-4726009</v>
      </c>
      <c r="J1675" s="106">
        <v>0</v>
      </c>
      <c r="K1675" s="106">
        <v>86368</v>
      </c>
      <c r="L1675" s="106">
        <v>-86324</v>
      </c>
      <c r="M1675" s="106">
        <v>44</v>
      </c>
      <c r="N1675" s="106">
        <v>-44</v>
      </c>
    </row>
    <row r="1676" spans="1:14" ht="31" outlineLevel="2" x14ac:dyDescent="0.35">
      <c r="A1676" s="77" t="s">
        <v>492</v>
      </c>
      <c r="B1676" s="108" t="s">
        <v>190</v>
      </c>
      <c r="C1676" s="106">
        <v>8008070</v>
      </c>
      <c r="D1676" s="106">
        <v>-3777540</v>
      </c>
      <c r="E1676" s="106">
        <v>0</v>
      </c>
      <c r="F1676" s="106">
        <v>0</v>
      </c>
      <c r="G1676" s="106">
        <v>0</v>
      </c>
      <c r="H1676" s="106">
        <v>4230530</v>
      </c>
      <c r="I1676" s="106">
        <v>-4230530</v>
      </c>
      <c r="J1676" s="106">
        <v>0</v>
      </c>
      <c r="K1676" s="106">
        <v>73525</v>
      </c>
      <c r="L1676" s="106">
        <v>-73477</v>
      </c>
      <c r="M1676" s="106">
        <v>48</v>
      </c>
      <c r="N1676" s="106">
        <v>-48</v>
      </c>
    </row>
    <row r="1677" spans="1:14" ht="31" outlineLevel="2" x14ac:dyDescent="0.35">
      <c r="A1677" s="77" t="s">
        <v>492</v>
      </c>
      <c r="B1677" s="108" t="s">
        <v>189</v>
      </c>
      <c r="C1677" s="106">
        <v>3998365</v>
      </c>
      <c r="D1677" s="106">
        <v>-1813869</v>
      </c>
      <c r="E1677" s="106">
        <v>0</v>
      </c>
      <c r="F1677" s="106">
        <v>0</v>
      </c>
      <c r="G1677" s="106">
        <v>0</v>
      </c>
      <c r="H1677" s="106">
        <v>2184496</v>
      </c>
      <c r="I1677" s="106">
        <v>-2184496</v>
      </c>
      <c r="J1677" s="106">
        <v>0</v>
      </c>
      <c r="K1677" s="106">
        <v>32867</v>
      </c>
      <c r="L1677" s="106">
        <v>-32835</v>
      </c>
      <c r="M1677" s="106">
        <v>32</v>
      </c>
      <c r="N1677" s="106">
        <v>-32</v>
      </c>
    </row>
    <row r="1678" spans="1:14" ht="16" outlineLevel="2" thickBot="1" x14ac:dyDescent="0.4">
      <c r="A1678" s="105" t="s">
        <v>370</v>
      </c>
      <c r="B1678" s="79" t="s">
        <v>12</v>
      </c>
      <c r="C1678" s="103">
        <f>SUBTOTAL(109,Program156[(C)
Program
Costs])</f>
        <v>71056485</v>
      </c>
      <c r="D1678" s="103">
        <f>SUBTOTAL(109,Program156[(D)
Prior Period Adjustments])</f>
        <v>-32419133</v>
      </c>
      <c r="E1678" s="103">
        <f>SUBTOTAL(109,Program156[(E)
Current Period Desk 
Reviews])</f>
        <v>0</v>
      </c>
      <c r="F1678" s="103">
        <f>SUBTOTAL(109,Program156[(F)
Current Period 
Final 
Audits])</f>
        <v>0</v>
      </c>
      <c r="G1678" s="103">
        <f>SUBTOTAL(109,Program156[(G)
Current Period 
Other Adjustments])</f>
        <v>0</v>
      </c>
      <c r="H1678" s="103">
        <f>SUBTOTAL(109,Program156[(H)
Net Program Costs
Sum (C through G)])</f>
        <v>38637352</v>
      </c>
      <c r="I1678" s="103">
        <f>SUBTOTAL(109,Program156[(I)
Payments
 and Offsets])</f>
        <v>-38637352</v>
      </c>
      <c r="J1678" s="103">
        <f>SUBTOTAL(109,Program156[(J)
Accounts Payable Balance
(H + I)])</f>
        <v>0</v>
      </c>
      <c r="K1678" s="103">
        <f>SUBTOTAL(109,Program156[(K)
Established 
Accounts Receivable])</f>
        <v>10276466</v>
      </c>
      <c r="L1678" s="103">
        <f>SUBTOTAL(109,Program156[(L)
Recovered
 Accounts Receivable])</f>
        <v>-10150044</v>
      </c>
      <c r="M1678" s="103">
        <f>SUBTOTAL(109,Program156[(M)
Accounts Receivable Balance
(K + L)])</f>
        <v>126422</v>
      </c>
      <c r="N1678" s="103">
        <f>SUBTOTAL(109,Program156[(N)
Net Balance
(J minus M)])</f>
        <v>-126422</v>
      </c>
    </row>
    <row r="1679" spans="1:14" outlineLevel="2" x14ac:dyDescent="0.35">
      <c r="A1679" s="116" t="s">
        <v>33</v>
      </c>
      <c r="B1679" s="115"/>
      <c r="C1679" s="114"/>
      <c r="D1679" s="114"/>
      <c r="E1679" s="114"/>
      <c r="F1679" s="114"/>
      <c r="G1679" s="114"/>
      <c r="H1679" s="114"/>
      <c r="I1679" s="114"/>
      <c r="J1679" s="114"/>
      <c r="K1679" s="114"/>
      <c r="L1679" s="114"/>
      <c r="M1679" s="114"/>
      <c r="N1679" s="114"/>
    </row>
    <row r="1680" spans="1:14" ht="77.5" outlineLevel="2" x14ac:dyDescent="0.35">
      <c r="A1680" s="113" t="s">
        <v>185</v>
      </c>
      <c r="B1680" s="112" t="s">
        <v>184</v>
      </c>
      <c r="C1680" s="111" t="s">
        <v>183</v>
      </c>
      <c r="D1680" s="111" t="s">
        <v>182</v>
      </c>
      <c r="E1680" s="111" t="s">
        <v>181</v>
      </c>
      <c r="F1680" s="111" t="s">
        <v>180</v>
      </c>
      <c r="G1680" s="111" t="s">
        <v>179</v>
      </c>
      <c r="H1680" s="110" t="s">
        <v>674</v>
      </c>
      <c r="I1680" s="110" t="s">
        <v>178</v>
      </c>
      <c r="J1680" s="110" t="s">
        <v>177</v>
      </c>
      <c r="K1680" s="111" t="s">
        <v>176</v>
      </c>
      <c r="L1680" s="110" t="s">
        <v>175</v>
      </c>
      <c r="M1680" s="110" t="s">
        <v>174</v>
      </c>
      <c r="N1680" s="109" t="s">
        <v>173</v>
      </c>
    </row>
    <row r="1681" spans="1:14" outlineLevel="1" x14ac:dyDescent="0.35">
      <c r="A1681" s="108" t="s">
        <v>491</v>
      </c>
      <c r="B1681" s="108" t="s">
        <v>219</v>
      </c>
      <c r="C1681" s="106">
        <v>17098</v>
      </c>
      <c r="D1681" s="106">
        <v>0</v>
      </c>
      <c r="E1681" s="106">
        <v>0</v>
      </c>
      <c r="F1681" s="106">
        <v>0</v>
      </c>
      <c r="G1681" s="106">
        <v>0</v>
      </c>
      <c r="H1681" s="106">
        <v>17098</v>
      </c>
      <c r="I1681" s="106">
        <v>-1000</v>
      </c>
      <c r="J1681" s="106">
        <v>16098</v>
      </c>
      <c r="K1681" s="106">
        <v>0</v>
      </c>
      <c r="L1681" s="106">
        <v>0</v>
      </c>
      <c r="M1681" s="106">
        <v>0</v>
      </c>
      <c r="N1681" s="106">
        <v>16098</v>
      </c>
    </row>
    <row r="1682" spans="1:14" ht="15.65" customHeight="1" outlineLevel="1" x14ac:dyDescent="0.35">
      <c r="A1682" s="108" t="s">
        <v>491</v>
      </c>
      <c r="B1682" s="108" t="s">
        <v>218</v>
      </c>
      <c r="C1682" s="106">
        <v>51918</v>
      </c>
      <c r="D1682" s="106">
        <v>0</v>
      </c>
      <c r="E1682" s="106">
        <v>0</v>
      </c>
      <c r="F1682" s="106">
        <v>0</v>
      </c>
      <c r="G1682" s="106">
        <v>0</v>
      </c>
      <c r="H1682" s="106">
        <v>51918</v>
      </c>
      <c r="I1682" s="106">
        <v>-1000</v>
      </c>
      <c r="J1682" s="106">
        <v>50918</v>
      </c>
      <c r="K1682" s="106">
        <v>0</v>
      </c>
      <c r="L1682" s="106">
        <v>0</v>
      </c>
      <c r="M1682" s="106">
        <v>0</v>
      </c>
      <c r="N1682" s="106">
        <v>50918</v>
      </c>
    </row>
    <row r="1683" spans="1:14" ht="15.5" customHeight="1" outlineLevel="1" x14ac:dyDescent="0.35">
      <c r="A1683" s="108" t="s">
        <v>491</v>
      </c>
      <c r="B1683" s="108" t="s">
        <v>206</v>
      </c>
      <c r="C1683" s="106">
        <v>7405</v>
      </c>
      <c r="D1683" s="106">
        <v>0</v>
      </c>
      <c r="E1683" s="106">
        <v>0</v>
      </c>
      <c r="F1683" s="106">
        <v>0</v>
      </c>
      <c r="G1683" s="106">
        <v>0</v>
      </c>
      <c r="H1683" s="106">
        <v>7405</v>
      </c>
      <c r="I1683" s="106">
        <v>-3652</v>
      </c>
      <c r="J1683" s="106">
        <v>3753</v>
      </c>
      <c r="K1683" s="106">
        <v>0</v>
      </c>
      <c r="L1683" s="106">
        <v>0</v>
      </c>
      <c r="M1683" s="106">
        <v>0</v>
      </c>
      <c r="N1683" s="106">
        <v>3753</v>
      </c>
    </row>
    <row r="1684" spans="1:14" outlineLevel="2" x14ac:dyDescent="0.35">
      <c r="A1684" s="108" t="s">
        <v>491</v>
      </c>
      <c r="B1684" s="108" t="s">
        <v>205</v>
      </c>
      <c r="C1684" s="106">
        <v>1019</v>
      </c>
      <c r="D1684" s="106">
        <v>0</v>
      </c>
      <c r="E1684" s="106">
        <v>0</v>
      </c>
      <c r="F1684" s="106">
        <v>0</v>
      </c>
      <c r="G1684" s="106">
        <v>0</v>
      </c>
      <c r="H1684" s="106">
        <v>1019</v>
      </c>
      <c r="I1684" s="106">
        <v>-1019</v>
      </c>
      <c r="J1684" s="106">
        <v>0</v>
      </c>
      <c r="K1684" s="106">
        <v>0</v>
      </c>
      <c r="L1684" s="106">
        <v>0</v>
      </c>
      <c r="M1684" s="106">
        <v>0</v>
      </c>
      <c r="N1684" s="106">
        <v>0</v>
      </c>
    </row>
    <row r="1685" spans="1:14" outlineLevel="2" x14ac:dyDescent="0.35">
      <c r="A1685" s="108" t="s">
        <v>491</v>
      </c>
      <c r="B1685" s="108" t="s">
        <v>203</v>
      </c>
      <c r="C1685" s="106">
        <v>47447</v>
      </c>
      <c r="D1685" s="106">
        <v>0</v>
      </c>
      <c r="E1685" s="106">
        <v>0</v>
      </c>
      <c r="F1685" s="106">
        <v>0</v>
      </c>
      <c r="G1685" s="106">
        <v>0</v>
      </c>
      <c r="H1685" s="106">
        <v>47447</v>
      </c>
      <c r="I1685" s="106">
        <v>-12735</v>
      </c>
      <c r="J1685" s="106">
        <v>34712</v>
      </c>
      <c r="K1685" s="106">
        <v>0</v>
      </c>
      <c r="L1685" s="106">
        <v>0</v>
      </c>
      <c r="M1685" s="106">
        <v>0</v>
      </c>
      <c r="N1685" s="106">
        <v>34712</v>
      </c>
    </row>
    <row r="1686" spans="1:14" outlineLevel="2" x14ac:dyDescent="0.35">
      <c r="A1686" s="108" t="s">
        <v>491</v>
      </c>
      <c r="B1686" s="108" t="s">
        <v>202</v>
      </c>
      <c r="C1686" s="106">
        <v>14952</v>
      </c>
      <c r="D1686" s="106">
        <v>0</v>
      </c>
      <c r="E1686" s="106">
        <v>0</v>
      </c>
      <c r="F1686" s="106">
        <v>0</v>
      </c>
      <c r="G1686" s="106">
        <v>0</v>
      </c>
      <c r="H1686" s="106">
        <v>14952</v>
      </c>
      <c r="I1686" s="106">
        <v>-6939</v>
      </c>
      <c r="J1686" s="106">
        <v>8013</v>
      </c>
      <c r="K1686" s="106">
        <v>0</v>
      </c>
      <c r="L1686" s="106">
        <v>0</v>
      </c>
      <c r="M1686" s="106">
        <v>0</v>
      </c>
      <c r="N1686" s="106">
        <v>8013</v>
      </c>
    </row>
    <row r="1687" spans="1:14" outlineLevel="2" x14ac:dyDescent="0.35">
      <c r="A1687" s="108" t="s">
        <v>491</v>
      </c>
      <c r="B1687" s="108" t="s">
        <v>200</v>
      </c>
      <c r="C1687" s="106">
        <v>1731</v>
      </c>
      <c r="D1687" s="106">
        <v>0</v>
      </c>
      <c r="E1687" s="106">
        <v>0</v>
      </c>
      <c r="F1687" s="106">
        <v>0</v>
      </c>
      <c r="G1687" s="106">
        <v>0</v>
      </c>
      <c r="H1687" s="106">
        <v>1731</v>
      </c>
      <c r="I1687" s="106">
        <v>-1731</v>
      </c>
      <c r="J1687" s="106">
        <v>0</v>
      </c>
      <c r="K1687" s="106">
        <v>0</v>
      </c>
      <c r="L1687" s="106">
        <v>0</v>
      </c>
      <c r="M1687" s="106">
        <v>0</v>
      </c>
      <c r="N1687" s="106">
        <v>0</v>
      </c>
    </row>
    <row r="1688" spans="1:14" ht="16" outlineLevel="2" thickBot="1" x14ac:dyDescent="0.4">
      <c r="A1688" s="105" t="s">
        <v>369</v>
      </c>
      <c r="B1688" s="79" t="s">
        <v>12</v>
      </c>
      <c r="C1688" s="103">
        <f>SUBTOTAL(109,Program228[(C)
Program
Costs])</f>
        <v>141570</v>
      </c>
      <c r="D1688" s="103">
        <f>SUBTOTAL(109,Program228[(D)
Prior Period Adjustments])</f>
        <v>0</v>
      </c>
      <c r="E1688" s="103">
        <f>SUBTOTAL(109,Program228[(E)
Current Period Desk 
Reviews])</f>
        <v>0</v>
      </c>
      <c r="F1688" s="103">
        <f>SUBTOTAL(109,Program228[(F)
Current Period 
Final 
Audits])</f>
        <v>0</v>
      </c>
      <c r="G1688" s="103">
        <f>SUBTOTAL(109,Program228[(G)
Current Period 
Other Adjustments])</f>
        <v>0</v>
      </c>
      <c r="H1688" s="103">
        <f>SUBTOTAL(109,Program228[(H)
Net Program Costs
Sum (C through G)])</f>
        <v>141570</v>
      </c>
      <c r="I1688" s="103">
        <f>SUBTOTAL(109,Program228[(I)
Payments
 and Offsets])</f>
        <v>-28076</v>
      </c>
      <c r="J1688" s="103">
        <f>SUBTOTAL(109,Program228[(J)
Accounts Payable Balance
(H + I)])</f>
        <v>113494</v>
      </c>
      <c r="K1688" s="103">
        <f>SUBTOTAL(109,Program228[(K)
Established 
Accounts Receivable])</f>
        <v>0</v>
      </c>
      <c r="L1688" s="103">
        <f>SUBTOTAL(109,Program228[(L)
Recovered
 Accounts Receivable])</f>
        <v>0</v>
      </c>
      <c r="M1688" s="103">
        <f>SUBTOTAL(109,Program228[(M)
Accounts Receivable Balance
(K + L)])</f>
        <v>0</v>
      </c>
      <c r="N1688" s="103">
        <f>SUBTOTAL(109,Program228[(N)
Net Balance
(J minus M)])</f>
        <v>113494</v>
      </c>
    </row>
    <row r="1689" spans="1:14" outlineLevel="2" x14ac:dyDescent="0.35">
      <c r="A1689" s="116" t="s">
        <v>33</v>
      </c>
      <c r="B1689" s="115"/>
      <c r="C1689" s="114"/>
      <c r="D1689" s="114"/>
      <c r="E1689" s="114"/>
      <c r="F1689" s="114"/>
      <c r="G1689" s="114"/>
      <c r="H1689" s="114"/>
      <c r="I1689" s="114"/>
      <c r="J1689" s="114"/>
      <c r="K1689" s="114"/>
      <c r="L1689" s="114"/>
      <c r="M1689" s="114"/>
      <c r="N1689" s="114"/>
    </row>
    <row r="1690" spans="1:14" ht="77.5" outlineLevel="2" x14ac:dyDescent="0.35">
      <c r="A1690" s="113" t="s">
        <v>185</v>
      </c>
      <c r="B1690" s="112" t="s">
        <v>184</v>
      </c>
      <c r="C1690" s="111" t="s">
        <v>183</v>
      </c>
      <c r="D1690" s="111" t="s">
        <v>182</v>
      </c>
      <c r="E1690" s="111" t="s">
        <v>181</v>
      </c>
      <c r="F1690" s="111" t="s">
        <v>180</v>
      </c>
      <c r="G1690" s="111" t="s">
        <v>179</v>
      </c>
      <c r="H1690" s="110" t="s">
        <v>674</v>
      </c>
      <c r="I1690" s="110" t="s">
        <v>178</v>
      </c>
      <c r="J1690" s="110" t="s">
        <v>177</v>
      </c>
      <c r="K1690" s="111" t="s">
        <v>176</v>
      </c>
      <c r="L1690" s="110" t="s">
        <v>175</v>
      </c>
      <c r="M1690" s="110" t="s">
        <v>174</v>
      </c>
      <c r="N1690" s="109" t="s">
        <v>173</v>
      </c>
    </row>
    <row r="1691" spans="1:14" outlineLevel="2" x14ac:dyDescent="0.35">
      <c r="A1691" s="108" t="s">
        <v>490</v>
      </c>
      <c r="B1691" s="108" t="s">
        <v>191</v>
      </c>
      <c r="C1691" s="106">
        <v>571046</v>
      </c>
      <c r="D1691" s="106">
        <v>-8120</v>
      </c>
      <c r="E1691" s="106">
        <v>0</v>
      </c>
      <c r="F1691" s="106">
        <v>0</v>
      </c>
      <c r="G1691" s="106">
        <v>0</v>
      </c>
      <c r="H1691" s="106">
        <v>562926</v>
      </c>
      <c r="I1691" s="106">
        <v>-562926</v>
      </c>
      <c r="J1691" s="106">
        <v>0</v>
      </c>
      <c r="K1691" s="106">
        <v>219834</v>
      </c>
      <c r="L1691" s="106">
        <v>-219565</v>
      </c>
      <c r="M1691" s="106">
        <v>269</v>
      </c>
      <c r="N1691" s="106">
        <v>-269</v>
      </c>
    </row>
    <row r="1692" spans="1:14" outlineLevel="2" x14ac:dyDescent="0.35">
      <c r="A1692" s="108" t="s">
        <v>490</v>
      </c>
      <c r="B1692" s="108" t="s">
        <v>190</v>
      </c>
      <c r="C1692" s="106">
        <v>703847</v>
      </c>
      <c r="D1692" s="106">
        <v>-187655</v>
      </c>
      <c r="E1692" s="106">
        <v>0</v>
      </c>
      <c r="F1692" s="106">
        <v>0</v>
      </c>
      <c r="G1692" s="106">
        <v>0</v>
      </c>
      <c r="H1692" s="106">
        <v>516192</v>
      </c>
      <c r="I1692" s="106">
        <v>-516192</v>
      </c>
      <c r="J1692" s="106">
        <v>0</v>
      </c>
      <c r="K1692" s="106">
        <v>44864</v>
      </c>
      <c r="L1692" s="106">
        <v>-44864</v>
      </c>
      <c r="M1692" s="106">
        <v>0</v>
      </c>
      <c r="N1692" s="106">
        <v>0</v>
      </c>
    </row>
    <row r="1693" spans="1:14" outlineLevel="2" x14ac:dyDescent="0.35">
      <c r="A1693" s="108" t="s">
        <v>490</v>
      </c>
      <c r="B1693" s="108" t="s">
        <v>189</v>
      </c>
      <c r="C1693" s="106">
        <v>700102</v>
      </c>
      <c r="D1693" s="106">
        <v>-143901</v>
      </c>
      <c r="E1693" s="106">
        <v>0</v>
      </c>
      <c r="F1693" s="106">
        <v>0</v>
      </c>
      <c r="G1693" s="106">
        <v>0</v>
      </c>
      <c r="H1693" s="106">
        <v>556201</v>
      </c>
      <c r="I1693" s="106">
        <v>-556201</v>
      </c>
      <c r="J1693" s="106">
        <v>0</v>
      </c>
      <c r="K1693" s="106">
        <v>31045</v>
      </c>
      <c r="L1693" s="106">
        <v>-31045</v>
      </c>
      <c r="M1693" s="106">
        <v>0</v>
      </c>
      <c r="N1693" s="106">
        <v>0</v>
      </c>
    </row>
    <row r="1694" spans="1:14" outlineLevel="2" x14ac:dyDescent="0.35">
      <c r="A1694" s="108" t="s">
        <v>490</v>
      </c>
      <c r="B1694" s="108" t="s">
        <v>188</v>
      </c>
      <c r="C1694" s="106">
        <v>703081</v>
      </c>
      <c r="D1694" s="106">
        <v>-153397</v>
      </c>
      <c r="E1694" s="106">
        <v>0</v>
      </c>
      <c r="F1694" s="106">
        <v>0</v>
      </c>
      <c r="G1694" s="106">
        <v>0</v>
      </c>
      <c r="H1694" s="106">
        <v>549684</v>
      </c>
      <c r="I1694" s="106">
        <v>-549684</v>
      </c>
      <c r="J1694" s="106">
        <v>0</v>
      </c>
      <c r="K1694" s="106">
        <v>28984</v>
      </c>
      <c r="L1694" s="106">
        <v>-28984</v>
      </c>
      <c r="M1694" s="106">
        <v>0</v>
      </c>
      <c r="N1694" s="106">
        <v>0</v>
      </c>
    </row>
    <row r="1695" spans="1:14" outlineLevel="2" x14ac:dyDescent="0.35">
      <c r="A1695" s="108" t="s">
        <v>490</v>
      </c>
      <c r="B1695" s="108" t="s">
        <v>186</v>
      </c>
      <c r="C1695" s="106">
        <v>817131</v>
      </c>
      <c r="D1695" s="106">
        <v>-156894</v>
      </c>
      <c r="E1695" s="106">
        <v>0</v>
      </c>
      <c r="F1695" s="106">
        <v>0</v>
      </c>
      <c r="G1695" s="106">
        <v>0</v>
      </c>
      <c r="H1695" s="106">
        <v>660237</v>
      </c>
      <c r="I1695" s="106">
        <v>-660237</v>
      </c>
      <c r="J1695" s="106">
        <v>0</v>
      </c>
      <c r="K1695" s="106">
        <v>42615</v>
      </c>
      <c r="L1695" s="106">
        <v>-42615</v>
      </c>
      <c r="M1695" s="106">
        <v>0</v>
      </c>
      <c r="N1695" s="106">
        <v>0</v>
      </c>
    </row>
    <row r="1696" spans="1:14" outlineLevel="2" x14ac:dyDescent="0.35">
      <c r="A1696" s="108" t="s">
        <v>490</v>
      </c>
      <c r="B1696" s="108" t="s">
        <v>227</v>
      </c>
      <c r="C1696" s="106">
        <v>859027</v>
      </c>
      <c r="D1696" s="106">
        <v>-156181</v>
      </c>
      <c r="E1696" s="106">
        <v>0</v>
      </c>
      <c r="F1696" s="106">
        <v>0</v>
      </c>
      <c r="G1696" s="106">
        <v>0</v>
      </c>
      <c r="H1696" s="106">
        <v>702846</v>
      </c>
      <c r="I1696" s="106">
        <v>-702846</v>
      </c>
      <c r="J1696" s="106">
        <v>0</v>
      </c>
      <c r="K1696" s="106">
        <v>37568</v>
      </c>
      <c r="L1696" s="106">
        <v>-37568</v>
      </c>
      <c r="M1696" s="106">
        <v>0</v>
      </c>
      <c r="N1696" s="106">
        <v>0</v>
      </c>
    </row>
    <row r="1697" spans="1:14" outlineLevel="2" x14ac:dyDescent="0.35">
      <c r="A1697" s="108" t="s">
        <v>490</v>
      </c>
      <c r="B1697" s="108" t="s">
        <v>226</v>
      </c>
      <c r="C1697" s="106">
        <v>785103</v>
      </c>
      <c r="D1697" s="106">
        <v>-143590</v>
      </c>
      <c r="E1697" s="106">
        <v>0</v>
      </c>
      <c r="F1697" s="106">
        <v>0</v>
      </c>
      <c r="G1697" s="106">
        <v>0</v>
      </c>
      <c r="H1697" s="106">
        <v>641513</v>
      </c>
      <c r="I1697" s="106">
        <v>-641513</v>
      </c>
      <c r="J1697" s="106">
        <v>0</v>
      </c>
      <c r="K1697" s="106">
        <v>26723</v>
      </c>
      <c r="L1697" s="106">
        <v>-26723</v>
      </c>
      <c r="M1697" s="106">
        <v>0</v>
      </c>
      <c r="N1697" s="106">
        <v>0</v>
      </c>
    </row>
    <row r="1698" spans="1:14" outlineLevel="2" x14ac:dyDescent="0.35">
      <c r="A1698" s="108" t="s">
        <v>490</v>
      </c>
      <c r="B1698" s="108" t="s">
        <v>225</v>
      </c>
      <c r="C1698" s="106">
        <v>718322</v>
      </c>
      <c r="D1698" s="106">
        <v>-128621</v>
      </c>
      <c r="E1698" s="106">
        <v>0</v>
      </c>
      <c r="F1698" s="106">
        <v>0</v>
      </c>
      <c r="G1698" s="106">
        <v>0</v>
      </c>
      <c r="H1698" s="106">
        <v>589701</v>
      </c>
      <c r="I1698" s="106">
        <v>-589701</v>
      </c>
      <c r="J1698" s="106">
        <v>0</v>
      </c>
      <c r="K1698" s="106">
        <v>21995</v>
      </c>
      <c r="L1698" s="106">
        <v>-21995</v>
      </c>
      <c r="M1698" s="106">
        <v>0</v>
      </c>
      <c r="N1698" s="106">
        <v>0</v>
      </c>
    </row>
    <row r="1699" spans="1:14" ht="16" outlineLevel="2" thickBot="1" x14ac:dyDescent="0.4">
      <c r="A1699" s="105" t="s">
        <v>368</v>
      </c>
      <c r="B1699" s="79" t="s">
        <v>12</v>
      </c>
      <c r="C1699" s="103">
        <f>SUBTOTAL(109,Program115[(C)
Program
Costs])</f>
        <v>5857659</v>
      </c>
      <c r="D1699" s="103">
        <f>SUBTOTAL(109,Program115[(D)
Prior Period Adjustments])</f>
        <v>-1078359</v>
      </c>
      <c r="E1699" s="103">
        <f>SUBTOTAL(109,Program115[(E)
Current Period Desk 
Reviews])</f>
        <v>0</v>
      </c>
      <c r="F1699" s="103">
        <f>SUBTOTAL(109,Program115[(F)
Current Period 
Final 
Audits])</f>
        <v>0</v>
      </c>
      <c r="G1699" s="103">
        <f>SUBTOTAL(109,Program115[(G)
Current Period 
Other Adjustments])</f>
        <v>0</v>
      </c>
      <c r="H1699" s="103">
        <f>SUBTOTAL(109,Program115[(H)
Net Program Costs
Sum (C through G)])</f>
        <v>4779300</v>
      </c>
      <c r="I1699" s="103">
        <f>SUBTOTAL(109,Program115[(I)
Payments
 and Offsets])</f>
        <v>-4779300</v>
      </c>
      <c r="J1699" s="103">
        <f>SUBTOTAL(109,Program115[(J)
Accounts Payable Balance
(H + I)])</f>
        <v>0</v>
      </c>
      <c r="K1699" s="103">
        <f>SUBTOTAL(109,Program115[(K)
Established 
Accounts Receivable])</f>
        <v>453628</v>
      </c>
      <c r="L1699" s="103">
        <f>SUBTOTAL(109,Program115[(L)
Recovered
 Accounts Receivable])</f>
        <v>-453359</v>
      </c>
      <c r="M1699" s="103">
        <f>SUBTOTAL(109,Program115[(M)
Accounts Receivable Balance
(K + L)])</f>
        <v>269</v>
      </c>
      <c r="N1699" s="103">
        <f>SUBTOTAL(109,Program115[(N)
Net Balance
(J minus M)])</f>
        <v>-269</v>
      </c>
    </row>
    <row r="1700" spans="1:14" outlineLevel="2" x14ac:dyDescent="0.35">
      <c r="A1700" s="116" t="s">
        <v>33</v>
      </c>
      <c r="B1700" s="115"/>
      <c r="C1700" s="114"/>
      <c r="D1700" s="114"/>
      <c r="E1700" s="114"/>
      <c r="F1700" s="114"/>
      <c r="G1700" s="114"/>
      <c r="H1700" s="114"/>
      <c r="I1700" s="114"/>
      <c r="J1700" s="114"/>
      <c r="K1700" s="114"/>
      <c r="L1700" s="114"/>
      <c r="M1700" s="114"/>
      <c r="N1700" s="114"/>
    </row>
    <row r="1701" spans="1:14" ht="77.5" outlineLevel="2" x14ac:dyDescent="0.35">
      <c r="A1701" s="113" t="s">
        <v>185</v>
      </c>
      <c r="B1701" s="112" t="s">
        <v>184</v>
      </c>
      <c r="C1701" s="111" t="s">
        <v>183</v>
      </c>
      <c r="D1701" s="111" t="s">
        <v>182</v>
      </c>
      <c r="E1701" s="111" t="s">
        <v>181</v>
      </c>
      <c r="F1701" s="111" t="s">
        <v>180</v>
      </c>
      <c r="G1701" s="111" t="s">
        <v>179</v>
      </c>
      <c r="H1701" s="110" t="s">
        <v>674</v>
      </c>
      <c r="I1701" s="110" t="s">
        <v>178</v>
      </c>
      <c r="J1701" s="110" t="s">
        <v>177</v>
      </c>
      <c r="K1701" s="111" t="s">
        <v>176</v>
      </c>
      <c r="L1701" s="110" t="s">
        <v>175</v>
      </c>
      <c r="M1701" s="110" t="s">
        <v>174</v>
      </c>
      <c r="N1701" s="109" t="s">
        <v>173</v>
      </c>
    </row>
    <row r="1702" spans="1:14" outlineLevel="2" x14ac:dyDescent="0.35">
      <c r="A1702" s="108" t="s">
        <v>489</v>
      </c>
      <c r="B1702" s="108" t="s">
        <v>198</v>
      </c>
      <c r="C1702" s="106">
        <v>125110</v>
      </c>
      <c r="D1702" s="106">
        <v>0</v>
      </c>
      <c r="E1702" s="106">
        <v>0</v>
      </c>
      <c r="F1702" s="106">
        <v>0</v>
      </c>
      <c r="G1702" s="106">
        <v>0</v>
      </c>
      <c r="H1702" s="106">
        <v>125110</v>
      </c>
      <c r="I1702" s="106">
        <v>-125110</v>
      </c>
      <c r="J1702" s="106">
        <v>0</v>
      </c>
      <c r="K1702" s="106">
        <v>0</v>
      </c>
      <c r="L1702" s="106">
        <v>0</v>
      </c>
      <c r="M1702" s="106">
        <v>0</v>
      </c>
      <c r="N1702" s="106">
        <v>0</v>
      </c>
    </row>
    <row r="1703" spans="1:14" outlineLevel="2" x14ac:dyDescent="0.35">
      <c r="A1703" s="108" t="s">
        <v>489</v>
      </c>
      <c r="B1703" s="108" t="s">
        <v>197</v>
      </c>
      <c r="C1703" s="106">
        <v>1781676</v>
      </c>
      <c r="D1703" s="106">
        <v>-43434</v>
      </c>
      <c r="E1703" s="106">
        <v>0</v>
      </c>
      <c r="F1703" s="106">
        <v>0</v>
      </c>
      <c r="G1703" s="106">
        <v>0</v>
      </c>
      <c r="H1703" s="106">
        <v>1738242</v>
      </c>
      <c r="I1703" s="106">
        <v>-1738242</v>
      </c>
      <c r="J1703" s="106">
        <v>0</v>
      </c>
      <c r="K1703" s="106">
        <v>250700</v>
      </c>
      <c r="L1703" s="106">
        <v>-250499</v>
      </c>
      <c r="M1703" s="106">
        <v>201</v>
      </c>
      <c r="N1703" s="106">
        <v>-201</v>
      </c>
    </row>
    <row r="1704" spans="1:14" outlineLevel="1" x14ac:dyDescent="0.35">
      <c r="A1704" s="108" t="s">
        <v>489</v>
      </c>
      <c r="B1704" s="108" t="s">
        <v>196</v>
      </c>
      <c r="C1704" s="106">
        <v>1881553</v>
      </c>
      <c r="D1704" s="106">
        <v>-5181</v>
      </c>
      <c r="E1704" s="106">
        <v>0</v>
      </c>
      <c r="F1704" s="106">
        <v>0</v>
      </c>
      <c r="G1704" s="106">
        <v>0</v>
      </c>
      <c r="H1704" s="106">
        <v>1876372</v>
      </c>
      <c r="I1704" s="106">
        <v>-1876372</v>
      </c>
      <c r="J1704" s="106">
        <v>0</v>
      </c>
      <c r="K1704" s="106">
        <v>17499</v>
      </c>
      <c r="L1704" s="106">
        <v>-17499</v>
      </c>
      <c r="M1704" s="106">
        <v>0</v>
      </c>
      <c r="N1704" s="106">
        <v>0</v>
      </c>
    </row>
    <row r="1705" spans="1:14" ht="15.65" customHeight="1" outlineLevel="1" x14ac:dyDescent="0.35">
      <c r="A1705" s="108" t="s">
        <v>489</v>
      </c>
      <c r="B1705" s="108" t="s">
        <v>195</v>
      </c>
      <c r="C1705" s="106">
        <v>1865395</v>
      </c>
      <c r="D1705" s="106">
        <v>-2100</v>
      </c>
      <c r="E1705" s="106">
        <v>0</v>
      </c>
      <c r="F1705" s="106">
        <v>0</v>
      </c>
      <c r="G1705" s="106">
        <v>0</v>
      </c>
      <c r="H1705" s="106">
        <v>1863295</v>
      </c>
      <c r="I1705" s="106">
        <v>-1863295</v>
      </c>
      <c r="J1705" s="106">
        <v>0</v>
      </c>
      <c r="K1705" s="106">
        <v>28967</v>
      </c>
      <c r="L1705" s="106">
        <v>-28967</v>
      </c>
      <c r="M1705" s="106">
        <v>0</v>
      </c>
      <c r="N1705" s="106">
        <v>0</v>
      </c>
    </row>
    <row r="1706" spans="1:14" ht="15.5" customHeight="1" outlineLevel="1" x14ac:dyDescent="0.35">
      <c r="A1706" s="108" t="s">
        <v>489</v>
      </c>
      <c r="B1706" s="108" t="s">
        <v>194</v>
      </c>
      <c r="C1706" s="106">
        <v>1793457</v>
      </c>
      <c r="D1706" s="106">
        <v>-15814</v>
      </c>
      <c r="E1706" s="106">
        <v>0</v>
      </c>
      <c r="F1706" s="106">
        <v>0</v>
      </c>
      <c r="G1706" s="106">
        <v>0</v>
      </c>
      <c r="H1706" s="106">
        <v>1777643</v>
      </c>
      <c r="I1706" s="106">
        <v>-1777643</v>
      </c>
      <c r="J1706" s="106">
        <v>0</v>
      </c>
      <c r="K1706" s="106">
        <v>77115</v>
      </c>
      <c r="L1706" s="106">
        <v>-77115</v>
      </c>
      <c r="M1706" s="106">
        <v>0</v>
      </c>
      <c r="N1706" s="106">
        <v>0</v>
      </c>
    </row>
    <row r="1707" spans="1:14" outlineLevel="2" x14ac:dyDescent="0.35">
      <c r="A1707" s="108" t="s">
        <v>489</v>
      </c>
      <c r="B1707" s="108" t="s">
        <v>193</v>
      </c>
      <c r="C1707" s="106">
        <v>1683886</v>
      </c>
      <c r="D1707" s="106">
        <v>-44599</v>
      </c>
      <c r="E1707" s="106">
        <v>0</v>
      </c>
      <c r="F1707" s="106">
        <v>0</v>
      </c>
      <c r="G1707" s="106">
        <v>0</v>
      </c>
      <c r="H1707" s="106">
        <v>1639287</v>
      </c>
      <c r="I1707" s="106">
        <v>-1639287</v>
      </c>
      <c r="J1707" s="106">
        <v>0</v>
      </c>
      <c r="K1707" s="106">
        <v>21910</v>
      </c>
      <c r="L1707" s="106">
        <v>-21910</v>
      </c>
      <c r="M1707" s="106">
        <v>0</v>
      </c>
      <c r="N1707" s="106">
        <v>0</v>
      </c>
    </row>
    <row r="1708" spans="1:14" outlineLevel="2" x14ac:dyDescent="0.35">
      <c r="A1708" s="108" t="s">
        <v>489</v>
      </c>
      <c r="B1708" s="108" t="s">
        <v>192</v>
      </c>
      <c r="C1708" s="106">
        <v>1454034</v>
      </c>
      <c r="D1708" s="106">
        <v>-23640</v>
      </c>
      <c r="E1708" s="106">
        <v>0</v>
      </c>
      <c r="F1708" s="106">
        <v>0</v>
      </c>
      <c r="G1708" s="106">
        <v>0</v>
      </c>
      <c r="H1708" s="106">
        <v>1430394</v>
      </c>
      <c r="I1708" s="106">
        <v>-1430394</v>
      </c>
      <c r="J1708" s="106">
        <v>0</v>
      </c>
      <c r="K1708" s="106">
        <v>49506</v>
      </c>
      <c r="L1708" s="106">
        <v>-49506</v>
      </c>
      <c r="M1708" s="106">
        <v>0</v>
      </c>
      <c r="N1708" s="106">
        <v>0</v>
      </c>
    </row>
    <row r="1709" spans="1:14" outlineLevel="2" x14ac:dyDescent="0.35">
      <c r="A1709" s="108" t="s">
        <v>489</v>
      </c>
      <c r="B1709" s="108" t="s">
        <v>191</v>
      </c>
      <c r="C1709" s="106">
        <v>1347313</v>
      </c>
      <c r="D1709" s="106">
        <v>-15683</v>
      </c>
      <c r="E1709" s="106">
        <v>0</v>
      </c>
      <c r="F1709" s="106">
        <v>0</v>
      </c>
      <c r="G1709" s="106">
        <v>0</v>
      </c>
      <c r="H1709" s="106">
        <v>1331630</v>
      </c>
      <c r="I1709" s="106">
        <v>-1331630</v>
      </c>
      <c r="J1709" s="106">
        <v>0</v>
      </c>
      <c r="K1709" s="106">
        <v>1994</v>
      </c>
      <c r="L1709" s="106">
        <v>-1994</v>
      </c>
      <c r="M1709" s="106">
        <v>0</v>
      </c>
      <c r="N1709" s="106">
        <v>0</v>
      </c>
    </row>
    <row r="1710" spans="1:14" outlineLevel="2" x14ac:dyDescent="0.35">
      <c r="A1710" s="108" t="s">
        <v>489</v>
      </c>
      <c r="B1710" s="108" t="s">
        <v>190</v>
      </c>
      <c r="C1710" s="106">
        <v>1273763</v>
      </c>
      <c r="D1710" s="106">
        <v>-14162</v>
      </c>
      <c r="E1710" s="106">
        <v>0</v>
      </c>
      <c r="F1710" s="106">
        <v>0</v>
      </c>
      <c r="G1710" s="106">
        <v>0</v>
      </c>
      <c r="H1710" s="106">
        <v>1259601</v>
      </c>
      <c r="I1710" s="106">
        <v>-1259601</v>
      </c>
      <c r="J1710" s="106">
        <v>0</v>
      </c>
      <c r="K1710" s="106">
        <v>930</v>
      </c>
      <c r="L1710" s="106">
        <v>-930</v>
      </c>
      <c r="M1710" s="106">
        <v>0</v>
      </c>
      <c r="N1710" s="106">
        <v>0</v>
      </c>
    </row>
    <row r="1711" spans="1:14" outlineLevel="2" x14ac:dyDescent="0.35">
      <c r="A1711" s="108" t="s">
        <v>489</v>
      </c>
      <c r="B1711" s="108" t="s">
        <v>189</v>
      </c>
      <c r="C1711" s="106">
        <v>1226155</v>
      </c>
      <c r="D1711" s="106">
        <v>-13652</v>
      </c>
      <c r="E1711" s="106">
        <v>0</v>
      </c>
      <c r="F1711" s="106">
        <v>0</v>
      </c>
      <c r="G1711" s="106">
        <v>0</v>
      </c>
      <c r="H1711" s="106">
        <v>1212503</v>
      </c>
      <c r="I1711" s="106">
        <v>-1212503</v>
      </c>
      <c r="J1711" s="106">
        <v>0</v>
      </c>
      <c r="K1711" s="106">
        <v>2343</v>
      </c>
      <c r="L1711" s="106">
        <v>-2343</v>
      </c>
      <c r="M1711" s="106">
        <v>0</v>
      </c>
      <c r="N1711" s="106">
        <v>0</v>
      </c>
    </row>
    <row r="1712" spans="1:14" ht="15.65" customHeight="1" outlineLevel="1" thickBot="1" x14ac:dyDescent="0.4">
      <c r="A1712" s="105" t="s">
        <v>367</v>
      </c>
      <c r="B1712" s="79" t="s">
        <v>12</v>
      </c>
      <c r="C1712" s="103">
        <f>SUBTOTAL(109,Program146[(C)
Program
Costs])</f>
        <v>14432342</v>
      </c>
      <c r="D1712" s="103">
        <f>SUBTOTAL(109,Program146[(D)
Prior Period Adjustments])</f>
        <v>-178265</v>
      </c>
      <c r="E1712" s="103">
        <f>SUBTOTAL(109,Program146[(E)
Current Period Desk 
Reviews])</f>
        <v>0</v>
      </c>
      <c r="F1712" s="103">
        <f>SUBTOTAL(109,Program146[(F)
Current Period 
Final 
Audits])</f>
        <v>0</v>
      </c>
      <c r="G1712" s="103">
        <f>SUBTOTAL(109,Program146[(G)
Current Period 
Other Adjustments])</f>
        <v>0</v>
      </c>
      <c r="H1712" s="103">
        <f>SUBTOTAL(109,Program146[(H)
Net Program Costs
Sum (C through G)])</f>
        <v>14254077</v>
      </c>
      <c r="I1712" s="103">
        <f>SUBTOTAL(109,Program146[(I)
Payments
 and Offsets])</f>
        <v>-14254077</v>
      </c>
      <c r="J1712" s="103">
        <f>SUBTOTAL(109,Program146[(J)
Accounts Payable Balance
(H + I)])</f>
        <v>0</v>
      </c>
      <c r="K1712" s="103">
        <f>SUBTOTAL(109,Program146[(K)
Established 
Accounts Receivable])</f>
        <v>450964</v>
      </c>
      <c r="L1712" s="103">
        <f>SUBTOTAL(109,Program146[(L)
Recovered
 Accounts Receivable])</f>
        <v>-450763</v>
      </c>
      <c r="M1712" s="103">
        <f>SUBTOTAL(109,Program146[(M)
Accounts Receivable Balance
(K + L)])</f>
        <v>201</v>
      </c>
      <c r="N1712" s="103">
        <f>SUBTOTAL(109,Program146[(N)
Net Balance
(J minus M)])</f>
        <v>-201</v>
      </c>
    </row>
    <row r="1713" spans="1:14" ht="15.5" customHeight="1" outlineLevel="1" x14ac:dyDescent="0.35">
      <c r="A1713" s="116" t="s">
        <v>33</v>
      </c>
      <c r="B1713" s="115"/>
      <c r="C1713" s="114"/>
      <c r="D1713" s="114"/>
      <c r="E1713" s="114"/>
      <c r="F1713" s="114"/>
      <c r="G1713" s="114"/>
      <c r="H1713" s="114"/>
      <c r="I1713" s="114"/>
      <c r="J1713" s="114"/>
      <c r="K1713" s="114"/>
      <c r="L1713" s="114"/>
      <c r="M1713" s="114"/>
      <c r="N1713" s="114"/>
    </row>
    <row r="1714" spans="1:14" ht="77.5" outlineLevel="2" x14ac:dyDescent="0.35">
      <c r="A1714" s="113" t="s">
        <v>185</v>
      </c>
      <c r="B1714" s="112" t="s">
        <v>184</v>
      </c>
      <c r="C1714" s="111" t="s">
        <v>183</v>
      </c>
      <c r="D1714" s="111" t="s">
        <v>182</v>
      </c>
      <c r="E1714" s="111" t="s">
        <v>181</v>
      </c>
      <c r="F1714" s="111" t="s">
        <v>180</v>
      </c>
      <c r="G1714" s="111" t="s">
        <v>179</v>
      </c>
      <c r="H1714" s="110" t="s">
        <v>674</v>
      </c>
      <c r="I1714" s="110" t="s">
        <v>178</v>
      </c>
      <c r="J1714" s="110" t="s">
        <v>177</v>
      </c>
      <c r="K1714" s="111" t="s">
        <v>176</v>
      </c>
      <c r="L1714" s="110" t="s">
        <v>175</v>
      </c>
      <c r="M1714" s="110" t="s">
        <v>174</v>
      </c>
      <c r="N1714" s="109" t="s">
        <v>173</v>
      </c>
    </row>
    <row r="1715" spans="1:14" outlineLevel="2" x14ac:dyDescent="0.35">
      <c r="A1715" s="108" t="s">
        <v>488</v>
      </c>
      <c r="B1715" s="108" t="s">
        <v>206</v>
      </c>
      <c r="C1715" s="106">
        <v>205106</v>
      </c>
      <c r="D1715" s="106">
        <v>0</v>
      </c>
      <c r="E1715" s="106">
        <v>0</v>
      </c>
      <c r="F1715" s="106">
        <v>0</v>
      </c>
      <c r="G1715" s="106">
        <v>0</v>
      </c>
      <c r="H1715" s="106">
        <v>205106</v>
      </c>
      <c r="I1715" s="106">
        <v>-197875</v>
      </c>
      <c r="J1715" s="106">
        <v>7231</v>
      </c>
      <c r="K1715" s="106">
        <v>0</v>
      </c>
      <c r="L1715" s="106">
        <v>0</v>
      </c>
      <c r="M1715" s="106">
        <v>0</v>
      </c>
      <c r="N1715" s="106">
        <v>7231</v>
      </c>
    </row>
    <row r="1716" spans="1:14" outlineLevel="2" x14ac:dyDescent="0.35">
      <c r="A1716" s="108" t="s">
        <v>488</v>
      </c>
      <c r="B1716" s="108" t="s">
        <v>205</v>
      </c>
      <c r="C1716" s="106">
        <v>3301917</v>
      </c>
      <c r="D1716" s="106">
        <v>-9273</v>
      </c>
      <c r="E1716" s="106">
        <v>0</v>
      </c>
      <c r="F1716" s="106">
        <v>0</v>
      </c>
      <c r="G1716" s="106">
        <v>0</v>
      </c>
      <c r="H1716" s="106">
        <v>3292644</v>
      </c>
      <c r="I1716" s="106">
        <v>-3008770</v>
      </c>
      <c r="J1716" s="106">
        <v>283874</v>
      </c>
      <c r="K1716" s="106">
        <v>0</v>
      </c>
      <c r="L1716" s="106">
        <v>0</v>
      </c>
      <c r="M1716" s="106">
        <v>0</v>
      </c>
      <c r="N1716" s="106">
        <v>283874</v>
      </c>
    </row>
    <row r="1717" spans="1:14" outlineLevel="2" x14ac:dyDescent="0.35">
      <c r="A1717" s="108" t="s">
        <v>488</v>
      </c>
      <c r="B1717" s="108" t="s">
        <v>204</v>
      </c>
      <c r="C1717" s="106">
        <v>3321213</v>
      </c>
      <c r="D1717" s="106">
        <v>-15986</v>
      </c>
      <c r="E1717" s="106">
        <v>0</v>
      </c>
      <c r="F1717" s="106">
        <v>0</v>
      </c>
      <c r="G1717" s="106">
        <v>0</v>
      </c>
      <c r="H1717" s="106">
        <v>3305227</v>
      </c>
      <c r="I1717" s="106">
        <v>-3224482</v>
      </c>
      <c r="J1717" s="106">
        <v>80745</v>
      </c>
      <c r="K1717" s="106">
        <v>0</v>
      </c>
      <c r="L1717" s="106">
        <v>0</v>
      </c>
      <c r="M1717" s="106">
        <v>0</v>
      </c>
      <c r="N1717" s="106">
        <v>80745</v>
      </c>
    </row>
    <row r="1718" spans="1:14" outlineLevel="2" x14ac:dyDescent="0.35">
      <c r="A1718" s="108" t="s">
        <v>488</v>
      </c>
      <c r="B1718" s="108" t="s">
        <v>203</v>
      </c>
      <c r="C1718" s="106">
        <v>3375920</v>
      </c>
      <c r="D1718" s="106">
        <v>-16972</v>
      </c>
      <c r="E1718" s="106">
        <v>0</v>
      </c>
      <c r="F1718" s="106">
        <v>0</v>
      </c>
      <c r="G1718" s="106">
        <v>0</v>
      </c>
      <c r="H1718" s="106">
        <v>3358948</v>
      </c>
      <c r="I1718" s="106">
        <v>-3271536</v>
      </c>
      <c r="J1718" s="106">
        <v>87412</v>
      </c>
      <c r="K1718" s="106">
        <v>2</v>
      </c>
      <c r="L1718" s="106">
        <v>0</v>
      </c>
      <c r="M1718" s="106">
        <v>2</v>
      </c>
      <c r="N1718" s="106">
        <v>87410</v>
      </c>
    </row>
    <row r="1719" spans="1:14" outlineLevel="2" x14ac:dyDescent="0.35">
      <c r="A1719" s="108" t="s">
        <v>488</v>
      </c>
      <c r="B1719" s="108" t="s">
        <v>202</v>
      </c>
      <c r="C1719" s="106">
        <v>3108212</v>
      </c>
      <c r="D1719" s="106">
        <v>-20362</v>
      </c>
      <c r="E1719" s="106">
        <v>0</v>
      </c>
      <c r="F1719" s="106">
        <v>0</v>
      </c>
      <c r="G1719" s="106">
        <v>0</v>
      </c>
      <c r="H1719" s="106">
        <v>3087850</v>
      </c>
      <c r="I1719" s="106">
        <v>-3059030</v>
      </c>
      <c r="J1719" s="106">
        <v>28820</v>
      </c>
      <c r="K1719" s="106">
        <v>15442</v>
      </c>
      <c r="L1719" s="106">
        <v>-13765</v>
      </c>
      <c r="M1719" s="106">
        <v>1677</v>
      </c>
      <c r="N1719" s="106">
        <v>27143</v>
      </c>
    </row>
    <row r="1720" spans="1:14" outlineLevel="2" x14ac:dyDescent="0.35">
      <c r="A1720" s="108" t="s">
        <v>488</v>
      </c>
      <c r="B1720" s="108" t="s">
        <v>201</v>
      </c>
      <c r="C1720" s="106">
        <v>3001200</v>
      </c>
      <c r="D1720" s="106">
        <v>-19594</v>
      </c>
      <c r="E1720" s="106">
        <v>0</v>
      </c>
      <c r="F1720" s="106">
        <v>0</v>
      </c>
      <c r="G1720" s="106">
        <v>0</v>
      </c>
      <c r="H1720" s="106">
        <v>2981606</v>
      </c>
      <c r="I1720" s="106">
        <v>-2966560</v>
      </c>
      <c r="J1720" s="106">
        <v>15046</v>
      </c>
      <c r="K1720" s="106">
        <v>0</v>
      </c>
      <c r="L1720" s="106">
        <v>0</v>
      </c>
      <c r="M1720" s="106">
        <v>0</v>
      </c>
      <c r="N1720" s="106">
        <v>15046</v>
      </c>
    </row>
    <row r="1721" spans="1:14" outlineLevel="2" x14ac:dyDescent="0.35">
      <c r="A1721" s="108" t="s">
        <v>488</v>
      </c>
      <c r="B1721" s="108" t="s">
        <v>200</v>
      </c>
      <c r="C1721" s="106">
        <v>2748096</v>
      </c>
      <c r="D1721" s="106">
        <v>-11276</v>
      </c>
      <c r="E1721" s="106">
        <v>0</v>
      </c>
      <c r="F1721" s="106">
        <v>0</v>
      </c>
      <c r="G1721" s="106">
        <v>0</v>
      </c>
      <c r="H1721" s="106">
        <v>2736820</v>
      </c>
      <c r="I1721" s="106">
        <v>-2736820</v>
      </c>
      <c r="J1721" s="106">
        <v>0</v>
      </c>
      <c r="K1721" s="106">
        <v>6670</v>
      </c>
      <c r="L1721" s="106">
        <v>-5607</v>
      </c>
      <c r="M1721" s="106">
        <v>1063</v>
      </c>
      <c r="N1721" s="106">
        <v>-1063</v>
      </c>
    </row>
    <row r="1722" spans="1:14" outlineLevel="2" x14ac:dyDescent="0.35">
      <c r="A1722" s="108" t="s">
        <v>488</v>
      </c>
      <c r="B1722" s="108" t="s">
        <v>199</v>
      </c>
      <c r="C1722" s="106">
        <v>2526130</v>
      </c>
      <c r="D1722" s="106">
        <v>-7630</v>
      </c>
      <c r="E1722" s="106">
        <v>0</v>
      </c>
      <c r="F1722" s="106">
        <v>0</v>
      </c>
      <c r="G1722" s="106">
        <v>0</v>
      </c>
      <c r="H1722" s="106">
        <v>2518500</v>
      </c>
      <c r="I1722" s="106">
        <v>-2518500</v>
      </c>
      <c r="J1722" s="106">
        <v>0</v>
      </c>
      <c r="K1722" s="106">
        <v>0</v>
      </c>
      <c r="L1722" s="106">
        <v>0</v>
      </c>
      <c r="M1722" s="106">
        <v>0</v>
      </c>
      <c r="N1722" s="106">
        <v>0</v>
      </c>
    </row>
    <row r="1723" spans="1:14" outlineLevel="2" x14ac:dyDescent="0.35">
      <c r="A1723" s="108" t="s">
        <v>488</v>
      </c>
      <c r="B1723" s="108" t="s">
        <v>198</v>
      </c>
      <c r="C1723" s="106">
        <v>2507249</v>
      </c>
      <c r="D1723" s="106">
        <v>-3952</v>
      </c>
      <c r="E1723" s="106">
        <v>0</v>
      </c>
      <c r="F1723" s="106">
        <v>0</v>
      </c>
      <c r="G1723" s="106">
        <v>0</v>
      </c>
      <c r="H1723" s="106">
        <v>2503297</v>
      </c>
      <c r="I1723" s="106">
        <v>-2503297</v>
      </c>
      <c r="J1723" s="106">
        <v>0</v>
      </c>
      <c r="K1723" s="106">
        <v>0</v>
      </c>
      <c r="L1723" s="106">
        <v>0</v>
      </c>
      <c r="M1723" s="106">
        <v>0</v>
      </c>
      <c r="N1723" s="106">
        <v>0</v>
      </c>
    </row>
    <row r="1724" spans="1:14" outlineLevel="2" x14ac:dyDescent="0.35">
      <c r="A1724" s="108" t="s">
        <v>488</v>
      </c>
      <c r="B1724" s="108" t="s">
        <v>197</v>
      </c>
      <c r="C1724" s="106">
        <v>2480518</v>
      </c>
      <c r="D1724" s="106">
        <v>-37282</v>
      </c>
      <c r="E1724" s="106">
        <v>0</v>
      </c>
      <c r="F1724" s="106">
        <v>0</v>
      </c>
      <c r="G1724" s="106">
        <v>0</v>
      </c>
      <c r="H1724" s="106">
        <v>2443236</v>
      </c>
      <c r="I1724" s="106">
        <v>-2443236</v>
      </c>
      <c r="J1724" s="106">
        <v>0</v>
      </c>
      <c r="K1724" s="106">
        <v>348780</v>
      </c>
      <c r="L1724" s="106">
        <v>-348780</v>
      </c>
      <c r="M1724" s="106">
        <v>0</v>
      </c>
      <c r="N1724" s="106">
        <v>0</v>
      </c>
    </row>
    <row r="1725" spans="1:14" outlineLevel="2" x14ac:dyDescent="0.35">
      <c r="A1725" s="108" t="s">
        <v>488</v>
      </c>
      <c r="B1725" s="108" t="s">
        <v>196</v>
      </c>
      <c r="C1725" s="106">
        <v>2601142</v>
      </c>
      <c r="D1725" s="106">
        <v>-3250</v>
      </c>
      <c r="E1725" s="106">
        <v>0</v>
      </c>
      <c r="F1725" s="106">
        <v>0</v>
      </c>
      <c r="G1725" s="106">
        <v>0</v>
      </c>
      <c r="H1725" s="106">
        <v>2597892</v>
      </c>
      <c r="I1725" s="106">
        <v>-2597892</v>
      </c>
      <c r="J1725" s="106">
        <v>0</v>
      </c>
      <c r="K1725" s="106">
        <v>227843</v>
      </c>
      <c r="L1725" s="106">
        <v>-227326</v>
      </c>
      <c r="M1725" s="106">
        <v>517</v>
      </c>
      <c r="N1725" s="106">
        <v>-517</v>
      </c>
    </row>
    <row r="1726" spans="1:14" outlineLevel="2" x14ac:dyDescent="0.35">
      <c r="A1726" s="108" t="s">
        <v>488</v>
      </c>
      <c r="B1726" s="108" t="s">
        <v>195</v>
      </c>
      <c r="C1726" s="106">
        <v>2467573</v>
      </c>
      <c r="D1726" s="106">
        <v>-5781</v>
      </c>
      <c r="E1726" s="106">
        <v>0</v>
      </c>
      <c r="F1726" s="106">
        <v>0</v>
      </c>
      <c r="G1726" s="106">
        <v>0</v>
      </c>
      <c r="H1726" s="106">
        <v>2461792</v>
      </c>
      <c r="I1726" s="106">
        <v>-2461792</v>
      </c>
      <c r="J1726" s="106">
        <v>0</v>
      </c>
      <c r="K1726" s="106">
        <v>151142</v>
      </c>
      <c r="L1726" s="106">
        <v>-151142</v>
      </c>
      <c r="M1726" s="106">
        <v>0</v>
      </c>
      <c r="N1726" s="106">
        <v>0</v>
      </c>
    </row>
    <row r="1727" spans="1:14" outlineLevel="2" x14ac:dyDescent="0.35">
      <c r="A1727" s="108" t="s">
        <v>488</v>
      </c>
      <c r="B1727" s="108" t="s">
        <v>194</v>
      </c>
      <c r="C1727" s="106">
        <v>2305872</v>
      </c>
      <c r="D1727" s="106">
        <v>-14881</v>
      </c>
      <c r="E1727" s="106">
        <v>0</v>
      </c>
      <c r="F1727" s="106">
        <v>0</v>
      </c>
      <c r="G1727" s="106">
        <v>0</v>
      </c>
      <c r="H1727" s="106">
        <v>2290991</v>
      </c>
      <c r="I1727" s="106">
        <v>-2290991</v>
      </c>
      <c r="J1727" s="106">
        <v>0</v>
      </c>
      <c r="K1727" s="106">
        <v>197892</v>
      </c>
      <c r="L1727" s="106">
        <v>-197892</v>
      </c>
      <c r="M1727" s="106">
        <v>0</v>
      </c>
      <c r="N1727" s="106">
        <v>0</v>
      </c>
    </row>
    <row r="1728" spans="1:14" outlineLevel="2" x14ac:dyDescent="0.35">
      <c r="A1728" s="108" t="s">
        <v>488</v>
      </c>
      <c r="B1728" s="108" t="s">
        <v>193</v>
      </c>
      <c r="C1728" s="106">
        <v>2214982</v>
      </c>
      <c r="D1728" s="106">
        <v>-10524</v>
      </c>
      <c r="E1728" s="106">
        <v>0</v>
      </c>
      <c r="F1728" s="106">
        <v>0</v>
      </c>
      <c r="G1728" s="106">
        <v>0</v>
      </c>
      <c r="H1728" s="106">
        <v>2204458</v>
      </c>
      <c r="I1728" s="106">
        <v>-2204458</v>
      </c>
      <c r="J1728" s="106">
        <v>0</v>
      </c>
      <c r="K1728" s="106">
        <v>154926</v>
      </c>
      <c r="L1728" s="106">
        <v>-154926</v>
      </c>
      <c r="M1728" s="106">
        <v>0</v>
      </c>
      <c r="N1728" s="106">
        <v>0</v>
      </c>
    </row>
    <row r="1729" spans="1:14" outlineLevel="1" x14ac:dyDescent="0.35">
      <c r="A1729" s="108" t="s">
        <v>488</v>
      </c>
      <c r="B1729" s="108" t="s">
        <v>192</v>
      </c>
      <c r="C1729" s="106">
        <v>2062345</v>
      </c>
      <c r="D1729" s="106">
        <v>-10584</v>
      </c>
      <c r="E1729" s="106">
        <v>0</v>
      </c>
      <c r="F1729" s="106">
        <v>0</v>
      </c>
      <c r="G1729" s="106">
        <v>0</v>
      </c>
      <c r="H1729" s="106">
        <v>2051761</v>
      </c>
      <c r="I1729" s="106">
        <v>-2051761</v>
      </c>
      <c r="J1729" s="106">
        <v>0</v>
      </c>
      <c r="K1729" s="106">
        <v>64789</v>
      </c>
      <c r="L1729" s="106">
        <v>-64485</v>
      </c>
      <c r="M1729" s="106">
        <v>304</v>
      </c>
      <c r="N1729" s="106">
        <v>-304</v>
      </c>
    </row>
    <row r="1730" spans="1:14" ht="15.65" customHeight="1" outlineLevel="1" x14ac:dyDescent="0.35">
      <c r="A1730" s="108" t="s">
        <v>488</v>
      </c>
      <c r="B1730" s="108" t="s">
        <v>191</v>
      </c>
      <c r="C1730" s="106">
        <v>1919124</v>
      </c>
      <c r="D1730" s="106">
        <v>-19988</v>
      </c>
      <c r="E1730" s="106">
        <v>0</v>
      </c>
      <c r="F1730" s="106">
        <v>0</v>
      </c>
      <c r="G1730" s="106">
        <v>0</v>
      </c>
      <c r="H1730" s="106">
        <v>1899136</v>
      </c>
      <c r="I1730" s="106">
        <v>-1899136</v>
      </c>
      <c r="J1730" s="106">
        <v>0</v>
      </c>
      <c r="K1730" s="106">
        <v>22758</v>
      </c>
      <c r="L1730" s="106">
        <v>-22758</v>
      </c>
      <c r="M1730" s="106">
        <v>0</v>
      </c>
      <c r="N1730" s="106">
        <v>0</v>
      </c>
    </row>
    <row r="1731" spans="1:14" ht="15.5" customHeight="1" outlineLevel="1" x14ac:dyDescent="0.35">
      <c r="A1731" s="108" t="s">
        <v>488</v>
      </c>
      <c r="B1731" s="108" t="s">
        <v>190</v>
      </c>
      <c r="C1731" s="106">
        <v>1837107</v>
      </c>
      <c r="D1731" s="106">
        <v>-5693</v>
      </c>
      <c r="E1731" s="106">
        <v>0</v>
      </c>
      <c r="F1731" s="106">
        <v>0</v>
      </c>
      <c r="G1731" s="106">
        <v>0</v>
      </c>
      <c r="H1731" s="106">
        <v>1831414</v>
      </c>
      <c r="I1731" s="106">
        <v>-1831414</v>
      </c>
      <c r="J1731" s="106">
        <v>0</v>
      </c>
      <c r="K1731" s="106">
        <v>25560</v>
      </c>
      <c r="L1731" s="106">
        <v>-25560</v>
      </c>
      <c r="M1731" s="106">
        <v>0</v>
      </c>
      <c r="N1731" s="106">
        <v>0</v>
      </c>
    </row>
    <row r="1732" spans="1:14" outlineLevel="2" x14ac:dyDescent="0.35">
      <c r="A1732" s="108" t="s">
        <v>488</v>
      </c>
      <c r="B1732" s="108" t="s">
        <v>189</v>
      </c>
      <c r="C1732" s="106">
        <v>1777024</v>
      </c>
      <c r="D1732" s="106">
        <v>-3586</v>
      </c>
      <c r="E1732" s="106">
        <v>0</v>
      </c>
      <c r="F1732" s="106">
        <v>0</v>
      </c>
      <c r="G1732" s="106">
        <v>0</v>
      </c>
      <c r="H1732" s="106">
        <v>1773438</v>
      </c>
      <c r="I1732" s="106">
        <v>-1773438</v>
      </c>
      <c r="J1732" s="106">
        <v>0</v>
      </c>
      <c r="K1732" s="106">
        <v>18702</v>
      </c>
      <c r="L1732" s="106">
        <v>-18702</v>
      </c>
      <c r="M1732" s="106">
        <v>0</v>
      </c>
      <c r="N1732" s="106">
        <v>0</v>
      </c>
    </row>
    <row r="1733" spans="1:14" outlineLevel="2" x14ac:dyDescent="0.35">
      <c r="A1733" s="108" t="s">
        <v>488</v>
      </c>
      <c r="B1733" s="108" t="s">
        <v>188</v>
      </c>
      <c r="C1733" s="106">
        <v>1663416</v>
      </c>
      <c r="D1733" s="106">
        <v>-5671</v>
      </c>
      <c r="E1733" s="106">
        <v>0</v>
      </c>
      <c r="F1733" s="106">
        <v>0</v>
      </c>
      <c r="G1733" s="106">
        <v>0</v>
      </c>
      <c r="H1733" s="106">
        <v>1657745</v>
      </c>
      <c r="I1733" s="106">
        <v>-1657745</v>
      </c>
      <c r="J1733" s="106">
        <v>0</v>
      </c>
      <c r="K1733" s="106">
        <v>43123</v>
      </c>
      <c r="L1733" s="106">
        <v>-43123</v>
      </c>
      <c r="M1733" s="106">
        <v>0</v>
      </c>
      <c r="N1733" s="106">
        <v>0</v>
      </c>
    </row>
    <row r="1734" spans="1:14" outlineLevel="2" x14ac:dyDescent="0.35">
      <c r="A1734" s="108" t="s">
        <v>488</v>
      </c>
      <c r="B1734" s="108" t="s">
        <v>186</v>
      </c>
      <c r="C1734" s="106">
        <v>1604008</v>
      </c>
      <c r="D1734" s="106">
        <v>-11035</v>
      </c>
      <c r="E1734" s="106">
        <v>0</v>
      </c>
      <c r="F1734" s="106">
        <v>0</v>
      </c>
      <c r="G1734" s="106">
        <v>0</v>
      </c>
      <c r="H1734" s="106">
        <v>1592973</v>
      </c>
      <c r="I1734" s="106">
        <v>-1592973</v>
      </c>
      <c r="J1734" s="106">
        <v>0</v>
      </c>
      <c r="K1734" s="106">
        <v>99040</v>
      </c>
      <c r="L1734" s="106">
        <v>-99040</v>
      </c>
      <c r="M1734" s="106">
        <v>0</v>
      </c>
      <c r="N1734" s="106">
        <v>0</v>
      </c>
    </row>
    <row r="1735" spans="1:14" outlineLevel="2" x14ac:dyDescent="0.35">
      <c r="A1735" s="108" t="s">
        <v>488</v>
      </c>
      <c r="B1735" s="108" t="s">
        <v>227</v>
      </c>
      <c r="C1735" s="106">
        <v>0</v>
      </c>
      <c r="D1735" s="106">
        <v>0</v>
      </c>
      <c r="E1735" s="106">
        <v>0</v>
      </c>
      <c r="F1735" s="106">
        <v>0</v>
      </c>
      <c r="G1735" s="106">
        <v>0</v>
      </c>
      <c r="H1735" s="106">
        <v>0</v>
      </c>
      <c r="I1735" s="106">
        <v>0</v>
      </c>
      <c r="J1735" s="106">
        <v>0</v>
      </c>
      <c r="K1735" s="106">
        <v>10705</v>
      </c>
      <c r="L1735" s="106">
        <v>-10705</v>
      </c>
      <c r="M1735" s="106">
        <v>0</v>
      </c>
      <c r="N1735" s="106">
        <v>0</v>
      </c>
    </row>
    <row r="1736" spans="1:14" outlineLevel="2" x14ac:dyDescent="0.35">
      <c r="A1736" s="108" t="s">
        <v>488</v>
      </c>
      <c r="B1736" s="108" t="s">
        <v>226</v>
      </c>
      <c r="C1736" s="106">
        <v>0</v>
      </c>
      <c r="D1736" s="106">
        <v>35</v>
      </c>
      <c r="E1736" s="106">
        <v>0</v>
      </c>
      <c r="F1736" s="106">
        <v>0</v>
      </c>
      <c r="G1736" s="106">
        <v>0</v>
      </c>
      <c r="H1736" s="106">
        <v>35</v>
      </c>
      <c r="I1736" s="106">
        <v>-35</v>
      </c>
      <c r="J1736" s="106">
        <v>0</v>
      </c>
      <c r="K1736" s="106">
        <v>9477</v>
      </c>
      <c r="L1736" s="106">
        <v>-9477</v>
      </c>
      <c r="M1736" s="106">
        <v>0</v>
      </c>
      <c r="N1736" s="106">
        <v>0</v>
      </c>
    </row>
    <row r="1737" spans="1:14" outlineLevel="2" x14ac:dyDescent="0.35">
      <c r="A1737" s="108" t="s">
        <v>488</v>
      </c>
      <c r="B1737" s="108" t="s">
        <v>225</v>
      </c>
      <c r="C1737" s="106">
        <v>0</v>
      </c>
      <c r="D1737" s="106">
        <v>0</v>
      </c>
      <c r="E1737" s="106">
        <v>0</v>
      </c>
      <c r="F1737" s="106">
        <v>0</v>
      </c>
      <c r="G1737" s="106">
        <v>0</v>
      </c>
      <c r="H1737" s="106">
        <v>0</v>
      </c>
      <c r="I1737" s="106">
        <v>0</v>
      </c>
      <c r="J1737" s="106">
        <v>0</v>
      </c>
      <c r="K1737" s="106">
        <v>3584</v>
      </c>
      <c r="L1737" s="106">
        <v>-3584</v>
      </c>
      <c r="M1737" s="106">
        <v>0</v>
      </c>
      <c r="N1737" s="106">
        <v>0</v>
      </c>
    </row>
    <row r="1738" spans="1:14" outlineLevel="2" x14ac:dyDescent="0.35">
      <c r="A1738" s="108" t="s">
        <v>488</v>
      </c>
      <c r="B1738" s="108" t="s">
        <v>223</v>
      </c>
      <c r="C1738" s="106">
        <v>0</v>
      </c>
      <c r="D1738" s="106">
        <v>0</v>
      </c>
      <c r="E1738" s="106">
        <v>0</v>
      </c>
      <c r="F1738" s="106">
        <v>0</v>
      </c>
      <c r="G1738" s="106">
        <v>0</v>
      </c>
      <c r="H1738" s="106">
        <v>0</v>
      </c>
      <c r="I1738" s="106">
        <v>0</v>
      </c>
      <c r="J1738" s="106">
        <v>0</v>
      </c>
      <c r="K1738" s="106">
        <v>2359</v>
      </c>
      <c r="L1738" s="106">
        <v>-2359</v>
      </c>
      <c r="M1738" s="106">
        <v>0</v>
      </c>
      <c r="N1738" s="106">
        <v>0</v>
      </c>
    </row>
    <row r="1739" spans="1:14" outlineLevel="2" x14ac:dyDescent="0.35">
      <c r="A1739" s="108" t="s">
        <v>488</v>
      </c>
      <c r="B1739" s="108" t="s">
        <v>275</v>
      </c>
      <c r="C1739" s="106">
        <v>0</v>
      </c>
      <c r="D1739" s="106">
        <v>0</v>
      </c>
      <c r="E1739" s="106">
        <v>0</v>
      </c>
      <c r="F1739" s="106">
        <v>0</v>
      </c>
      <c r="G1739" s="106">
        <v>0</v>
      </c>
      <c r="H1739" s="106">
        <v>0</v>
      </c>
      <c r="I1739" s="106">
        <v>0</v>
      </c>
      <c r="J1739" s="106">
        <v>0</v>
      </c>
      <c r="K1739" s="106">
        <v>5667</v>
      </c>
      <c r="L1739" s="106">
        <v>-5667</v>
      </c>
      <c r="M1739" s="106">
        <v>0</v>
      </c>
      <c r="N1739" s="106">
        <v>0</v>
      </c>
    </row>
    <row r="1740" spans="1:14" ht="16" outlineLevel="2" thickBot="1" x14ac:dyDescent="0.4">
      <c r="A1740" s="105" t="s">
        <v>366</v>
      </c>
      <c r="B1740" s="79" t="s">
        <v>12</v>
      </c>
      <c r="C1740" s="103">
        <f>SUBTOTAL(109,Program58[(C)
Program
Costs])</f>
        <v>47028154</v>
      </c>
      <c r="D1740" s="103">
        <f>SUBTOTAL(109,Program58[(D)
Prior Period Adjustments])</f>
        <v>-233285</v>
      </c>
      <c r="E1740" s="103">
        <f>SUBTOTAL(109,Program58[(E)
Current Period Desk 
Reviews])</f>
        <v>0</v>
      </c>
      <c r="F1740" s="103">
        <f>SUBTOTAL(109,Program58[(F)
Current Period 
Final 
Audits])</f>
        <v>0</v>
      </c>
      <c r="G1740" s="103">
        <f>SUBTOTAL(109,Program58[(G)
Current Period 
Other Adjustments])</f>
        <v>0</v>
      </c>
      <c r="H1740" s="103">
        <f>SUBTOTAL(109,Program58[(H)
Net Program Costs
Sum (C through G)])</f>
        <v>46794869</v>
      </c>
      <c r="I1740" s="103">
        <f>SUBTOTAL(109,Program58[(I)
Payments
 and Offsets])</f>
        <v>-46291741</v>
      </c>
      <c r="J1740" s="103">
        <f>SUBTOTAL(109,Program58[(J)
Accounts Payable Balance
(H + I)])</f>
        <v>503128</v>
      </c>
      <c r="K1740" s="103">
        <f>SUBTOTAL(109,Program58[(K)
Established 
Accounts Receivable])</f>
        <v>1408461</v>
      </c>
      <c r="L1740" s="103">
        <f>SUBTOTAL(109,Program58[(L)
Recovered
 Accounts Receivable])</f>
        <v>-1404898</v>
      </c>
      <c r="M1740" s="103">
        <f>SUBTOTAL(109,Program58[(M)
Accounts Receivable Balance
(K + L)])</f>
        <v>3563</v>
      </c>
      <c r="N1740" s="103">
        <f>SUBTOTAL(109,Program58[(N)
Net Balance
(J minus M)])</f>
        <v>499565</v>
      </c>
    </row>
    <row r="1741" spans="1:14" outlineLevel="2" x14ac:dyDescent="0.35">
      <c r="A1741" s="116" t="s">
        <v>33</v>
      </c>
      <c r="B1741" s="115"/>
      <c r="C1741" s="114"/>
      <c r="D1741" s="114"/>
      <c r="E1741" s="114"/>
      <c r="F1741" s="114"/>
      <c r="G1741" s="114"/>
      <c r="H1741" s="114"/>
      <c r="I1741" s="114"/>
      <c r="J1741" s="114"/>
      <c r="K1741" s="114"/>
      <c r="L1741" s="114"/>
      <c r="M1741" s="114"/>
      <c r="N1741" s="114"/>
    </row>
    <row r="1742" spans="1:14" ht="77.5" outlineLevel="2" x14ac:dyDescent="0.35">
      <c r="A1742" s="113" t="s">
        <v>185</v>
      </c>
      <c r="B1742" s="112" t="s">
        <v>184</v>
      </c>
      <c r="C1742" s="111" t="s">
        <v>183</v>
      </c>
      <c r="D1742" s="111" t="s">
        <v>182</v>
      </c>
      <c r="E1742" s="111" t="s">
        <v>181</v>
      </c>
      <c r="F1742" s="111" t="s">
        <v>180</v>
      </c>
      <c r="G1742" s="111" t="s">
        <v>179</v>
      </c>
      <c r="H1742" s="110" t="s">
        <v>674</v>
      </c>
      <c r="I1742" s="110" t="s">
        <v>178</v>
      </c>
      <c r="J1742" s="110" t="s">
        <v>177</v>
      </c>
      <c r="K1742" s="111" t="s">
        <v>176</v>
      </c>
      <c r="L1742" s="110" t="s">
        <v>175</v>
      </c>
      <c r="M1742" s="110" t="s">
        <v>174</v>
      </c>
      <c r="N1742" s="109" t="s">
        <v>173</v>
      </c>
    </row>
    <row r="1743" spans="1:14" outlineLevel="2" x14ac:dyDescent="0.35">
      <c r="A1743" s="108" t="s">
        <v>487</v>
      </c>
      <c r="B1743" s="108" t="s">
        <v>201</v>
      </c>
      <c r="C1743" s="106">
        <v>86769</v>
      </c>
      <c r="D1743" s="106">
        <v>-86769</v>
      </c>
      <c r="E1743" s="106">
        <v>0</v>
      </c>
      <c r="F1743" s="106">
        <v>0</v>
      </c>
      <c r="G1743" s="106">
        <v>0</v>
      </c>
      <c r="H1743" s="106">
        <v>0</v>
      </c>
      <c r="I1743" s="106">
        <v>0</v>
      </c>
      <c r="J1743" s="106">
        <v>0</v>
      </c>
      <c r="K1743" s="106">
        <v>0</v>
      </c>
      <c r="L1743" s="106">
        <v>0</v>
      </c>
      <c r="M1743" s="106">
        <v>0</v>
      </c>
      <c r="N1743" s="106">
        <v>0</v>
      </c>
    </row>
    <row r="1744" spans="1:14" outlineLevel="2" x14ac:dyDescent="0.35">
      <c r="A1744" s="108" t="s">
        <v>487</v>
      </c>
      <c r="B1744" s="108" t="s">
        <v>200</v>
      </c>
      <c r="C1744" s="106">
        <v>8551872</v>
      </c>
      <c r="D1744" s="106">
        <v>-8551872</v>
      </c>
      <c r="E1744" s="106">
        <v>0</v>
      </c>
      <c r="F1744" s="106">
        <v>0</v>
      </c>
      <c r="G1744" s="106">
        <v>0</v>
      </c>
      <c r="H1744" s="106">
        <v>0</v>
      </c>
      <c r="I1744" s="106">
        <v>0</v>
      </c>
      <c r="J1744" s="106">
        <v>0</v>
      </c>
      <c r="K1744" s="106">
        <v>0</v>
      </c>
      <c r="L1744" s="106">
        <v>0</v>
      </c>
      <c r="M1744" s="106">
        <v>0</v>
      </c>
      <c r="N1744" s="106">
        <v>0</v>
      </c>
    </row>
    <row r="1745" spans="1:14" outlineLevel="2" x14ac:dyDescent="0.35">
      <c r="A1745" s="108" t="s">
        <v>487</v>
      </c>
      <c r="B1745" s="108" t="s">
        <v>199</v>
      </c>
      <c r="C1745" s="106">
        <v>21597096</v>
      </c>
      <c r="D1745" s="106">
        <v>-4445850</v>
      </c>
      <c r="E1745" s="106">
        <v>0</v>
      </c>
      <c r="F1745" s="106">
        <v>0</v>
      </c>
      <c r="G1745" s="106">
        <v>0</v>
      </c>
      <c r="H1745" s="106">
        <v>17151246</v>
      </c>
      <c r="I1745" s="106">
        <v>-16798479</v>
      </c>
      <c r="J1745" s="106">
        <v>352767</v>
      </c>
      <c r="K1745" s="106">
        <v>25091</v>
      </c>
      <c r="L1745" s="106">
        <v>-25091</v>
      </c>
      <c r="M1745" s="106">
        <v>0</v>
      </c>
      <c r="N1745" s="106">
        <v>352767</v>
      </c>
    </row>
    <row r="1746" spans="1:14" outlineLevel="1" x14ac:dyDescent="0.35">
      <c r="A1746" s="108" t="s">
        <v>487</v>
      </c>
      <c r="B1746" s="108" t="s">
        <v>198</v>
      </c>
      <c r="C1746" s="106">
        <v>34776307</v>
      </c>
      <c r="D1746" s="106">
        <v>-11050592</v>
      </c>
      <c r="E1746" s="106">
        <v>0</v>
      </c>
      <c r="F1746" s="106">
        <v>0</v>
      </c>
      <c r="G1746" s="106">
        <v>0</v>
      </c>
      <c r="H1746" s="106">
        <v>23725715</v>
      </c>
      <c r="I1746" s="106">
        <v>-23579326</v>
      </c>
      <c r="J1746" s="106">
        <v>146389</v>
      </c>
      <c r="K1746" s="106">
        <v>183082</v>
      </c>
      <c r="L1746" s="106">
        <v>-183082</v>
      </c>
      <c r="M1746" s="106">
        <v>0</v>
      </c>
      <c r="N1746" s="106">
        <v>146389</v>
      </c>
    </row>
    <row r="1747" spans="1:14" ht="15.65" customHeight="1" outlineLevel="1" x14ac:dyDescent="0.35">
      <c r="A1747" s="108" t="s">
        <v>487</v>
      </c>
      <c r="B1747" s="108" t="s">
        <v>197</v>
      </c>
      <c r="C1747" s="106">
        <v>38795613</v>
      </c>
      <c r="D1747" s="106">
        <v>-13738432</v>
      </c>
      <c r="E1747" s="106">
        <v>0</v>
      </c>
      <c r="F1747" s="106">
        <v>0</v>
      </c>
      <c r="G1747" s="106">
        <v>0</v>
      </c>
      <c r="H1747" s="106">
        <v>25057181</v>
      </c>
      <c r="I1747" s="106">
        <v>-24937249</v>
      </c>
      <c r="J1747" s="106">
        <v>119932</v>
      </c>
      <c r="K1747" s="106">
        <v>1138703</v>
      </c>
      <c r="L1747" s="106">
        <v>-1138703</v>
      </c>
      <c r="M1747" s="106">
        <v>0</v>
      </c>
      <c r="N1747" s="106">
        <v>119932</v>
      </c>
    </row>
    <row r="1748" spans="1:14" ht="15.5" customHeight="1" outlineLevel="1" x14ac:dyDescent="0.35">
      <c r="A1748" s="108" t="s">
        <v>487</v>
      </c>
      <c r="B1748" s="108" t="s">
        <v>196</v>
      </c>
      <c r="C1748" s="106">
        <v>34014634</v>
      </c>
      <c r="D1748" s="106">
        <v>-12412819</v>
      </c>
      <c r="E1748" s="106">
        <v>0</v>
      </c>
      <c r="F1748" s="106">
        <v>0</v>
      </c>
      <c r="G1748" s="106">
        <v>0</v>
      </c>
      <c r="H1748" s="106">
        <v>21601815</v>
      </c>
      <c r="I1748" s="106">
        <v>-21537808</v>
      </c>
      <c r="J1748" s="106">
        <v>64007</v>
      </c>
      <c r="K1748" s="106">
        <v>1912828</v>
      </c>
      <c r="L1748" s="106">
        <v>-1912828</v>
      </c>
      <c r="M1748" s="106">
        <v>0</v>
      </c>
      <c r="N1748" s="106">
        <v>64007</v>
      </c>
    </row>
    <row r="1749" spans="1:14" x14ac:dyDescent="0.35">
      <c r="A1749" s="108" t="s">
        <v>487</v>
      </c>
      <c r="B1749" s="108" t="s">
        <v>195</v>
      </c>
      <c r="C1749" s="106">
        <v>35846538</v>
      </c>
      <c r="D1749" s="106">
        <v>-12562297</v>
      </c>
      <c r="E1749" s="106">
        <v>0</v>
      </c>
      <c r="F1749" s="106">
        <v>0</v>
      </c>
      <c r="G1749" s="106">
        <v>0</v>
      </c>
      <c r="H1749" s="106">
        <v>23284241</v>
      </c>
      <c r="I1749" s="106">
        <v>-23249938</v>
      </c>
      <c r="J1749" s="106">
        <v>34303</v>
      </c>
      <c r="K1749" s="106">
        <v>1272821</v>
      </c>
      <c r="L1749" s="106">
        <v>-1272821</v>
      </c>
      <c r="M1749" s="106">
        <v>0</v>
      </c>
      <c r="N1749" s="106">
        <v>34303</v>
      </c>
    </row>
    <row r="1750" spans="1:14" x14ac:dyDescent="0.35">
      <c r="A1750" s="108" t="s">
        <v>487</v>
      </c>
      <c r="B1750" s="108" t="s">
        <v>194</v>
      </c>
      <c r="C1750" s="106">
        <v>17177197</v>
      </c>
      <c r="D1750" s="106">
        <v>-8288593</v>
      </c>
      <c r="E1750" s="106">
        <v>0</v>
      </c>
      <c r="F1750" s="106">
        <v>0</v>
      </c>
      <c r="G1750" s="106">
        <v>0</v>
      </c>
      <c r="H1750" s="106">
        <v>8888604</v>
      </c>
      <c r="I1750" s="106">
        <v>-8888604</v>
      </c>
      <c r="J1750" s="106">
        <v>0</v>
      </c>
      <c r="K1750" s="106">
        <v>1199595</v>
      </c>
      <c r="L1750" s="106">
        <v>-1199595</v>
      </c>
      <c r="M1750" s="106">
        <v>0</v>
      </c>
      <c r="N1750" s="106">
        <v>0</v>
      </c>
    </row>
    <row r="1751" spans="1:14" x14ac:dyDescent="0.35">
      <c r="A1751" s="108" t="s">
        <v>487</v>
      </c>
      <c r="B1751" s="108" t="s">
        <v>193</v>
      </c>
      <c r="C1751" s="106">
        <v>13786866</v>
      </c>
      <c r="D1751" s="106">
        <v>-6709956</v>
      </c>
      <c r="E1751" s="106">
        <v>0</v>
      </c>
      <c r="F1751" s="106">
        <v>0</v>
      </c>
      <c r="G1751" s="106">
        <v>0</v>
      </c>
      <c r="H1751" s="106">
        <v>7076910</v>
      </c>
      <c r="I1751" s="106">
        <v>-7076910</v>
      </c>
      <c r="J1751" s="106">
        <v>0</v>
      </c>
      <c r="K1751" s="106">
        <v>1016738</v>
      </c>
      <c r="L1751" s="106">
        <v>-1016738</v>
      </c>
      <c r="M1751" s="106">
        <v>0</v>
      </c>
      <c r="N1751" s="106">
        <v>0</v>
      </c>
    </row>
    <row r="1752" spans="1:14" ht="16" thickBot="1" x14ac:dyDescent="0.4">
      <c r="A1752" s="105" t="s">
        <v>365</v>
      </c>
      <c r="B1752" s="79" t="s">
        <v>12</v>
      </c>
      <c r="C1752" s="103">
        <f>SUBTOTAL(109,Program208[(C)
Program
Costs])</f>
        <v>204632892</v>
      </c>
      <c r="D1752" s="103">
        <f>SUBTOTAL(109,Program208[(D)
Prior Period Adjustments])</f>
        <v>-77847180</v>
      </c>
      <c r="E1752" s="103">
        <f>SUBTOTAL(109,Program208[(E)
Current Period Desk 
Reviews])</f>
        <v>0</v>
      </c>
      <c r="F1752" s="103">
        <f>SUBTOTAL(109,Program208[(F)
Current Period 
Final 
Audits])</f>
        <v>0</v>
      </c>
      <c r="G1752" s="103">
        <f>SUBTOTAL(109,Program208[(G)
Current Period 
Other Adjustments])</f>
        <v>0</v>
      </c>
      <c r="H1752" s="103">
        <f>SUBTOTAL(109,Program208[(H)
Net Program Costs
Sum (C through G)])</f>
        <v>126785712</v>
      </c>
      <c r="I1752" s="103">
        <f>SUBTOTAL(109,Program208[(I)
Payments
 and Offsets])</f>
        <v>-126068314</v>
      </c>
      <c r="J1752" s="103">
        <f>SUBTOTAL(109,Program208[(J)
Accounts Payable Balance
(H + I)])</f>
        <v>717398</v>
      </c>
      <c r="K1752" s="103">
        <f>SUBTOTAL(109,Program208[(K)
Established 
Accounts Receivable])</f>
        <v>6748858</v>
      </c>
      <c r="L1752" s="103">
        <f>SUBTOTAL(109,Program208[(L)
Recovered
 Accounts Receivable])</f>
        <v>-6748858</v>
      </c>
      <c r="M1752" s="103">
        <f>SUBTOTAL(109,Program208[(M)
Accounts Receivable Balance
(K + L)])</f>
        <v>0</v>
      </c>
      <c r="N1752" s="103">
        <f>SUBTOTAL(109,Program208[(N)
Net Balance
(J minus M)])</f>
        <v>717398</v>
      </c>
    </row>
    <row r="1753" spans="1:14" x14ac:dyDescent="0.35">
      <c r="A1753" s="116" t="s">
        <v>33</v>
      </c>
      <c r="B1753" s="115"/>
      <c r="C1753" s="114"/>
      <c r="D1753" s="114"/>
      <c r="E1753" s="114"/>
      <c r="F1753" s="114"/>
      <c r="G1753" s="114"/>
      <c r="H1753" s="114"/>
      <c r="I1753" s="114"/>
      <c r="J1753" s="114"/>
      <c r="K1753" s="114"/>
      <c r="L1753" s="114"/>
      <c r="M1753" s="114"/>
      <c r="N1753" s="114"/>
    </row>
    <row r="1754" spans="1:14" ht="77.5" x14ac:dyDescent="0.35">
      <c r="A1754" s="113" t="s">
        <v>185</v>
      </c>
      <c r="B1754" s="112" t="s">
        <v>184</v>
      </c>
      <c r="C1754" s="111" t="s">
        <v>183</v>
      </c>
      <c r="D1754" s="111" t="s">
        <v>182</v>
      </c>
      <c r="E1754" s="111" t="s">
        <v>181</v>
      </c>
      <c r="F1754" s="111" t="s">
        <v>180</v>
      </c>
      <c r="G1754" s="111" t="s">
        <v>179</v>
      </c>
      <c r="H1754" s="110" t="s">
        <v>674</v>
      </c>
      <c r="I1754" s="110" t="s">
        <v>178</v>
      </c>
      <c r="J1754" s="110" t="s">
        <v>177</v>
      </c>
      <c r="K1754" s="111" t="s">
        <v>176</v>
      </c>
      <c r="L1754" s="110" t="s">
        <v>175</v>
      </c>
      <c r="M1754" s="110" t="s">
        <v>174</v>
      </c>
      <c r="N1754" s="109" t="s">
        <v>173</v>
      </c>
    </row>
    <row r="1755" spans="1:14" x14ac:dyDescent="0.35">
      <c r="A1755" s="108" t="s">
        <v>486</v>
      </c>
      <c r="B1755" s="108" t="s">
        <v>194</v>
      </c>
      <c r="C1755" s="106">
        <v>281612</v>
      </c>
      <c r="D1755" s="106">
        <v>-531</v>
      </c>
      <c r="E1755" s="106">
        <v>0</v>
      </c>
      <c r="F1755" s="106">
        <v>0</v>
      </c>
      <c r="G1755" s="106">
        <v>0</v>
      </c>
      <c r="H1755" s="106">
        <v>281081</v>
      </c>
      <c r="I1755" s="106">
        <v>-281081</v>
      </c>
      <c r="J1755" s="106">
        <v>0</v>
      </c>
      <c r="K1755" s="106">
        <v>0</v>
      </c>
      <c r="L1755" s="106">
        <v>0</v>
      </c>
      <c r="M1755" s="106">
        <v>0</v>
      </c>
      <c r="N1755" s="106">
        <v>0</v>
      </c>
    </row>
    <row r="1756" spans="1:14" x14ac:dyDescent="0.35">
      <c r="A1756" s="108" t="s">
        <v>486</v>
      </c>
      <c r="B1756" s="108" t="s">
        <v>193</v>
      </c>
      <c r="C1756" s="106">
        <v>319459</v>
      </c>
      <c r="D1756" s="106">
        <v>-830</v>
      </c>
      <c r="E1756" s="106">
        <v>0</v>
      </c>
      <c r="F1756" s="106">
        <v>0</v>
      </c>
      <c r="G1756" s="106">
        <v>0</v>
      </c>
      <c r="H1756" s="106">
        <v>318629</v>
      </c>
      <c r="I1756" s="106">
        <v>-318629</v>
      </c>
      <c r="J1756" s="106">
        <v>0</v>
      </c>
      <c r="K1756" s="106">
        <v>0</v>
      </c>
      <c r="L1756" s="106">
        <v>0</v>
      </c>
      <c r="M1756" s="106">
        <v>0</v>
      </c>
      <c r="N1756" s="106">
        <v>0</v>
      </c>
    </row>
    <row r="1757" spans="1:14" ht="16" thickBot="1" x14ac:dyDescent="0.4">
      <c r="A1757" s="105" t="s">
        <v>364</v>
      </c>
      <c r="B1757" s="79" t="s">
        <v>12</v>
      </c>
      <c r="C1757" s="48">
        <f>SUBTOTAL(109,Program224[(C)
Program
Costs])</f>
        <v>601071</v>
      </c>
      <c r="D1757" s="48">
        <f>SUBTOTAL(109,Program224[(D)
Prior Period Adjustments])</f>
        <v>-1361</v>
      </c>
      <c r="E1757" s="48">
        <f>SUBTOTAL(109,Program224[(E)
Current Period Desk 
Reviews])</f>
        <v>0</v>
      </c>
      <c r="F1757" s="48">
        <f>SUBTOTAL(109,Program224[(F)
Current Period 
Final 
Audits])</f>
        <v>0</v>
      </c>
      <c r="G1757" s="48">
        <f>SUBTOTAL(109,Program224[(G)
Current Period 
Other Adjustments])</f>
        <v>0</v>
      </c>
      <c r="H1757" s="48">
        <f>SUBTOTAL(109,Program224[(H)
Net Program Costs
Sum (C through G)])</f>
        <v>599710</v>
      </c>
      <c r="I1757" s="48">
        <f>SUBTOTAL(109,Program224[(I)
Payments
 and Offsets])</f>
        <v>-599710</v>
      </c>
      <c r="J1757" s="48">
        <f>SUBTOTAL(109,Program224[(J)
Accounts Payable Balance
(H + I)])</f>
        <v>0</v>
      </c>
      <c r="K1757" s="48">
        <f>SUBTOTAL(109,Program224[(K)
Established 
Accounts Receivable])</f>
        <v>0</v>
      </c>
      <c r="L1757" s="48">
        <f>SUBTOTAL(109,Program224[(L)
Recovered
 Accounts Receivable])</f>
        <v>0</v>
      </c>
      <c r="M1757" s="48">
        <f>SUBTOTAL(109,Program224[(M)
Accounts Receivable Balance
(K + L)])</f>
        <v>0</v>
      </c>
      <c r="N1757" s="48">
        <f>SUBTOTAL(109,Program224[(N)
Net Balance
(J minus M)])</f>
        <v>0</v>
      </c>
    </row>
    <row r="1758" spans="1:14" x14ac:dyDescent="0.35">
      <c r="A1758" s="116" t="s">
        <v>33</v>
      </c>
      <c r="B1758" s="115"/>
      <c r="C1758" s="114"/>
      <c r="D1758" s="114"/>
      <c r="E1758" s="114"/>
      <c r="F1758" s="114"/>
      <c r="G1758" s="114"/>
      <c r="H1758" s="114"/>
      <c r="I1758" s="114"/>
      <c r="J1758" s="114"/>
      <c r="K1758" s="114"/>
      <c r="L1758" s="114"/>
      <c r="M1758" s="114"/>
      <c r="N1758" s="114"/>
    </row>
    <row r="1759" spans="1:14" ht="77.5" x14ac:dyDescent="0.35">
      <c r="A1759" s="113" t="s">
        <v>185</v>
      </c>
      <c r="B1759" s="112" t="s">
        <v>184</v>
      </c>
      <c r="C1759" s="111" t="s">
        <v>183</v>
      </c>
      <c r="D1759" s="111" t="s">
        <v>182</v>
      </c>
      <c r="E1759" s="111" t="s">
        <v>181</v>
      </c>
      <c r="F1759" s="111" t="s">
        <v>180</v>
      </c>
      <c r="G1759" s="111" t="s">
        <v>179</v>
      </c>
      <c r="H1759" s="110" t="s">
        <v>674</v>
      </c>
      <c r="I1759" s="110" t="s">
        <v>178</v>
      </c>
      <c r="J1759" s="110" t="s">
        <v>177</v>
      </c>
      <c r="K1759" s="111" t="s">
        <v>176</v>
      </c>
      <c r="L1759" s="110" t="s">
        <v>175</v>
      </c>
      <c r="M1759" s="110" t="s">
        <v>174</v>
      </c>
      <c r="N1759" s="109" t="s">
        <v>173</v>
      </c>
    </row>
    <row r="1760" spans="1:14" x14ac:dyDescent="0.35">
      <c r="A1760" s="108" t="s">
        <v>485</v>
      </c>
      <c r="B1760" s="108" t="s">
        <v>219</v>
      </c>
      <c r="C1760" s="106">
        <v>2805</v>
      </c>
      <c r="D1760" s="106">
        <v>0</v>
      </c>
      <c r="E1760" s="106">
        <v>0</v>
      </c>
      <c r="F1760" s="106">
        <v>0</v>
      </c>
      <c r="G1760" s="106">
        <v>0</v>
      </c>
      <c r="H1760" s="106">
        <v>2805</v>
      </c>
      <c r="I1760" s="106">
        <v>-1000</v>
      </c>
      <c r="J1760" s="106">
        <v>1805</v>
      </c>
      <c r="K1760" s="106">
        <v>0</v>
      </c>
      <c r="L1760" s="106">
        <v>0</v>
      </c>
      <c r="M1760" s="106">
        <v>0</v>
      </c>
      <c r="N1760" s="106">
        <v>1805</v>
      </c>
    </row>
    <row r="1761" spans="1:14" x14ac:dyDescent="0.35">
      <c r="A1761" s="108" t="s">
        <v>485</v>
      </c>
      <c r="B1761" s="108" t="s">
        <v>218</v>
      </c>
      <c r="C1761" s="106">
        <v>1359</v>
      </c>
      <c r="D1761" s="106">
        <v>0</v>
      </c>
      <c r="E1761" s="106">
        <v>0</v>
      </c>
      <c r="F1761" s="106">
        <v>0</v>
      </c>
      <c r="G1761" s="106">
        <v>0</v>
      </c>
      <c r="H1761" s="106">
        <v>1359</v>
      </c>
      <c r="I1761" s="106">
        <v>-1000</v>
      </c>
      <c r="J1761" s="106">
        <v>359</v>
      </c>
      <c r="K1761" s="106">
        <v>0</v>
      </c>
      <c r="L1761" s="106">
        <v>0</v>
      </c>
      <c r="M1761" s="106">
        <v>0</v>
      </c>
      <c r="N1761" s="106">
        <v>359</v>
      </c>
    </row>
    <row r="1762" spans="1:14" x14ac:dyDescent="0.35">
      <c r="A1762" s="108" t="s">
        <v>485</v>
      </c>
      <c r="B1762" s="108" t="s">
        <v>209</v>
      </c>
      <c r="C1762" s="106">
        <v>2483</v>
      </c>
      <c r="D1762" s="106">
        <v>0</v>
      </c>
      <c r="E1762" s="106">
        <v>0</v>
      </c>
      <c r="F1762" s="106">
        <v>0</v>
      </c>
      <c r="G1762" s="106">
        <v>0</v>
      </c>
      <c r="H1762" s="106">
        <v>2483</v>
      </c>
      <c r="I1762" s="106">
        <v>-1000</v>
      </c>
      <c r="J1762" s="106">
        <v>1483</v>
      </c>
      <c r="K1762" s="106">
        <v>0</v>
      </c>
      <c r="L1762" s="106">
        <v>0</v>
      </c>
      <c r="M1762" s="106">
        <v>0</v>
      </c>
      <c r="N1762" s="106">
        <v>1483</v>
      </c>
    </row>
    <row r="1763" spans="1:14" x14ac:dyDescent="0.35">
      <c r="A1763" s="108" t="s">
        <v>485</v>
      </c>
      <c r="B1763" s="108" t="s">
        <v>206</v>
      </c>
      <c r="C1763" s="106">
        <v>243748</v>
      </c>
      <c r="D1763" s="106">
        <v>-1015</v>
      </c>
      <c r="E1763" s="106">
        <v>0</v>
      </c>
      <c r="F1763" s="106">
        <v>0</v>
      </c>
      <c r="G1763" s="106">
        <v>0</v>
      </c>
      <c r="H1763" s="106">
        <v>242733</v>
      </c>
      <c r="I1763" s="106">
        <v>-87061</v>
      </c>
      <c r="J1763" s="106">
        <v>155672</v>
      </c>
      <c r="K1763" s="106">
        <v>0</v>
      </c>
      <c r="L1763" s="106">
        <v>0</v>
      </c>
      <c r="M1763" s="106">
        <v>0</v>
      </c>
      <c r="N1763" s="106">
        <v>155672</v>
      </c>
    </row>
    <row r="1764" spans="1:14" x14ac:dyDescent="0.35">
      <c r="A1764" s="108" t="s">
        <v>485</v>
      </c>
      <c r="B1764" s="108" t="s">
        <v>205</v>
      </c>
      <c r="C1764" s="106">
        <v>225852</v>
      </c>
      <c r="D1764" s="106">
        <v>-1690</v>
      </c>
      <c r="E1764" s="106">
        <v>0</v>
      </c>
      <c r="F1764" s="106">
        <v>0</v>
      </c>
      <c r="G1764" s="106">
        <v>0</v>
      </c>
      <c r="H1764" s="106">
        <v>224162</v>
      </c>
      <c r="I1764" s="106">
        <v>-116098</v>
      </c>
      <c r="J1764" s="106">
        <v>108064</v>
      </c>
      <c r="K1764" s="106">
        <v>0</v>
      </c>
      <c r="L1764" s="106">
        <v>0</v>
      </c>
      <c r="M1764" s="106">
        <v>0</v>
      </c>
      <c r="N1764" s="106">
        <v>108064</v>
      </c>
    </row>
    <row r="1765" spans="1:14" x14ac:dyDescent="0.35">
      <c r="A1765" s="108" t="s">
        <v>485</v>
      </c>
      <c r="B1765" s="108" t="s">
        <v>204</v>
      </c>
      <c r="C1765" s="106">
        <v>136344</v>
      </c>
      <c r="D1765" s="106">
        <v>-499</v>
      </c>
      <c r="E1765" s="106">
        <v>0</v>
      </c>
      <c r="F1765" s="106">
        <v>0</v>
      </c>
      <c r="G1765" s="106">
        <v>0</v>
      </c>
      <c r="H1765" s="106">
        <v>135845</v>
      </c>
      <c r="I1765" s="106">
        <v>-43821</v>
      </c>
      <c r="J1765" s="106">
        <v>92024</v>
      </c>
      <c r="K1765" s="106">
        <v>0</v>
      </c>
      <c r="L1765" s="106">
        <v>0</v>
      </c>
      <c r="M1765" s="106">
        <v>0</v>
      </c>
      <c r="N1765" s="106">
        <v>92024</v>
      </c>
    </row>
    <row r="1766" spans="1:14" x14ac:dyDescent="0.35">
      <c r="A1766" s="108" t="s">
        <v>485</v>
      </c>
      <c r="B1766" s="108" t="s">
        <v>203</v>
      </c>
      <c r="C1766" s="106">
        <v>124596</v>
      </c>
      <c r="D1766" s="106">
        <v>-477</v>
      </c>
      <c r="E1766" s="106">
        <v>0</v>
      </c>
      <c r="F1766" s="106">
        <v>0</v>
      </c>
      <c r="G1766" s="106">
        <v>0</v>
      </c>
      <c r="H1766" s="106">
        <v>124119</v>
      </c>
      <c r="I1766" s="106">
        <v>-55815</v>
      </c>
      <c r="J1766" s="106">
        <v>68304</v>
      </c>
      <c r="K1766" s="106">
        <v>0</v>
      </c>
      <c r="L1766" s="106">
        <v>0</v>
      </c>
      <c r="M1766" s="106">
        <v>0</v>
      </c>
      <c r="N1766" s="106">
        <v>68304</v>
      </c>
    </row>
    <row r="1767" spans="1:14" x14ac:dyDescent="0.35">
      <c r="A1767" s="108" t="s">
        <v>485</v>
      </c>
      <c r="B1767" s="108" t="s">
        <v>202</v>
      </c>
      <c r="C1767" s="106">
        <v>83782</v>
      </c>
      <c r="D1767" s="106">
        <v>-546</v>
      </c>
      <c r="E1767" s="106">
        <v>0</v>
      </c>
      <c r="F1767" s="106">
        <v>0</v>
      </c>
      <c r="G1767" s="106">
        <v>0</v>
      </c>
      <c r="H1767" s="106">
        <v>83236</v>
      </c>
      <c r="I1767" s="106">
        <v>-46217</v>
      </c>
      <c r="J1767" s="106">
        <v>37019</v>
      </c>
      <c r="K1767" s="106">
        <v>0</v>
      </c>
      <c r="L1767" s="106">
        <v>0</v>
      </c>
      <c r="M1767" s="106">
        <v>0</v>
      </c>
      <c r="N1767" s="106">
        <v>37019</v>
      </c>
    </row>
    <row r="1768" spans="1:14" x14ac:dyDescent="0.35">
      <c r="A1768" s="108" t="s">
        <v>485</v>
      </c>
      <c r="B1768" s="108" t="s">
        <v>201</v>
      </c>
      <c r="C1768" s="106">
        <v>69117</v>
      </c>
      <c r="D1768" s="106">
        <v>-340</v>
      </c>
      <c r="E1768" s="106">
        <v>0</v>
      </c>
      <c r="F1768" s="106">
        <v>0</v>
      </c>
      <c r="G1768" s="106">
        <v>0</v>
      </c>
      <c r="H1768" s="106">
        <v>68777</v>
      </c>
      <c r="I1768" s="106">
        <v>-28480</v>
      </c>
      <c r="J1768" s="106">
        <v>40297</v>
      </c>
      <c r="K1768" s="106">
        <v>0</v>
      </c>
      <c r="L1768" s="106">
        <v>0</v>
      </c>
      <c r="M1768" s="106">
        <v>0</v>
      </c>
      <c r="N1768" s="106">
        <v>40297</v>
      </c>
    </row>
    <row r="1769" spans="1:14" x14ac:dyDescent="0.35">
      <c r="A1769" s="108" t="s">
        <v>485</v>
      </c>
      <c r="B1769" s="108" t="s">
        <v>200</v>
      </c>
      <c r="C1769" s="106">
        <v>75535</v>
      </c>
      <c r="D1769" s="106">
        <v>-498</v>
      </c>
      <c r="E1769" s="106">
        <v>0</v>
      </c>
      <c r="F1769" s="106">
        <v>0</v>
      </c>
      <c r="G1769" s="106">
        <v>0</v>
      </c>
      <c r="H1769" s="106">
        <v>75037</v>
      </c>
      <c r="I1769" s="106">
        <v>-67868</v>
      </c>
      <c r="J1769" s="106">
        <v>7169</v>
      </c>
      <c r="K1769" s="106">
        <v>0</v>
      </c>
      <c r="L1769" s="106">
        <v>0</v>
      </c>
      <c r="M1769" s="106">
        <v>0</v>
      </c>
      <c r="N1769" s="106">
        <v>7169</v>
      </c>
    </row>
    <row r="1770" spans="1:14" x14ac:dyDescent="0.35">
      <c r="A1770" s="108" t="s">
        <v>485</v>
      </c>
      <c r="B1770" s="108" t="s">
        <v>199</v>
      </c>
      <c r="C1770" s="106">
        <v>54053</v>
      </c>
      <c r="D1770" s="106">
        <v>-759</v>
      </c>
      <c r="E1770" s="106">
        <v>0</v>
      </c>
      <c r="F1770" s="106">
        <v>0</v>
      </c>
      <c r="G1770" s="106">
        <v>0</v>
      </c>
      <c r="H1770" s="106">
        <v>53294</v>
      </c>
      <c r="I1770" s="106">
        <v>-46597</v>
      </c>
      <c r="J1770" s="106">
        <v>6697</v>
      </c>
      <c r="K1770" s="106">
        <v>0</v>
      </c>
      <c r="L1770" s="106">
        <v>0</v>
      </c>
      <c r="M1770" s="106">
        <v>0</v>
      </c>
      <c r="N1770" s="106">
        <v>6697</v>
      </c>
    </row>
    <row r="1771" spans="1:14" x14ac:dyDescent="0.35">
      <c r="A1771" s="108" t="s">
        <v>485</v>
      </c>
      <c r="B1771" s="108" t="s">
        <v>198</v>
      </c>
      <c r="C1771" s="106">
        <v>38314</v>
      </c>
      <c r="D1771" s="106">
        <v>0</v>
      </c>
      <c r="E1771" s="106">
        <v>0</v>
      </c>
      <c r="F1771" s="106">
        <v>0</v>
      </c>
      <c r="G1771" s="106">
        <v>0</v>
      </c>
      <c r="H1771" s="106">
        <v>38314</v>
      </c>
      <c r="I1771" s="106">
        <v>-38314</v>
      </c>
      <c r="J1771" s="106">
        <v>0</v>
      </c>
      <c r="K1771" s="106">
        <v>0</v>
      </c>
      <c r="L1771" s="106">
        <v>0</v>
      </c>
      <c r="M1771" s="106">
        <v>0</v>
      </c>
      <c r="N1771" s="106">
        <v>0</v>
      </c>
    </row>
    <row r="1772" spans="1:14" x14ac:dyDescent="0.35">
      <c r="A1772" s="108" t="s">
        <v>485</v>
      </c>
      <c r="B1772" s="108" t="s">
        <v>197</v>
      </c>
      <c r="C1772" s="106">
        <v>32464</v>
      </c>
      <c r="D1772" s="106">
        <v>0</v>
      </c>
      <c r="E1772" s="106">
        <v>0</v>
      </c>
      <c r="F1772" s="106">
        <v>0</v>
      </c>
      <c r="G1772" s="106">
        <v>0</v>
      </c>
      <c r="H1772" s="106">
        <v>32464</v>
      </c>
      <c r="I1772" s="106">
        <v>-32464</v>
      </c>
      <c r="J1772" s="106">
        <v>0</v>
      </c>
      <c r="K1772" s="106">
        <v>0</v>
      </c>
      <c r="L1772" s="106">
        <v>0</v>
      </c>
      <c r="M1772" s="106">
        <v>0</v>
      </c>
      <c r="N1772" s="106">
        <v>0</v>
      </c>
    </row>
    <row r="1773" spans="1:14" ht="16" thickBot="1" x14ac:dyDescent="0.4">
      <c r="A1773" s="105" t="s">
        <v>363</v>
      </c>
      <c r="B1773" s="79" t="s">
        <v>12</v>
      </c>
      <c r="C1773" s="103">
        <f>SUBTOTAL(109,Program308[(C)
Program
Costs])</f>
        <v>1090452</v>
      </c>
      <c r="D1773" s="103">
        <f>SUBTOTAL(109,Program308[(D)
Prior Period Adjustments])</f>
        <v>-5824</v>
      </c>
      <c r="E1773" s="103">
        <f>SUBTOTAL(109,Program308[(E)
Current Period Desk 
Reviews])</f>
        <v>0</v>
      </c>
      <c r="F1773" s="103">
        <f>SUBTOTAL(109,Program308[(F)
Current Period 
Final 
Audits])</f>
        <v>0</v>
      </c>
      <c r="G1773" s="103">
        <f>SUBTOTAL(109,Program308[(G)
Current Period 
Other Adjustments])</f>
        <v>0</v>
      </c>
      <c r="H1773" s="103">
        <f>SUBTOTAL(109,Program308[(H)
Net Program Costs
Sum (C through G)])</f>
        <v>1084628</v>
      </c>
      <c r="I1773" s="103">
        <f>SUBTOTAL(109,Program308[(I)
Payments
 and Offsets])</f>
        <v>-565735</v>
      </c>
      <c r="J1773" s="103">
        <f>SUBTOTAL(109,Program308[(J)
Accounts Payable Balance
(H + I)])</f>
        <v>518893</v>
      </c>
      <c r="K1773" s="103">
        <f>SUBTOTAL(109,Program308[(K)
Established 
Accounts Receivable])</f>
        <v>0</v>
      </c>
      <c r="L1773" s="103">
        <f>SUBTOTAL(109,Program308[(L)
Recovered
 Accounts Receivable])</f>
        <v>0</v>
      </c>
      <c r="M1773" s="103">
        <f>SUBTOTAL(109,Program308[(M)
Accounts Receivable Balance
(K + L)])</f>
        <v>0</v>
      </c>
      <c r="N1773" s="103">
        <f>SUBTOTAL(109,Program308[(N)
Net Balance
(J minus M)])</f>
        <v>518893</v>
      </c>
    </row>
    <row r="1774" spans="1:14" x14ac:dyDescent="0.35">
      <c r="A1774" s="116" t="s">
        <v>33</v>
      </c>
      <c r="B1774" s="115"/>
      <c r="C1774" s="114"/>
      <c r="D1774" s="114"/>
      <c r="E1774" s="114"/>
      <c r="F1774" s="114"/>
      <c r="G1774" s="114"/>
      <c r="H1774" s="114"/>
      <c r="I1774" s="114"/>
      <c r="J1774" s="114"/>
      <c r="K1774" s="114"/>
      <c r="L1774" s="114"/>
      <c r="M1774" s="114"/>
      <c r="N1774" s="114"/>
    </row>
    <row r="1775" spans="1:14" ht="77.5" x14ac:dyDescent="0.35">
      <c r="A1775" s="113" t="s">
        <v>185</v>
      </c>
      <c r="B1775" s="112" t="s">
        <v>184</v>
      </c>
      <c r="C1775" s="111" t="s">
        <v>183</v>
      </c>
      <c r="D1775" s="111" t="s">
        <v>182</v>
      </c>
      <c r="E1775" s="111" t="s">
        <v>181</v>
      </c>
      <c r="F1775" s="111" t="s">
        <v>180</v>
      </c>
      <c r="G1775" s="111" t="s">
        <v>179</v>
      </c>
      <c r="H1775" s="110" t="s">
        <v>674</v>
      </c>
      <c r="I1775" s="110" t="s">
        <v>178</v>
      </c>
      <c r="J1775" s="110" t="s">
        <v>177</v>
      </c>
      <c r="K1775" s="111" t="s">
        <v>176</v>
      </c>
      <c r="L1775" s="110" t="s">
        <v>175</v>
      </c>
      <c r="M1775" s="110" t="s">
        <v>174</v>
      </c>
      <c r="N1775" s="109" t="s">
        <v>173</v>
      </c>
    </row>
    <row r="1776" spans="1:14" x14ac:dyDescent="0.35">
      <c r="A1776" s="108" t="s">
        <v>484</v>
      </c>
      <c r="B1776" s="108" t="s">
        <v>202</v>
      </c>
      <c r="C1776" s="106">
        <v>14384</v>
      </c>
      <c r="D1776" s="106">
        <v>-1227</v>
      </c>
      <c r="E1776" s="106">
        <v>0</v>
      </c>
      <c r="F1776" s="106">
        <v>0</v>
      </c>
      <c r="G1776" s="106">
        <v>0</v>
      </c>
      <c r="H1776" s="106">
        <v>13157</v>
      </c>
      <c r="I1776" s="106">
        <v>-13157</v>
      </c>
      <c r="J1776" s="106">
        <v>0</v>
      </c>
      <c r="K1776" s="106">
        <v>0</v>
      </c>
      <c r="L1776" s="106">
        <v>0</v>
      </c>
      <c r="M1776" s="106">
        <v>0</v>
      </c>
      <c r="N1776" s="106">
        <v>0</v>
      </c>
    </row>
    <row r="1777" spans="1:14" x14ac:dyDescent="0.35">
      <c r="A1777" s="108" t="s">
        <v>484</v>
      </c>
      <c r="B1777" s="108" t="s">
        <v>201</v>
      </c>
      <c r="C1777" s="106">
        <v>20020</v>
      </c>
      <c r="D1777" s="106">
        <v>-1599</v>
      </c>
      <c r="E1777" s="106">
        <v>0</v>
      </c>
      <c r="F1777" s="106">
        <v>0</v>
      </c>
      <c r="G1777" s="106">
        <v>0</v>
      </c>
      <c r="H1777" s="106">
        <v>18421</v>
      </c>
      <c r="I1777" s="106">
        <v>-18421</v>
      </c>
      <c r="J1777" s="106">
        <v>0</v>
      </c>
      <c r="K1777" s="106">
        <v>0</v>
      </c>
      <c r="L1777" s="106">
        <v>0</v>
      </c>
      <c r="M1777" s="106">
        <v>0</v>
      </c>
      <c r="N1777" s="106">
        <v>0</v>
      </c>
    </row>
    <row r="1778" spans="1:14" x14ac:dyDescent="0.35">
      <c r="A1778" s="108" t="s">
        <v>484</v>
      </c>
      <c r="B1778" s="108" t="s">
        <v>200</v>
      </c>
      <c r="C1778" s="106">
        <v>23466</v>
      </c>
      <c r="D1778" s="106">
        <v>-1457</v>
      </c>
      <c r="E1778" s="106">
        <v>0</v>
      </c>
      <c r="F1778" s="106">
        <v>0</v>
      </c>
      <c r="G1778" s="106">
        <v>0</v>
      </c>
      <c r="H1778" s="106">
        <v>22009</v>
      </c>
      <c r="I1778" s="106">
        <v>-22009</v>
      </c>
      <c r="J1778" s="106">
        <v>0</v>
      </c>
      <c r="K1778" s="106">
        <v>0</v>
      </c>
      <c r="L1778" s="106">
        <v>0</v>
      </c>
      <c r="M1778" s="106">
        <v>0</v>
      </c>
      <c r="N1778" s="106">
        <v>0</v>
      </c>
    </row>
    <row r="1779" spans="1:14" x14ac:dyDescent="0.35">
      <c r="A1779" s="108" t="s">
        <v>484</v>
      </c>
      <c r="B1779" s="108" t="s">
        <v>199</v>
      </c>
      <c r="C1779" s="106">
        <v>16697</v>
      </c>
      <c r="D1779" s="106">
        <v>-1342</v>
      </c>
      <c r="E1779" s="106">
        <v>0</v>
      </c>
      <c r="F1779" s="106">
        <v>0</v>
      </c>
      <c r="G1779" s="106">
        <v>0</v>
      </c>
      <c r="H1779" s="106">
        <v>15355</v>
      </c>
      <c r="I1779" s="106">
        <v>-15355</v>
      </c>
      <c r="J1779" s="106">
        <v>0</v>
      </c>
      <c r="K1779" s="106">
        <v>0</v>
      </c>
      <c r="L1779" s="106">
        <v>0</v>
      </c>
      <c r="M1779" s="106">
        <v>0</v>
      </c>
      <c r="N1779" s="106">
        <v>0</v>
      </c>
    </row>
    <row r="1780" spans="1:14" x14ac:dyDescent="0.35">
      <c r="A1780" s="108" t="s">
        <v>484</v>
      </c>
      <c r="B1780" s="108" t="s">
        <v>198</v>
      </c>
      <c r="C1780" s="106">
        <v>18061</v>
      </c>
      <c r="D1780" s="106">
        <v>-1506</v>
      </c>
      <c r="E1780" s="106">
        <v>0</v>
      </c>
      <c r="F1780" s="106">
        <v>0</v>
      </c>
      <c r="G1780" s="106">
        <v>0</v>
      </c>
      <c r="H1780" s="106">
        <v>16555</v>
      </c>
      <c r="I1780" s="106">
        <v>-16555</v>
      </c>
      <c r="J1780" s="106">
        <v>0</v>
      </c>
      <c r="K1780" s="106">
        <v>0</v>
      </c>
      <c r="L1780" s="106">
        <v>0</v>
      </c>
      <c r="M1780" s="106">
        <v>0</v>
      </c>
      <c r="N1780" s="106">
        <v>0</v>
      </c>
    </row>
    <row r="1781" spans="1:14" ht="16" thickBot="1" x14ac:dyDescent="0.4">
      <c r="A1781" s="105" t="s">
        <v>362</v>
      </c>
      <c r="B1781" s="79" t="s">
        <v>12</v>
      </c>
      <c r="C1781" s="103">
        <f>SUBTOTAL(109,Program352[(C)
Program
Costs])</f>
        <v>92628</v>
      </c>
      <c r="D1781" s="103">
        <f>SUBTOTAL(109,Program352[(D)
Prior Period Adjustments])</f>
        <v>-7131</v>
      </c>
      <c r="E1781" s="103">
        <f>SUBTOTAL(109,Program352[(E)
Current Period Desk 
Reviews])</f>
        <v>0</v>
      </c>
      <c r="F1781" s="103">
        <f>SUBTOTAL(109,Program352[(F)
Current Period 
Final 
Audits])</f>
        <v>0</v>
      </c>
      <c r="G1781" s="103">
        <f>SUBTOTAL(109,Program352[(G)
Current Period 
Other Adjustments])</f>
        <v>0</v>
      </c>
      <c r="H1781" s="103">
        <f>SUBTOTAL(109,Program352[(H)
Net Program Costs
Sum (C through G)])</f>
        <v>85497</v>
      </c>
      <c r="I1781" s="103">
        <f>SUBTOTAL(109,Program352[(I)
Payments
 and Offsets])</f>
        <v>-85497</v>
      </c>
      <c r="J1781" s="103">
        <f>SUBTOTAL(109,Program352[(J)
Accounts Payable Balance
(H + I)])</f>
        <v>0</v>
      </c>
      <c r="K1781" s="103">
        <f>SUBTOTAL(109,Program352[(K)
Established 
Accounts Receivable])</f>
        <v>0</v>
      </c>
      <c r="L1781" s="103">
        <f>SUBTOTAL(109,Program352[(L)
Recovered
 Accounts Receivable])</f>
        <v>0</v>
      </c>
      <c r="M1781" s="103">
        <f>SUBTOTAL(109,Program352[(M)
Accounts Receivable Balance
(K + L)])</f>
        <v>0</v>
      </c>
      <c r="N1781" s="103">
        <f>SUBTOTAL(109,Program352[(N)
Net Balance
(J minus M)])</f>
        <v>0</v>
      </c>
    </row>
    <row r="1782" spans="1:14" x14ac:dyDescent="0.35">
      <c r="A1782" s="116" t="s">
        <v>33</v>
      </c>
      <c r="B1782" s="115"/>
      <c r="C1782" s="114"/>
      <c r="D1782" s="114"/>
      <c r="E1782" s="114"/>
      <c r="F1782" s="114"/>
      <c r="G1782" s="114"/>
      <c r="H1782" s="114"/>
      <c r="I1782" s="114"/>
      <c r="J1782" s="114"/>
      <c r="K1782" s="114"/>
      <c r="L1782" s="114"/>
      <c r="M1782" s="114"/>
      <c r="N1782" s="114"/>
    </row>
    <row r="1783" spans="1:14" ht="77.5" x14ac:dyDescent="0.35">
      <c r="A1783" s="113" t="s">
        <v>185</v>
      </c>
      <c r="B1783" s="112" t="s">
        <v>184</v>
      </c>
      <c r="C1783" s="111" t="s">
        <v>183</v>
      </c>
      <c r="D1783" s="111" t="s">
        <v>182</v>
      </c>
      <c r="E1783" s="111" t="s">
        <v>181</v>
      </c>
      <c r="F1783" s="111" t="s">
        <v>180</v>
      </c>
      <c r="G1783" s="111" t="s">
        <v>179</v>
      </c>
      <c r="H1783" s="110" t="s">
        <v>674</v>
      </c>
      <c r="I1783" s="110" t="s">
        <v>178</v>
      </c>
      <c r="J1783" s="110" t="s">
        <v>177</v>
      </c>
      <c r="K1783" s="111" t="s">
        <v>176</v>
      </c>
      <c r="L1783" s="110" t="s">
        <v>175</v>
      </c>
      <c r="M1783" s="110" t="s">
        <v>174</v>
      </c>
      <c r="N1783" s="109" t="s">
        <v>173</v>
      </c>
    </row>
    <row r="1784" spans="1:14" x14ac:dyDescent="0.35">
      <c r="A1784" s="108" t="s">
        <v>483</v>
      </c>
      <c r="B1784" s="108" t="s">
        <v>199</v>
      </c>
      <c r="C1784" s="106">
        <v>11745</v>
      </c>
      <c r="D1784" s="106">
        <v>0</v>
      </c>
      <c r="E1784" s="106">
        <v>0</v>
      </c>
      <c r="F1784" s="106">
        <v>0</v>
      </c>
      <c r="G1784" s="106">
        <v>0</v>
      </c>
      <c r="H1784" s="106">
        <v>11745</v>
      </c>
      <c r="I1784" s="106">
        <v>-11745</v>
      </c>
      <c r="J1784" s="106">
        <v>0</v>
      </c>
      <c r="K1784" s="106">
        <v>0</v>
      </c>
      <c r="L1784" s="106">
        <v>0</v>
      </c>
      <c r="M1784" s="106">
        <v>0</v>
      </c>
      <c r="N1784" s="106">
        <v>0</v>
      </c>
    </row>
    <row r="1785" spans="1:14" x14ac:dyDescent="0.35">
      <c r="A1785" s="108" t="s">
        <v>483</v>
      </c>
      <c r="B1785" s="108" t="s">
        <v>198</v>
      </c>
      <c r="C1785" s="106">
        <v>8979</v>
      </c>
      <c r="D1785" s="106">
        <v>0</v>
      </c>
      <c r="E1785" s="106">
        <v>0</v>
      </c>
      <c r="F1785" s="106">
        <v>0</v>
      </c>
      <c r="G1785" s="106">
        <v>0</v>
      </c>
      <c r="H1785" s="106">
        <v>8979</v>
      </c>
      <c r="I1785" s="106">
        <v>-8979</v>
      </c>
      <c r="J1785" s="106">
        <v>0</v>
      </c>
      <c r="K1785" s="106">
        <v>0</v>
      </c>
      <c r="L1785" s="106">
        <v>0</v>
      </c>
      <c r="M1785" s="106">
        <v>0</v>
      </c>
      <c r="N1785" s="106">
        <v>0</v>
      </c>
    </row>
    <row r="1786" spans="1:14" x14ac:dyDescent="0.35">
      <c r="A1786" s="108" t="s">
        <v>483</v>
      </c>
      <c r="B1786" s="108" t="s">
        <v>197</v>
      </c>
      <c r="C1786" s="106">
        <v>11518</v>
      </c>
      <c r="D1786" s="106">
        <v>0</v>
      </c>
      <c r="E1786" s="106">
        <v>0</v>
      </c>
      <c r="F1786" s="106">
        <v>0</v>
      </c>
      <c r="G1786" s="106">
        <v>0</v>
      </c>
      <c r="H1786" s="106">
        <v>11518</v>
      </c>
      <c r="I1786" s="106">
        <v>-11518</v>
      </c>
      <c r="J1786" s="106">
        <v>0</v>
      </c>
      <c r="K1786" s="106">
        <v>0</v>
      </c>
      <c r="L1786" s="106">
        <v>0</v>
      </c>
      <c r="M1786" s="106">
        <v>0</v>
      </c>
      <c r="N1786" s="106">
        <v>0</v>
      </c>
    </row>
    <row r="1787" spans="1:14" x14ac:dyDescent="0.35">
      <c r="A1787" s="108" t="s">
        <v>483</v>
      </c>
      <c r="B1787" s="108" t="s">
        <v>196</v>
      </c>
      <c r="C1787" s="106">
        <v>8104</v>
      </c>
      <c r="D1787" s="106">
        <v>0</v>
      </c>
      <c r="E1787" s="106">
        <v>0</v>
      </c>
      <c r="F1787" s="106">
        <v>0</v>
      </c>
      <c r="G1787" s="106">
        <v>0</v>
      </c>
      <c r="H1787" s="106">
        <v>8104</v>
      </c>
      <c r="I1787" s="106">
        <v>-8104</v>
      </c>
      <c r="J1787" s="106">
        <v>0</v>
      </c>
      <c r="K1787" s="106">
        <v>0</v>
      </c>
      <c r="L1787" s="106">
        <v>0</v>
      </c>
      <c r="M1787" s="106">
        <v>0</v>
      </c>
      <c r="N1787" s="106">
        <v>0</v>
      </c>
    </row>
    <row r="1788" spans="1:14" x14ac:dyDescent="0.35">
      <c r="A1788" s="108" t="s">
        <v>483</v>
      </c>
      <c r="B1788" s="108" t="s">
        <v>195</v>
      </c>
      <c r="C1788" s="106">
        <v>10844</v>
      </c>
      <c r="D1788" s="106">
        <v>0</v>
      </c>
      <c r="E1788" s="106">
        <v>0</v>
      </c>
      <c r="F1788" s="106">
        <v>0</v>
      </c>
      <c r="G1788" s="106">
        <v>0</v>
      </c>
      <c r="H1788" s="106">
        <v>10844</v>
      </c>
      <c r="I1788" s="106">
        <v>-10844</v>
      </c>
      <c r="J1788" s="106">
        <v>0</v>
      </c>
      <c r="K1788" s="106">
        <v>0</v>
      </c>
      <c r="L1788" s="106">
        <v>0</v>
      </c>
      <c r="M1788" s="106">
        <v>0</v>
      </c>
      <c r="N1788" s="106">
        <v>0</v>
      </c>
    </row>
    <row r="1789" spans="1:14" x14ac:dyDescent="0.35">
      <c r="A1789" s="108" t="s">
        <v>483</v>
      </c>
      <c r="B1789" s="108" t="s">
        <v>194</v>
      </c>
      <c r="C1789" s="106">
        <v>1465</v>
      </c>
      <c r="D1789" s="106">
        <v>0</v>
      </c>
      <c r="E1789" s="106">
        <v>0</v>
      </c>
      <c r="F1789" s="106">
        <v>0</v>
      </c>
      <c r="G1789" s="106">
        <v>0</v>
      </c>
      <c r="H1789" s="106">
        <v>1465</v>
      </c>
      <c r="I1789" s="106">
        <v>-1465</v>
      </c>
      <c r="J1789" s="106">
        <v>0</v>
      </c>
      <c r="K1789" s="106">
        <v>0</v>
      </c>
      <c r="L1789" s="106">
        <v>0</v>
      </c>
      <c r="M1789" s="106">
        <v>0</v>
      </c>
      <c r="N1789" s="106">
        <v>0</v>
      </c>
    </row>
    <row r="1790" spans="1:14" ht="16" thickBot="1" x14ac:dyDescent="0.4">
      <c r="A1790" s="148" t="s">
        <v>361</v>
      </c>
      <c r="B1790" s="149" t="s">
        <v>12</v>
      </c>
      <c r="C1790" s="150">
        <f>SUBTOTAL(109,Program252[(C)
Program
Costs])</f>
        <v>52655</v>
      </c>
      <c r="D1790" s="150">
        <f>SUBTOTAL(109,Program252[(D)
Prior Period Adjustments])</f>
        <v>0</v>
      </c>
      <c r="E1790" s="150">
        <f>SUBTOTAL(109,Program252[(E)
Current Period Desk 
Reviews])</f>
        <v>0</v>
      </c>
      <c r="F1790" s="150">
        <f>SUBTOTAL(109,Program252[(F)
Current Period 
Final 
Audits])</f>
        <v>0</v>
      </c>
      <c r="G1790" s="150">
        <f>SUBTOTAL(109,Program252[(G)
Current Period 
Other Adjustments])</f>
        <v>0</v>
      </c>
      <c r="H1790" s="150">
        <f>SUBTOTAL(109,Program252[(H)
Net Program Costs
Sum (C through G)])</f>
        <v>52655</v>
      </c>
      <c r="I1790" s="150">
        <f>SUBTOTAL(109,Program252[(I)
Payments
 and Offsets])</f>
        <v>-52655</v>
      </c>
      <c r="J1790" s="150">
        <f>SUBTOTAL(109,Program252[(J)
Accounts Payable Balance
(H + I)])</f>
        <v>0</v>
      </c>
      <c r="K1790" s="150">
        <f>SUBTOTAL(109,Program252[(K)
Established 
Accounts Receivable])</f>
        <v>0</v>
      </c>
      <c r="L1790" s="150">
        <f>SUBTOTAL(109,Program252[(L)
Recovered
 Accounts Receivable])</f>
        <v>0</v>
      </c>
      <c r="M1790" s="150">
        <f>SUBTOTAL(109,Program252[(M)
Accounts Receivable Balance
(K + L)])</f>
        <v>0</v>
      </c>
      <c r="N1790" s="150">
        <f>SUBTOTAL(109,Program252[(N)
Net Balance
(J minus M)])</f>
        <v>0</v>
      </c>
    </row>
    <row r="1791" spans="1:14" x14ac:dyDescent="0.35">
      <c r="A1791" s="116" t="s">
        <v>33</v>
      </c>
      <c r="B1791" s="115"/>
      <c r="C1791" s="114"/>
      <c r="D1791" s="114"/>
      <c r="E1791" s="114"/>
      <c r="F1791" s="114"/>
      <c r="G1791" s="114"/>
      <c r="H1791" s="114"/>
      <c r="I1791" s="114"/>
      <c r="J1791" s="114"/>
      <c r="K1791" s="114"/>
      <c r="L1791" s="114"/>
      <c r="M1791" s="114"/>
      <c r="N1791" s="114"/>
    </row>
    <row r="1792" spans="1:14" ht="77.5" x14ac:dyDescent="0.35">
      <c r="A1792" s="113" t="s">
        <v>185</v>
      </c>
      <c r="B1792" s="112" t="s">
        <v>184</v>
      </c>
      <c r="C1792" s="111" t="s">
        <v>183</v>
      </c>
      <c r="D1792" s="111" t="s">
        <v>182</v>
      </c>
      <c r="E1792" s="111" t="s">
        <v>181</v>
      </c>
      <c r="F1792" s="111" t="s">
        <v>180</v>
      </c>
      <c r="G1792" s="111" t="s">
        <v>179</v>
      </c>
      <c r="H1792" s="110" t="s">
        <v>674</v>
      </c>
      <c r="I1792" s="110" t="s">
        <v>178</v>
      </c>
      <c r="J1792" s="110" t="s">
        <v>177</v>
      </c>
      <c r="K1792" s="111" t="s">
        <v>176</v>
      </c>
      <c r="L1792" s="110" t="s">
        <v>175</v>
      </c>
      <c r="M1792" s="110" t="s">
        <v>174</v>
      </c>
      <c r="N1792" s="109" t="s">
        <v>173</v>
      </c>
    </row>
    <row r="1793" spans="1:14" x14ac:dyDescent="0.35">
      <c r="A1793" s="108" t="s">
        <v>482</v>
      </c>
      <c r="B1793" s="108" t="s">
        <v>215</v>
      </c>
      <c r="C1793" s="106">
        <v>105162</v>
      </c>
      <c r="D1793" s="106">
        <v>0</v>
      </c>
      <c r="E1793" s="106">
        <v>0</v>
      </c>
      <c r="F1793" s="106">
        <v>0</v>
      </c>
      <c r="G1793" s="106">
        <v>0</v>
      </c>
      <c r="H1793" s="106">
        <v>105162</v>
      </c>
      <c r="I1793" s="106">
        <v>0</v>
      </c>
      <c r="J1793" s="106">
        <v>105162</v>
      </c>
      <c r="K1793" s="106">
        <v>0</v>
      </c>
      <c r="L1793" s="106">
        <v>0</v>
      </c>
      <c r="M1793" s="106">
        <v>0</v>
      </c>
      <c r="N1793" s="106">
        <v>105162</v>
      </c>
    </row>
    <row r="1794" spans="1:14" x14ac:dyDescent="0.35">
      <c r="A1794" s="108" t="s">
        <v>482</v>
      </c>
      <c r="B1794" s="108" t="s">
        <v>214</v>
      </c>
      <c r="C1794" s="106">
        <v>192758</v>
      </c>
      <c r="D1794" s="106">
        <v>0</v>
      </c>
      <c r="E1794" s="106">
        <v>0</v>
      </c>
      <c r="F1794" s="106">
        <v>0</v>
      </c>
      <c r="G1794" s="106">
        <v>0</v>
      </c>
      <c r="H1794" s="106">
        <v>192758</v>
      </c>
      <c r="I1794" s="106">
        <v>-1000</v>
      </c>
      <c r="J1794" s="106">
        <v>191758</v>
      </c>
      <c r="K1794" s="106">
        <v>0</v>
      </c>
      <c r="L1794" s="106">
        <v>0</v>
      </c>
      <c r="M1794" s="106">
        <v>0</v>
      </c>
      <c r="N1794" s="106">
        <v>191758</v>
      </c>
    </row>
    <row r="1795" spans="1:14" x14ac:dyDescent="0.35">
      <c r="A1795" s="108" t="s">
        <v>482</v>
      </c>
      <c r="B1795" s="108" t="s">
        <v>212</v>
      </c>
      <c r="C1795" s="106">
        <v>223213</v>
      </c>
      <c r="D1795" s="106">
        <v>-2884</v>
      </c>
      <c r="E1795" s="106">
        <v>0</v>
      </c>
      <c r="F1795" s="106">
        <v>0</v>
      </c>
      <c r="G1795" s="106">
        <v>0</v>
      </c>
      <c r="H1795" s="106">
        <v>220329</v>
      </c>
      <c r="I1795" s="106">
        <v>-38220</v>
      </c>
      <c r="J1795" s="106">
        <v>182109</v>
      </c>
      <c r="K1795" s="106">
        <v>0</v>
      </c>
      <c r="L1795" s="106">
        <v>0</v>
      </c>
      <c r="M1795" s="106">
        <v>0</v>
      </c>
      <c r="N1795" s="106">
        <v>182109</v>
      </c>
    </row>
    <row r="1796" spans="1:14" x14ac:dyDescent="0.35">
      <c r="A1796" s="108" t="s">
        <v>482</v>
      </c>
      <c r="B1796" s="108" t="s">
        <v>220</v>
      </c>
      <c r="C1796" s="106">
        <v>256675</v>
      </c>
      <c r="D1796" s="106">
        <v>0</v>
      </c>
      <c r="E1796" s="106">
        <v>0</v>
      </c>
      <c r="F1796" s="106">
        <v>0</v>
      </c>
      <c r="G1796" s="106">
        <v>0</v>
      </c>
      <c r="H1796" s="106">
        <v>256675</v>
      </c>
      <c r="I1796" s="106">
        <v>-39867</v>
      </c>
      <c r="J1796" s="106">
        <v>216808</v>
      </c>
      <c r="K1796" s="106">
        <v>0</v>
      </c>
      <c r="L1796" s="106">
        <v>0</v>
      </c>
      <c r="M1796" s="106">
        <v>0</v>
      </c>
      <c r="N1796" s="106">
        <v>216808</v>
      </c>
    </row>
    <row r="1797" spans="1:14" x14ac:dyDescent="0.35">
      <c r="A1797" s="108" t="s">
        <v>482</v>
      </c>
      <c r="B1797" s="108" t="s">
        <v>219</v>
      </c>
      <c r="C1797" s="106">
        <v>1717582</v>
      </c>
      <c r="D1797" s="106">
        <v>-401243</v>
      </c>
      <c r="E1797" s="106">
        <v>0</v>
      </c>
      <c r="F1797" s="106">
        <v>0</v>
      </c>
      <c r="G1797" s="106">
        <v>0</v>
      </c>
      <c r="H1797" s="106">
        <v>1316339</v>
      </c>
      <c r="I1797" s="106">
        <v>-736708</v>
      </c>
      <c r="J1797" s="106">
        <v>579631</v>
      </c>
      <c r="K1797" s="106">
        <v>0</v>
      </c>
      <c r="L1797" s="106">
        <v>0</v>
      </c>
      <c r="M1797" s="106">
        <v>0</v>
      </c>
      <c r="N1797" s="106">
        <v>579631</v>
      </c>
    </row>
    <row r="1798" spans="1:14" x14ac:dyDescent="0.35">
      <c r="A1798" s="108" t="s">
        <v>482</v>
      </c>
      <c r="B1798" s="108" t="s">
        <v>218</v>
      </c>
      <c r="C1798" s="106">
        <v>1689333</v>
      </c>
      <c r="D1798" s="106">
        <v>-455107</v>
      </c>
      <c r="E1798" s="106">
        <v>0</v>
      </c>
      <c r="F1798" s="106">
        <v>0</v>
      </c>
      <c r="G1798" s="106">
        <v>0</v>
      </c>
      <c r="H1798" s="106">
        <v>1234226</v>
      </c>
      <c r="I1798" s="106">
        <v>-664042</v>
      </c>
      <c r="J1798" s="106">
        <v>570184</v>
      </c>
      <c r="K1798" s="106">
        <v>0</v>
      </c>
      <c r="L1798" s="106">
        <v>0</v>
      </c>
      <c r="M1798" s="106">
        <v>0</v>
      </c>
      <c r="N1798" s="106">
        <v>570184</v>
      </c>
    </row>
    <row r="1799" spans="1:14" x14ac:dyDescent="0.35">
      <c r="A1799" s="108" t="s">
        <v>482</v>
      </c>
      <c r="B1799" s="108" t="s">
        <v>209</v>
      </c>
      <c r="C1799" s="106">
        <v>3755739</v>
      </c>
      <c r="D1799" s="106">
        <v>-415467</v>
      </c>
      <c r="E1799" s="106">
        <v>0</v>
      </c>
      <c r="F1799" s="106">
        <v>0</v>
      </c>
      <c r="G1799" s="106">
        <v>0</v>
      </c>
      <c r="H1799" s="106">
        <v>3340272</v>
      </c>
      <c r="I1799" s="106">
        <v>-2110826</v>
      </c>
      <c r="J1799" s="106">
        <v>1229446</v>
      </c>
      <c r="K1799" s="106">
        <v>0</v>
      </c>
      <c r="L1799" s="106">
        <v>0</v>
      </c>
      <c r="M1799" s="106">
        <v>0</v>
      </c>
      <c r="N1799" s="106">
        <v>1229446</v>
      </c>
    </row>
    <row r="1800" spans="1:14" x14ac:dyDescent="0.35">
      <c r="A1800" s="108" t="s">
        <v>482</v>
      </c>
      <c r="B1800" s="108" t="s">
        <v>208</v>
      </c>
      <c r="C1800" s="106">
        <v>18550848</v>
      </c>
      <c r="D1800" s="106">
        <v>-1894109</v>
      </c>
      <c r="E1800" s="106">
        <v>0</v>
      </c>
      <c r="F1800" s="106">
        <v>-113133</v>
      </c>
      <c r="G1800" s="106">
        <v>0</v>
      </c>
      <c r="H1800" s="106">
        <v>16543606</v>
      </c>
      <c r="I1800" s="106">
        <v>-13454196</v>
      </c>
      <c r="J1800" s="106">
        <v>3089410</v>
      </c>
      <c r="K1800" s="106">
        <v>0</v>
      </c>
      <c r="L1800" s="106">
        <v>0</v>
      </c>
      <c r="M1800" s="106">
        <v>0</v>
      </c>
      <c r="N1800" s="106">
        <v>3089410</v>
      </c>
    </row>
    <row r="1801" spans="1:14" x14ac:dyDescent="0.35">
      <c r="A1801" s="108" t="s">
        <v>482</v>
      </c>
      <c r="B1801" s="108" t="s">
        <v>206</v>
      </c>
      <c r="C1801" s="106">
        <v>19690340</v>
      </c>
      <c r="D1801" s="106">
        <v>-2018382</v>
      </c>
      <c r="E1801" s="106">
        <v>0</v>
      </c>
      <c r="F1801" s="106">
        <v>-147398</v>
      </c>
      <c r="G1801" s="106">
        <v>0</v>
      </c>
      <c r="H1801" s="106">
        <v>17524560</v>
      </c>
      <c r="I1801" s="106">
        <v>-14643538</v>
      </c>
      <c r="J1801" s="106">
        <v>2881022</v>
      </c>
      <c r="K1801" s="106">
        <v>0</v>
      </c>
      <c r="L1801" s="106">
        <v>0</v>
      </c>
      <c r="M1801" s="106">
        <v>0</v>
      </c>
      <c r="N1801" s="106">
        <v>2881022</v>
      </c>
    </row>
    <row r="1802" spans="1:14" x14ac:dyDescent="0.35">
      <c r="A1802" s="108" t="s">
        <v>482</v>
      </c>
      <c r="B1802" s="108" t="s">
        <v>205</v>
      </c>
      <c r="C1802" s="106">
        <v>19862714</v>
      </c>
      <c r="D1802" s="106">
        <v>-751631</v>
      </c>
      <c r="E1802" s="106">
        <v>0</v>
      </c>
      <c r="F1802" s="106">
        <v>0</v>
      </c>
      <c r="G1802" s="106">
        <v>0</v>
      </c>
      <c r="H1802" s="106">
        <v>19111083</v>
      </c>
      <c r="I1802" s="106">
        <v>-18993790</v>
      </c>
      <c r="J1802" s="106">
        <v>117293</v>
      </c>
      <c r="K1802" s="106">
        <v>670053</v>
      </c>
      <c r="L1802" s="106">
        <v>-20116</v>
      </c>
      <c r="M1802" s="106">
        <v>649937</v>
      </c>
      <c r="N1802" s="106">
        <v>-532644</v>
      </c>
    </row>
    <row r="1803" spans="1:14" x14ac:dyDescent="0.35">
      <c r="A1803" s="108" t="s">
        <v>482</v>
      </c>
      <c r="B1803" s="108" t="s">
        <v>204</v>
      </c>
      <c r="C1803" s="106">
        <v>23115993</v>
      </c>
      <c r="D1803" s="106">
        <v>-1328302</v>
      </c>
      <c r="E1803" s="106">
        <v>0</v>
      </c>
      <c r="F1803" s="106">
        <v>0</v>
      </c>
      <c r="G1803" s="106">
        <v>0</v>
      </c>
      <c r="H1803" s="106">
        <v>21787691</v>
      </c>
      <c r="I1803" s="106">
        <v>-21509807</v>
      </c>
      <c r="J1803" s="106">
        <v>277884</v>
      </c>
      <c r="K1803" s="106">
        <v>1090955</v>
      </c>
      <c r="L1803" s="106">
        <v>-31533</v>
      </c>
      <c r="M1803" s="106">
        <v>1059422</v>
      </c>
      <c r="N1803" s="106">
        <v>-781538</v>
      </c>
    </row>
    <row r="1804" spans="1:14" x14ac:dyDescent="0.35">
      <c r="A1804" s="108" t="s">
        <v>482</v>
      </c>
      <c r="B1804" s="108" t="s">
        <v>203</v>
      </c>
      <c r="C1804" s="106">
        <v>22442946</v>
      </c>
      <c r="D1804" s="106">
        <v>-2903426</v>
      </c>
      <c r="E1804" s="106">
        <v>0</v>
      </c>
      <c r="F1804" s="106">
        <v>-162886</v>
      </c>
      <c r="G1804" s="106">
        <v>0</v>
      </c>
      <c r="H1804" s="106">
        <v>19376634</v>
      </c>
      <c r="I1804" s="106">
        <v>-17627080</v>
      </c>
      <c r="J1804" s="106">
        <v>1749554</v>
      </c>
      <c r="K1804" s="106">
        <v>1086531</v>
      </c>
      <c r="L1804" s="106">
        <v>-1086531</v>
      </c>
      <c r="M1804" s="106">
        <v>0</v>
      </c>
      <c r="N1804" s="106">
        <v>1749554</v>
      </c>
    </row>
    <row r="1805" spans="1:14" x14ac:dyDescent="0.35">
      <c r="A1805" s="108" t="s">
        <v>482</v>
      </c>
      <c r="B1805" s="108" t="s">
        <v>202</v>
      </c>
      <c r="C1805" s="106">
        <v>21121025</v>
      </c>
      <c r="D1805" s="106">
        <v>-2782091</v>
      </c>
      <c r="E1805" s="106">
        <v>0</v>
      </c>
      <c r="F1805" s="106">
        <v>-107385</v>
      </c>
      <c r="G1805" s="106">
        <v>0</v>
      </c>
      <c r="H1805" s="106">
        <v>18231549</v>
      </c>
      <c r="I1805" s="106">
        <v>-17200676</v>
      </c>
      <c r="J1805" s="106">
        <v>1030873</v>
      </c>
      <c r="K1805" s="106">
        <v>608055</v>
      </c>
      <c r="L1805" s="106">
        <v>-608055</v>
      </c>
      <c r="M1805" s="106">
        <v>0</v>
      </c>
      <c r="N1805" s="106">
        <v>1030873</v>
      </c>
    </row>
    <row r="1806" spans="1:14" x14ac:dyDescent="0.35">
      <c r="A1806" s="108" t="s">
        <v>482</v>
      </c>
      <c r="B1806" s="108" t="s">
        <v>201</v>
      </c>
      <c r="C1806" s="106">
        <v>23017429</v>
      </c>
      <c r="D1806" s="106">
        <v>-2860997</v>
      </c>
      <c r="E1806" s="106">
        <v>0</v>
      </c>
      <c r="F1806" s="106">
        <v>-489466</v>
      </c>
      <c r="G1806" s="106">
        <v>0</v>
      </c>
      <c r="H1806" s="106">
        <v>19666966</v>
      </c>
      <c r="I1806" s="106">
        <v>-18822233</v>
      </c>
      <c r="J1806" s="106">
        <v>844733</v>
      </c>
      <c r="K1806" s="106">
        <v>874947</v>
      </c>
      <c r="L1806" s="106">
        <v>-874947</v>
      </c>
      <c r="M1806" s="106">
        <v>0</v>
      </c>
      <c r="N1806" s="106">
        <v>844733</v>
      </c>
    </row>
    <row r="1807" spans="1:14" x14ac:dyDescent="0.35">
      <c r="A1807" s="108" t="s">
        <v>482</v>
      </c>
      <c r="B1807" s="108" t="s">
        <v>200</v>
      </c>
      <c r="C1807" s="106">
        <v>21413511</v>
      </c>
      <c r="D1807" s="106">
        <v>-4269371</v>
      </c>
      <c r="E1807" s="106">
        <v>0</v>
      </c>
      <c r="F1807" s="106">
        <v>-195908</v>
      </c>
      <c r="G1807" s="106">
        <v>0</v>
      </c>
      <c r="H1807" s="106">
        <v>16948232</v>
      </c>
      <c r="I1807" s="106">
        <v>-16421195</v>
      </c>
      <c r="J1807" s="106">
        <v>527037</v>
      </c>
      <c r="K1807" s="106">
        <v>857594</v>
      </c>
      <c r="L1807" s="106">
        <v>-857594</v>
      </c>
      <c r="M1807" s="106">
        <v>0</v>
      </c>
      <c r="N1807" s="106">
        <v>527037</v>
      </c>
    </row>
    <row r="1808" spans="1:14" x14ac:dyDescent="0.35">
      <c r="A1808" s="108" t="s">
        <v>482</v>
      </c>
      <c r="B1808" s="108" t="s">
        <v>199</v>
      </c>
      <c r="C1808" s="106">
        <v>17967222</v>
      </c>
      <c r="D1808" s="106">
        <v>-3568279</v>
      </c>
      <c r="E1808" s="106">
        <v>0</v>
      </c>
      <c r="F1808" s="106">
        <v>0</v>
      </c>
      <c r="G1808" s="106">
        <v>0</v>
      </c>
      <c r="H1808" s="106">
        <v>14398943</v>
      </c>
      <c r="I1808" s="106">
        <v>-14149465</v>
      </c>
      <c r="J1808" s="106">
        <v>249478</v>
      </c>
      <c r="K1808" s="106">
        <v>744918</v>
      </c>
      <c r="L1808" s="106">
        <v>-744918</v>
      </c>
      <c r="M1808" s="106">
        <v>0</v>
      </c>
      <c r="N1808" s="106">
        <v>249478</v>
      </c>
    </row>
    <row r="1809" spans="1:14" x14ac:dyDescent="0.35">
      <c r="A1809" s="108" t="s">
        <v>482</v>
      </c>
      <c r="B1809" s="108" t="s">
        <v>198</v>
      </c>
      <c r="C1809" s="106">
        <v>17100371</v>
      </c>
      <c r="D1809" s="106">
        <v>-3280826</v>
      </c>
      <c r="E1809" s="106">
        <v>0</v>
      </c>
      <c r="F1809" s="106">
        <v>0</v>
      </c>
      <c r="G1809" s="106">
        <v>0</v>
      </c>
      <c r="H1809" s="106">
        <v>13819545</v>
      </c>
      <c r="I1809" s="106">
        <v>-13759745</v>
      </c>
      <c r="J1809" s="106">
        <v>59800</v>
      </c>
      <c r="K1809" s="106">
        <v>334584</v>
      </c>
      <c r="L1809" s="106">
        <v>-334584</v>
      </c>
      <c r="M1809" s="106">
        <v>0</v>
      </c>
      <c r="N1809" s="106">
        <v>59800</v>
      </c>
    </row>
    <row r="1810" spans="1:14" x14ac:dyDescent="0.35">
      <c r="A1810" s="108" t="s">
        <v>482</v>
      </c>
      <c r="B1810" s="108" t="s">
        <v>197</v>
      </c>
      <c r="C1810" s="106">
        <v>16354954</v>
      </c>
      <c r="D1810" s="106">
        <v>-3451608</v>
      </c>
      <c r="E1810" s="106">
        <v>0</v>
      </c>
      <c r="F1810" s="106">
        <v>0</v>
      </c>
      <c r="G1810" s="106">
        <v>0</v>
      </c>
      <c r="H1810" s="106">
        <v>12903346</v>
      </c>
      <c r="I1810" s="106">
        <v>-12891060</v>
      </c>
      <c r="J1810" s="106">
        <v>12286</v>
      </c>
      <c r="K1810" s="106">
        <v>796556</v>
      </c>
      <c r="L1810" s="106">
        <v>-796556</v>
      </c>
      <c r="M1810" s="106">
        <v>0</v>
      </c>
      <c r="N1810" s="106">
        <v>12286</v>
      </c>
    </row>
    <row r="1811" spans="1:14" x14ac:dyDescent="0.35">
      <c r="A1811" s="108" t="s">
        <v>482</v>
      </c>
      <c r="B1811" s="108" t="s">
        <v>196</v>
      </c>
      <c r="C1811" s="106">
        <v>13621560</v>
      </c>
      <c r="D1811" s="106">
        <v>-3105443</v>
      </c>
      <c r="E1811" s="106">
        <v>0</v>
      </c>
      <c r="F1811" s="106">
        <v>-117174</v>
      </c>
      <c r="G1811" s="106">
        <v>0</v>
      </c>
      <c r="H1811" s="106">
        <v>10398943</v>
      </c>
      <c r="I1811" s="106">
        <v>-10397070</v>
      </c>
      <c r="J1811" s="106">
        <v>1873</v>
      </c>
      <c r="K1811" s="106">
        <v>940785</v>
      </c>
      <c r="L1811" s="106">
        <v>-940785</v>
      </c>
      <c r="M1811" s="106">
        <v>0</v>
      </c>
      <c r="N1811" s="106">
        <v>1873</v>
      </c>
    </row>
    <row r="1812" spans="1:14" x14ac:dyDescent="0.35">
      <c r="A1812" s="108" t="s">
        <v>482</v>
      </c>
      <c r="B1812" s="108" t="s">
        <v>195</v>
      </c>
      <c r="C1812" s="106">
        <v>11572917</v>
      </c>
      <c r="D1812" s="106">
        <v>-2797762</v>
      </c>
      <c r="E1812" s="106">
        <v>0</v>
      </c>
      <c r="F1812" s="106">
        <v>-91396</v>
      </c>
      <c r="G1812" s="106">
        <v>0</v>
      </c>
      <c r="H1812" s="106">
        <v>8683759</v>
      </c>
      <c r="I1812" s="106">
        <v>-8683759</v>
      </c>
      <c r="J1812" s="106">
        <v>0</v>
      </c>
      <c r="K1812" s="106">
        <v>786001</v>
      </c>
      <c r="L1812" s="106">
        <v>-786001</v>
      </c>
      <c r="M1812" s="106">
        <v>0</v>
      </c>
      <c r="N1812" s="106">
        <v>0</v>
      </c>
    </row>
    <row r="1813" spans="1:14" x14ac:dyDescent="0.35">
      <c r="A1813" s="108" t="s">
        <v>482</v>
      </c>
      <c r="B1813" s="108" t="s">
        <v>194</v>
      </c>
      <c r="C1813" s="106">
        <v>8915588</v>
      </c>
      <c r="D1813" s="106">
        <v>-1765563</v>
      </c>
      <c r="E1813" s="106">
        <v>0</v>
      </c>
      <c r="F1813" s="106">
        <v>-88679</v>
      </c>
      <c r="G1813" s="106">
        <v>0</v>
      </c>
      <c r="H1813" s="106">
        <v>7061346</v>
      </c>
      <c r="I1813" s="106">
        <v>-7061346</v>
      </c>
      <c r="J1813" s="106">
        <v>0</v>
      </c>
      <c r="K1813" s="106">
        <v>544937</v>
      </c>
      <c r="L1813" s="106">
        <v>-544937</v>
      </c>
      <c r="M1813" s="106">
        <v>0</v>
      </c>
      <c r="N1813" s="106">
        <v>0</v>
      </c>
    </row>
    <row r="1814" spans="1:14" x14ac:dyDescent="0.35">
      <c r="A1814" s="108" t="s">
        <v>482</v>
      </c>
      <c r="B1814" s="108" t="s">
        <v>193</v>
      </c>
      <c r="C1814" s="106">
        <v>8020592</v>
      </c>
      <c r="D1814" s="106">
        <v>-1125013</v>
      </c>
      <c r="E1814" s="106">
        <v>0</v>
      </c>
      <c r="F1814" s="106">
        <v>0</v>
      </c>
      <c r="G1814" s="106">
        <v>0</v>
      </c>
      <c r="H1814" s="106">
        <v>6895579</v>
      </c>
      <c r="I1814" s="106">
        <v>-6895579</v>
      </c>
      <c r="J1814" s="106">
        <v>0</v>
      </c>
      <c r="K1814" s="106">
        <v>47404</v>
      </c>
      <c r="L1814" s="106">
        <v>-47404</v>
      </c>
      <c r="M1814" s="106">
        <v>0</v>
      </c>
      <c r="N1814" s="106">
        <v>0</v>
      </c>
    </row>
    <row r="1815" spans="1:14" ht="16" thickBot="1" x14ac:dyDescent="0.4">
      <c r="A1815" s="105" t="s">
        <v>360</v>
      </c>
      <c r="B1815" s="79" t="s">
        <v>12</v>
      </c>
      <c r="C1815" s="103">
        <f>SUBTOTAL(109,Program260[(C)
Program
Costs])</f>
        <v>270708472</v>
      </c>
      <c r="D1815" s="103">
        <f>SUBTOTAL(109,Program260[(D)
Prior Period Adjustments])</f>
        <v>-39177504</v>
      </c>
      <c r="E1815" s="103">
        <f>SUBTOTAL(109,Program260[(E)
Current Period Desk 
Reviews])</f>
        <v>0</v>
      </c>
      <c r="F1815" s="103">
        <f>SUBTOTAL(109,Program260[(F)
Current Period 
Final 
Audits])</f>
        <v>-1513425</v>
      </c>
      <c r="G1815" s="103">
        <f>SUBTOTAL(109,Program260[(G)
Current Period 
Other Adjustments])</f>
        <v>0</v>
      </c>
      <c r="H1815" s="103">
        <f>SUBTOTAL(109,Program260[(H)
Net Program Costs
Sum (C through G)])</f>
        <v>230017543</v>
      </c>
      <c r="I1815" s="103">
        <f>SUBTOTAL(109,Program260[(I)
Payments
 and Offsets])</f>
        <v>-216101202</v>
      </c>
      <c r="J1815" s="103">
        <f>SUBTOTAL(109,Program260[(J)
Accounts Payable Balance
(H + I)])</f>
        <v>13916341</v>
      </c>
      <c r="K1815" s="103">
        <f>SUBTOTAL(109,Program260[(K)
Established 
Accounts Receivable])</f>
        <v>9383320</v>
      </c>
      <c r="L1815" s="103">
        <f>SUBTOTAL(109,Program260[(L)
Recovered
 Accounts Receivable])</f>
        <v>-7673961</v>
      </c>
      <c r="M1815" s="103">
        <f>SUBTOTAL(109,Program260[(M)
Accounts Receivable Balance
(K + L)])</f>
        <v>1709359</v>
      </c>
      <c r="N1815" s="103">
        <f>SUBTOTAL(109,Program260[(N)
Net Balance
(J minus M)])</f>
        <v>12206982</v>
      </c>
    </row>
    <row r="1816" spans="1:14" x14ac:dyDescent="0.35">
      <c r="A1816" s="116" t="s">
        <v>33</v>
      </c>
      <c r="B1816" s="115"/>
      <c r="C1816" s="114"/>
      <c r="D1816" s="114"/>
      <c r="E1816" s="114"/>
      <c r="F1816" s="114"/>
      <c r="G1816" s="114"/>
      <c r="H1816" s="114"/>
      <c r="I1816" s="114"/>
      <c r="J1816" s="114"/>
      <c r="K1816" s="114"/>
      <c r="L1816" s="114"/>
      <c r="M1816" s="114"/>
      <c r="N1816" s="114"/>
    </row>
    <row r="1817" spans="1:14" ht="77.5" x14ac:dyDescent="0.35">
      <c r="A1817" s="113" t="s">
        <v>185</v>
      </c>
      <c r="B1817" s="112" t="s">
        <v>184</v>
      </c>
      <c r="C1817" s="111" t="s">
        <v>183</v>
      </c>
      <c r="D1817" s="111" t="s">
        <v>182</v>
      </c>
      <c r="E1817" s="111" t="s">
        <v>181</v>
      </c>
      <c r="F1817" s="111" t="s">
        <v>180</v>
      </c>
      <c r="G1817" s="111" t="s">
        <v>179</v>
      </c>
      <c r="H1817" s="110" t="s">
        <v>674</v>
      </c>
      <c r="I1817" s="110" t="s">
        <v>178</v>
      </c>
      <c r="J1817" s="110" t="s">
        <v>177</v>
      </c>
      <c r="K1817" s="111" t="s">
        <v>176</v>
      </c>
      <c r="L1817" s="110" t="s">
        <v>175</v>
      </c>
      <c r="M1817" s="110" t="s">
        <v>174</v>
      </c>
      <c r="N1817" s="109" t="s">
        <v>173</v>
      </c>
    </row>
    <row r="1818" spans="1:14" ht="31" x14ac:dyDescent="0.35">
      <c r="A1818" s="77" t="s">
        <v>481</v>
      </c>
      <c r="B1818" s="108" t="s">
        <v>215</v>
      </c>
      <c r="C1818" s="106">
        <v>92147</v>
      </c>
      <c r="D1818" s="106">
        <v>0</v>
      </c>
      <c r="E1818" s="106">
        <v>0</v>
      </c>
      <c r="F1818" s="106">
        <v>0</v>
      </c>
      <c r="G1818" s="106">
        <v>0</v>
      </c>
      <c r="H1818" s="106">
        <v>92147</v>
      </c>
      <c r="I1818" s="106">
        <v>0</v>
      </c>
      <c r="J1818" s="106">
        <v>92147</v>
      </c>
      <c r="K1818" s="106">
        <v>0</v>
      </c>
      <c r="L1818" s="106">
        <v>0</v>
      </c>
      <c r="M1818" s="106">
        <v>0</v>
      </c>
      <c r="N1818" s="106">
        <v>92147</v>
      </c>
    </row>
    <row r="1819" spans="1:14" ht="31" x14ac:dyDescent="0.35">
      <c r="A1819" s="77" t="s">
        <v>481</v>
      </c>
      <c r="B1819" s="108" t="s">
        <v>214</v>
      </c>
      <c r="C1819" s="106">
        <v>478269</v>
      </c>
      <c r="D1819" s="106">
        <v>-180975</v>
      </c>
      <c r="E1819" s="106">
        <v>-123372</v>
      </c>
      <c r="F1819" s="106">
        <v>0</v>
      </c>
      <c r="G1819" s="106">
        <v>-10000</v>
      </c>
      <c r="H1819" s="106">
        <v>163922</v>
      </c>
      <c r="I1819" s="106">
        <v>-1000</v>
      </c>
      <c r="J1819" s="106">
        <v>162922</v>
      </c>
      <c r="K1819" s="106">
        <v>0</v>
      </c>
      <c r="L1819" s="106">
        <v>0</v>
      </c>
      <c r="M1819" s="106">
        <v>0</v>
      </c>
      <c r="N1819" s="106">
        <v>162922</v>
      </c>
    </row>
    <row r="1820" spans="1:14" ht="31" x14ac:dyDescent="0.35">
      <c r="A1820" s="77" t="s">
        <v>481</v>
      </c>
      <c r="B1820" s="108" t="s">
        <v>212</v>
      </c>
      <c r="C1820" s="106">
        <v>7903828</v>
      </c>
      <c r="D1820" s="106">
        <v>-46895</v>
      </c>
      <c r="E1820" s="106">
        <v>0</v>
      </c>
      <c r="F1820" s="106">
        <v>0</v>
      </c>
      <c r="G1820" s="106">
        <v>0</v>
      </c>
      <c r="H1820" s="106">
        <v>7856933</v>
      </c>
      <c r="I1820" s="106">
        <v>-4890918</v>
      </c>
      <c r="J1820" s="106">
        <v>2966015</v>
      </c>
      <c r="K1820" s="106">
        <v>0</v>
      </c>
      <c r="L1820" s="106">
        <v>0</v>
      </c>
      <c r="M1820" s="106">
        <v>0</v>
      </c>
      <c r="N1820" s="106">
        <v>2966015</v>
      </c>
    </row>
    <row r="1821" spans="1:14" ht="31" x14ac:dyDescent="0.35">
      <c r="A1821" s="77" t="s">
        <v>481</v>
      </c>
      <c r="B1821" s="108" t="s">
        <v>220</v>
      </c>
      <c r="C1821" s="106">
        <v>10630275</v>
      </c>
      <c r="D1821" s="106">
        <v>-91360</v>
      </c>
      <c r="E1821" s="106">
        <v>0</v>
      </c>
      <c r="F1821" s="106">
        <v>0</v>
      </c>
      <c r="G1821" s="106">
        <v>0</v>
      </c>
      <c r="H1821" s="106">
        <v>10538915</v>
      </c>
      <c r="I1821" s="106">
        <v>-7484936</v>
      </c>
      <c r="J1821" s="106">
        <v>3053979</v>
      </c>
      <c r="K1821" s="106">
        <v>0</v>
      </c>
      <c r="L1821" s="106">
        <v>0</v>
      </c>
      <c r="M1821" s="106">
        <v>0</v>
      </c>
      <c r="N1821" s="106">
        <v>3053979</v>
      </c>
    </row>
    <row r="1822" spans="1:14" ht="31" x14ac:dyDescent="0.35">
      <c r="A1822" s="77" t="s">
        <v>481</v>
      </c>
      <c r="B1822" s="108" t="s">
        <v>219</v>
      </c>
      <c r="C1822" s="106">
        <v>1560826</v>
      </c>
      <c r="D1822" s="106">
        <v>-1413645</v>
      </c>
      <c r="E1822" s="106">
        <v>0</v>
      </c>
      <c r="F1822" s="106">
        <v>0</v>
      </c>
      <c r="G1822" s="106">
        <v>0</v>
      </c>
      <c r="H1822" s="106">
        <v>147181</v>
      </c>
      <c r="I1822" s="106">
        <v>-133599</v>
      </c>
      <c r="J1822" s="106">
        <v>13582</v>
      </c>
      <c r="K1822" s="106">
        <v>0</v>
      </c>
      <c r="L1822" s="106">
        <v>0</v>
      </c>
      <c r="M1822" s="106">
        <v>0</v>
      </c>
      <c r="N1822" s="106">
        <v>13582</v>
      </c>
    </row>
    <row r="1823" spans="1:14" ht="16" thickBot="1" x14ac:dyDescent="0.4">
      <c r="A1823" s="105" t="s">
        <v>359</v>
      </c>
      <c r="B1823" s="79" t="s">
        <v>12</v>
      </c>
      <c r="C1823" s="103">
        <f>SUBTOTAL(109,Program367[(C)
Program
Costs])</f>
        <v>20665345</v>
      </c>
      <c r="D1823" s="103">
        <f>SUBTOTAL(109,Program367[(D)
Prior Period Adjustments])</f>
        <v>-1732875</v>
      </c>
      <c r="E1823" s="103">
        <f>SUBTOTAL(109,Program367[(E)
Current Period Desk 
Reviews])</f>
        <v>-123372</v>
      </c>
      <c r="F1823" s="103">
        <f>SUBTOTAL(109,Program367[(F)
Current Period 
Final 
Audits])</f>
        <v>0</v>
      </c>
      <c r="G1823" s="103">
        <f>SUBTOTAL(109,Program367[(G)
Current Period 
Other Adjustments])</f>
        <v>-10000</v>
      </c>
      <c r="H1823" s="103">
        <f>SUBTOTAL(109,Program367[(H)
Net Program Costs
Sum (C through G)])</f>
        <v>18799098</v>
      </c>
      <c r="I1823" s="103">
        <f>SUBTOTAL(109,Program367[(I)
Payments
 and Offsets])</f>
        <v>-12510453</v>
      </c>
      <c r="J1823" s="103">
        <f>SUBTOTAL(109,Program367[(J)
Accounts Payable Balance
(H + I)])</f>
        <v>6288645</v>
      </c>
      <c r="K1823" s="103">
        <f>SUBTOTAL(109,Program367[(K)
Established 
Accounts Receivable])</f>
        <v>0</v>
      </c>
      <c r="L1823" s="103">
        <f>SUBTOTAL(109,Program367[(L)
Recovered
 Accounts Receivable])</f>
        <v>0</v>
      </c>
      <c r="M1823" s="103">
        <f>SUBTOTAL(109,Program367[(M)
Accounts Receivable Balance
(K + L)])</f>
        <v>0</v>
      </c>
      <c r="N1823" s="103">
        <f>SUBTOTAL(109,Program367[(N)
Net Balance
(J minus M)])</f>
        <v>6288645</v>
      </c>
    </row>
    <row r="1824" spans="1:14" x14ac:dyDescent="0.35">
      <c r="A1824" s="116" t="s">
        <v>33</v>
      </c>
      <c r="B1824" s="115"/>
      <c r="C1824" s="114"/>
      <c r="D1824" s="114"/>
      <c r="E1824" s="114"/>
      <c r="F1824" s="114"/>
      <c r="G1824" s="114"/>
      <c r="H1824" s="114"/>
      <c r="I1824" s="114"/>
      <c r="J1824" s="114"/>
      <c r="K1824" s="114"/>
      <c r="L1824" s="114"/>
      <c r="M1824" s="114"/>
      <c r="N1824" s="114"/>
    </row>
    <row r="1825" spans="1:14" ht="77.5" x14ac:dyDescent="0.35">
      <c r="A1825" s="113" t="s">
        <v>185</v>
      </c>
      <c r="B1825" s="112" t="s">
        <v>184</v>
      </c>
      <c r="C1825" s="111" t="s">
        <v>183</v>
      </c>
      <c r="D1825" s="111" t="s">
        <v>182</v>
      </c>
      <c r="E1825" s="111" t="s">
        <v>181</v>
      </c>
      <c r="F1825" s="111" t="s">
        <v>180</v>
      </c>
      <c r="G1825" s="111" t="s">
        <v>179</v>
      </c>
      <c r="H1825" s="110" t="s">
        <v>674</v>
      </c>
      <c r="I1825" s="110" t="s">
        <v>178</v>
      </c>
      <c r="J1825" s="110" t="s">
        <v>177</v>
      </c>
      <c r="K1825" s="111" t="s">
        <v>176</v>
      </c>
      <c r="L1825" s="110" t="s">
        <v>175</v>
      </c>
      <c r="M1825" s="110" t="s">
        <v>174</v>
      </c>
      <c r="N1825" s="109" t="s">
        <v>173</v>
      </c>
    </row>
    <row r="1826" spans="1:14" x14ac:dyDescent="0.35">
      <c r="A1826" s="108" t="s">
        <v>480</v>
      </c>
      <c r="B1826" s="108" t="s">
        <v>215</v>
      </c>
      <c r="C1826" s="106">
        <v>1195</v>
      </c>
      <c r="D1826" s="106">
        <v>0</v>
      </c>
      <c r="E1826" s="106">
        <v>0</v>
      </c>
      <c r="F1826" s="106">
        <v>0</v>
      </c>
      <c r="G1826" s="106">
        <v>0</v>
      </c>
      <c r="H1826" s="106">
        <v>1195</v>
      </c>
      <c r="I1826" s="106">
        <v>0</v>
      </c>
      <c r="J1826" s="106">
        <v>1195</v>
      </c>
      <c r="K1826" s="106">
        <v>0</v>
      </c>
      <c r="L1826" s="106">
        <v>0</v>
      </c>
      <c r="M1826" s="106">
        <v>0</v>
      </c>
      <c r="N1826" s="106">
        <v>1195</v>
      </c>
    </row>
    <row r="1827" spans="1:14" x14ac:dyDescent="0.35">
      <c r="A1827" s="108" t="s">
        <v>480</v>
      </c>
      <c r="B1827" s="108" t="s">
        <v>212</v>
      </c>
      <c r="C1827" s="106">
        <v>17010</v>
      </c>
      <c r="D1827" s="106">
        <v>0</v>
      </c>
      <c r="E1827" s="106">
        <v>0</v>
      </c>
      <c r="F1827" s="106">
        <v>0</v>
      </c>
      <c r="G1827" s="106">
        <v>0</v>
      </c>
      <c r="H1827" s="106">
        <v>17010</v>
      </c>
      <c r="I1827" s="106">
        <v>-1000</v>
      </c>
      <c r="J1827" s="106">
        <v>16010</v>
      </c>
      <c r="K1827" s="106">
        <v>0</v>
      </c>
      <c r="L1827" s="106">
        <v>0</v>
      </c>
      <c r="M1827" s="106">
        <v>0</v>
      </c>
      <c r="N1827" s="106">
        <v>16010</v>
      </c>
    </row>
    <row r="1828" spans="1:14" x14ac:dyDescent="0.35">
      <c r="A1828" s="108" t="s">
        <v>480</v>
      </c>
      <c r="B1828" s="108" t="s">
        <v>219</v>
      </c>
      <c r="C1828" s="106">
        <v>5540</v>
      </c>
      <c r="D1828" s="106">
        <v>0</v>
      </c>
      <c r="E1828" s="106">
        <v>0</v>
      </c>
      <c r="F1828" s="106">
        <v>0</v>
      </c>
      <c r="G1828" s="106">
        <v>0</v>
      </c>
      <c r="H1828" s="106">
        <v>5540</v>
      </c>
      <c r="I1828" s="106">
        <v>-1000</v>
      </c>
      <c r="J1828" s="106">
        <v>4540</v>
      </c>
      <c r="K1828" s="106">
        <v>0</v>
      </c>
      <c r="L1828" s="106">
        <v>0</v>
      </c>
      <c r="M1828" s="106">
        <v>0</v>
      </c>
      <c r="N1828" s="106">
        <v>4540</v>
      </c>
    </row>
    <row r="1829" spans="1:14" x14ac:dyDescent="0.35">
      <c r="A1829" s="108" t="s">
        <v>480</v>
      </c>
      <c r="B1829" s="108" t="s">
        <v>218</v>
      </c>
      <c r="C1829" s="106">
        <v>55556</v>
      </c>
      <c r="D1829" s="106">
        <v>0</v>
      </c>
      <c r="E1829" s="106">
        <v>0</v>
      </c>
      <c r="F1829" s="106">
        <v>0</v>
      </c>
      <c r="G1829" s="106">
        <v>0</v>
      </c>
      <c r="H1829" s="106">
        <v>55556</v>
      </c>
      <c r="I1829" s="106">
        <v>-27581</v>
      </c>
      <c r="J1829" s="106">
        <v>27975</v>
      </c>
      <c r="K1829" s="106">
        <v>0</v>
      </c>
      <c r="L1829" s="106">
        <v>0</v>
      </c>
      <c r="M1829" s="106">
        <v>0</v>
      </c>
      <c r="N1829" s="106">
        <v>27975</v>
      </c>
    </row>
    <row r="1830" spans="1:14" x14ac:dyDescent="0.35">
      <c r="A1830" s="108" t="s">
        <v>480</v>
      </c>
      <c r="B1830" s="108" t="s">
        <v>209</v>
      </c>
      <c r="C1830" s="106">
        <v>80974</v>
      </c>
      <c r="D1830" s="106">
        <v>0</v>
      </c>
      <c r="E1830" s="106">
        <v>0</v>
      </c>
      <c r="F1830" s="106">
        <v>0</v>
      </c>
      <c r="G1830" s="106">
        <v>0</v>
      </c>
      <c r="H1830" s="106">
        <v>80974</v>
      </c>
      <c r="I1830" s="106">
        <v>-41603</v>
      </c>
      <c r="J1830" s="106">
        <v>39371</v>
      </c>
      <c r="K1830" s="106">
        <v>0</v>
      </c>
      <c r="L1830" s="106">
        <v>0</v>
      </c>
      <c r="M1830" s="106">
        <v>0</v>
      </c>
      <c r="N1830" s="106">
        <v>39371</v>
      </c>
    </row>
    <row r="1831" spans="1:14" x14ac:dyDescent="0.35">
      <c r="A1831" s="108" t="s">
        <v>480</v>
      </c>
      <c r="B1831" s="108" t="s">
        <v>208</v>
      </c>
      <c r="C1831" s="106">
        <v>28428</v>
      </c>
      <c r="D1831" s="106">
        <v>0</v>
      </c>
      <c r="E1831" s="106">
        <v>0</v>
      </c>
      <c r="F1831" s="106">
        <v>0</v>
      </c>
      <c r="G1831" s="106">
        <v>0</v>
      </c>
      <c r="H1831" s="106">
        <v>28428</v>
      </c>
      <c r="I1831" s="106">
        <v>-12805</v>
      </c>
      <c r="J1831" s="106">
        <v>15623</v>
      </c>
      <c r="K1831" s="106">
        <v>0</v>
      </c>
      <c r="L1831" s="106">
        <v>0</v>
      </c>
      <c r="M1831" s="106">
        <v>0</v>
      </c>
      <c r="N1831" s="106">
        <v>15623</v>
      </c>
    </row>
    <row r="1832" spans="1:14" x14ac:dyDescent="0.35">
      <c r="A1832" s="108" t="s">
        <v>480</v>
      </c>
      <c r="B1832" s="108" t="s">
        <v>206</v>
      </c>
      <c r="C1832" s="106">
        <v>32108</v>
      </c>
      <c r="D1832" s="106">
        <v>0</v>
      </c>
      <c r="E1832" s="106">
        <v>0</v>
      </c>
      <c r="F1832" s="106">
        <v>0</v>
      </c>
      <c r="G1832" s="106">
        <v>0</v>
      </c>
      <c r="H1832" s="106">
        <v>32108</v>
      </c>
      <c r="I1832" s="106">
        <v>-16987</v>
      </c>
      <c r="J1832" s="106">
        <v>15121</v>
      </c>
      <c r="K1832" s="106">
        <v>0</v>
      </c>
      <c r="L1832" s="106">
        <v>0</v>
      </c>
      <c r="M1832" s="106">
        <v>0</v>
      </c>
      <c r="N1832" s="106">
        <v>15121</v>
      </c>
    </row>
    <row r="1833" spans="1:14" x14ac:dyDescent="0.35">
      <c r="A1833" s="108" t="s">
        <v>480</v>
      </c>
      <c r="B1833" s="108" t="s">
        <v>205</v>
      </c>
      <c r="C1833" s="106">
        <v>49140</v>
      </c>
      <c r="D1833" s="106">
        <v>0</v>
      </c>
      <c r="E1833" s="106">
        <v>0</v>
      </c>
      <c r="F1833" s="106">
        <v>0</v>
      </c>
      <c r="G1833" s="106">
        <v>0</v>
      </c>
      <c r="H1833" s="106">
        <v>49140</v>
      </c>
      <c r="I1833" s="106">
        <v>-42386</v>
      </c>
      <c r="J1833" s="106">
        <v>6754</v>
      </c>
      <c r="K1833" s="106">
        <v>0</v>
      </c>
      <c r="L1833" s="106">
        <v>0</v>
      </c>
      <c r="M1833" s="106">
        <v>0</v>
      </c>
      <c r="N1833" s="106">
        <v>6754</v>
      </c>
    </row>
    <row r="1834" spans="1:14" x14ac:dyDescent="0.35">
      <c r="A1834" s="108" t="s">
        <v>480</v>
      </c>
      <c r="B1834" s="108" t="s">
        <v>204</v>
      </c>
      <c r="C1834" s="106">
        <v>51841</v>
      </c>
      <c r="D1834" s="106">
        <v>0</v>
      </c>
      <c r="E1834" s="106">
        <v>0</v>
      </c>
      <c r="F1834" s="106">
        <v>0</v>
      </c>
      <c r="G1834" s="106">
        <v>0</v>
      </c>
      <c r="H1834" s="106">
        <v>51841</v>
      </c>
      <c r="I1834" s="106">
        <v>-50296</v>
      </c>
      <c r="J1834" s="106">
        <v>1545</v>
      </c>
      <c r="K1834" s="106">
        <v>0</v>
      </c>
      <c r="L1834" s="106">
        <v>0</v>
      </c>
      <c r="M1834" s="106">
        <v>0</v>
      </c>
      <c r="N1834" s="106">
        <v>1545</v>
      </c>
    </row>
    <row r="1835" spans="1:14" x14ac:dyDescent="0.35">
      <c r="A1835" s="108" t="s">
        <v>480</v>
      </c>
      <c r="B1835" s="108" t="s">
        <v>203</v>
      </c>
      <c r="C1835" s="106">
        <v>9782</v>
      </c>
      <c r="D1835" s="106">
        <v>0</v>
      </c>
      <c r="E1835" s="106">
        <v>0</v>
      </c>
      <c r="F1835" s="106">
        <v>0</v>
      </c>
      <c r="G1835" s="106">
        <v>0</v>
      </c>
      <c r="H1835" s="106">
        <v>9782</v>
      </c>
      <c r="I1835" s="106">
        <v>-8596</v>
      </c>
      <c r="J1835" s="106">
        <v>1186</v>
      </c>
      <c r="K1835" s="106">
        <v>0</v>
      </c>
      <c r="L1835" s="106">
        <v>0</v>
      </c>
      <c r="M1835" s="106">
        <v>0</v>
      </c>
      <c r="N1835" s="106">
        <v>1186</v>
      </c>
    </row>
    <row r="1836" spans="1:14" x14ac:dyDescent="0.35">
      <c r="A1836" s="108" t="s">
        <v>480</v>
      </c>
      <c r="B1836" s="108" t="s">
        <v>202</v>
      </c>
      <c r="C1836" s="106">
        <v>7378</v>
      </c>
      <c r="D1836" s="106">
        <v>0</v>
      </c>
      <c r="E1836" s="106">
        <v>0</v>
      </c>
      <c r="F1836" s="106">
        <v>0</v>
      </c>
      <c r="G1836" s="106">
        <v>0</v>
      </c>
      <c r="H1836" s="106">
        <v>7378</v>
      </c>
      <c r="I1836" s="106">
        <v>-1834</v>
      </c>
      <c r="J1836" s="106">
        <v>5544</v>
      </c>
      <c r="K1836" s="106">
        <v>0</v>
      </c>
      <c r="L1836" s="106">
        <v>0</v>
      </c>
      <c r="M1836" s="106">
        <v>0</v>
      </c>
      <c r="N1836" s="106">
        <v>5544</v>
      </c>
    </row>
    <row r="1837" spans="1:14" x14ac:dyDescent="0.35">
      <c r="A1837" s="108" t="s">
        <v>480</v>
      </c>
      <c r="B1837" s="108" t="s">
        <v>201</v>
      </c>
      <c r="C1837" s="106">
        <v>6162</v>
      </c>
      <c r="D1837" s="106">
        <v>0</v>
      </c>
      <c r="E1837" s="106">
        <v>0</v>
      </c>
      <c r="F1837" s="106">
        <v>0</v>
      </c>
      <c r="G1837" s="106">
        <v>0</v>
      </c>
      <c r="H1837" s="106">
        <v>6162</v>
      </c>
      <c r="I1837" s="106">
        <v>-4027</v>
      </c>
      <c r="J1837" s="106">
        <v>2135</v>
      </c>
      <c r="K1837" s="106">
        <v>0</v>
      </c>
      <c r="L1837" s="106">
        <v>0</v>
      </c>
      <c r="M1837" s="106">
        <v>0</v>
      </c>
      <c r="N1837" s="106">
        <v>2135</v>
      </c>
    </row>
    <row r="1838" spans="1:14" x14ac:dyDescent="0.35">
      <c r="A1838" s="108" t="s">
        <v>480</v>
      </c>
      <c r="B1838" s="108" t="s">
        <v>200</v>
      </c>
      <c r="C1838" s="106">
        <v>1921</v>
      </c>
      <c r="D1838" s="106">
        <v>0</v>
      </c>
      <c r="E1838" s="106">
        <v>0</v>
      </c>
      <c r="F1838" s="106">
        <v>0</v>
      </c>
      <c r="G1838" s="106">
        <v>0</v>
      </c>
      <c r="H1838" s="106">
        <v>1921</v>
      </c>
      <c r="I1838" s="106">
        <v>-1921</v>
      </c>
      <c r="J1838" s="106">
        <v>0</v>
      </c>
      <c r="K1838" s="106">
        <v>0</v>
      </c>
      <c r="L1838" s="106">
        <v>0</v>
      </c>
      <c r="M1838" s="106">
        <v>0</v>
      </c>
      <c r="N1838" s="106">
        <v>0</v>
      </c>
    </row>
    <row r="1839" spans="1:14" x14ac:dyDescent="0.35">
      <c r="A1839" s="108" t="s">
        <v>480</v>
      </c>
      <c r="B1839" s="108" t="s">
        <v>199</v>
      </c>
      <c r="C1839" s="106">
        <v>4508</v>
      </c>
      <c r="D1839" s="106">
        <v>0</v>
      </c>
      <c r="E1839" s="106">
        <v>0</v>
      </c>
      <c r="F1839" s="106">
        <v>0</v>
      </c>
      <c r="G1839" s="106">
        <v>0</v>
      </c>
      <c r="H1839" s="106">
        <v>4508</v>
      </c>
      <c r="I1839" s="106">
        <v>-4508</v>
      </c>
      <c r="J1839" s="106">
        <v>0</v>
      </c>
      <c r="K1839" s="106">
        <v>0</v>
      </c>
      <c r="L1839" s="106">
        <v>0</v>
      </c>
      <c r="M1839" s="106">
        <v>0</v>
      </c>
      <c r="N1839" s="106">
        <v>0</v>
      </c>
    </row>
    <row r="1840" spans="1:14" x14ac:dyDescent="0.35">
      <c r="A1840" s="108" t="s">
        <v>480</v>
      </c>
      <c r="B1840" s="108" t="s">
        <v>198</v>
      </c>
      <c r="C1840" s="106">
        <v>34178</v>
      </c>
      <c r="D1840" s="106">
        <v>0</v>
      </c>
      <c r="E1840" s="106">
        <v>0</v>
      </c>
      <c r="F1840" s="106">
        <v>0</v>
      </c>
      <c r="G1840" s="106">
        <v>0</v>
      </c>
      <c r="H1840" s="106">
        <v>34178</v>
      </c>
      <c r="I1840" s="106">
        <v>-34178</v>
      </c>
      <c r="J1840" s="106">
        <v>0</v>
      </c>
      <c r="K1840" s="106">
        <v>0</v>
      </c>
      <c r="L1840" s="106">
        <v>0</v>
      </c>
      <c r="M1840" s="106">
        <v>0</v>
      </c>
      <c r="N1840" s="106">
        <v>0</v>
      </c>
    </row>
    <row r="1841" spans="1:14" ht="16" thickBot="1" x14ac:dyDescent="0.4">
      <c r="A1841" s="105" t="s">
        <v>358</v>
      </c>
      <c r="B1841" s="79" t="s">
        <v>12</v>
      </c>
      <c r="C1841" s="103">
        <f>SUBTOTAL(109,Program346[(C)
Program
Costs])</f>
        <v>385721</v>
      </c>
      <c r="D1841" s="103">
        <f>SUBTOTAL(109,Program346[(D)
Prior Period Adjustments])</f>
        <v>0</v>
      </c>
      <c r="E1841" s="103">
        <f>SUBTOTAL(109,Program346[(E)
Current Period Desk 
Reviews])</f>
        <v>0</v>
      </c>
      <c r="F1841" s="103">
        <f>SUBTOTAL(109,Program346[(F)
Current Period 
Final 
Audits])</f>
        <v>0</v>
      </c>
      <c r="G1841" s="103">
        <f>SUBTOTAL(109,Program346[(G)
Current Period 
Other Adjustments])</f>
        <v>0</v>
      </c>
      <c r="H1841" s="103">
        <f>SUBTOTAL(109,Program346[(H)
Net Program Costs
Sum (C through G)])</f>
        <v>385721</v>
      </c>
      <c r="I1841" s="103">
        <f>SUBTOTAL(109,Program346[(I)
Payments
 and Offsets])</f>
        <v>-248722</v>
      </c>
      <c r="J1841" s="103">
        <f>SUBTOTAL(109,Program346[(J)
Accounts Payable Balance
(H + I)])</f>
        <v>136999</v>
      </c>
      <c r="K1841" s="103">
        <f>SUBTOTAL(109,Program346[(K)
Established 
Accounts Receivable])</f>
        <v>0</v>
      </c>
      <c r="L1841" s="103">
        <f>SUBTOTAL(105,Program346[(L)
Recovered
 Accounts Receivable])</f>
        <v>0</v>
      </c>
      <c r="M1841" s="103">
        <f>SUBTOTAL(109,Program346[(M)
Accounts Receivable Balance
(K + L)])</f>
        <v>0</v>
      </c>
      <c r="N1841" s="103">
        <f>SUBTOTAL(109,Program346[(N)
Net Balance
(J minus M)])</f>
        <v>136999</v>
      </c>
    </row>
    <row r="1842" spans="1:14" x14ac:dyDescent="0.35">
      <c r="A1842" s="116" t="s">
        <v>33</v>
      </c>
      <c r="B1842" s="115"/>
      <c r="C1842" s="114"/>
      <c r="D1842" s="114"/>
      <c r="E1842" s="114"/>
      <c r="F1842" s="114"/>
      <c r="G1842" s="114"/>
      <c r="H1842" s="114"/>
      <c r="I1842" s="114"/>
      <c r="J1842" s="114"/>
      <c r="K1842" s="114"/>
      <c r="L1842" s="114"/>
      <c r="M1842" s="114"/>
      <c r="N1842" s="114"/>
    </row>
    <row r="1843" spans="1:14" ht="77.5" x14ac:dyDescent="0.35">
      <c r="A1843" s="113" t="s">
        <v>185</v>
      </c>
      <c r="B1843" s="112" t="s">
        <v>184</v>
      </c>
      <c r="C1843" s="111" t="s">
        <v>183</v>
      </c>
      <c r="D1843" s="111" t="s">
        <v>182</v>
      </c>
      <c r="E1843" s="111" t="s">
        <v>181</v>
      </c>
      <c r="F1843" s="111" t="s">
        <v>180</v>
      </c>
      <c r="G1843" s="111" t="s">
        <v>179</v>
      </c>
      <c r="H1843" s="110" t="s">
        <v>674</v>
      </c>
      <c r="I1843" s="110" t="s">
        <v>178</v>
      </c>
      <c r="J1843" s="110" t="s">
        <v>177</v>
      </c>
      <c r="K1843" s="111" t="s">
        <v>176</v>
      </c>
      <c r="L1843" s="110" t="s">
        <v>175</v>
      </c>
      <c r="M1843" s="110" t="s">
        <v>174</v>
      </c>
      <c r="N1843" s="109" t="s">
        <v>173</v>
      </c>
    </row>
    <row r="1844" spans="1:14" x14ac:dyDescent="0.35">
      <c r="A1844" s="108" t="s">
        <v>479</v>
      </c>
      <c r="B1844" s="108" t="s">
        <v>215</v>
      </c>
      <c r="C1844" s="106">
        <v>10813</v>
      </c>
      <c r="D1844" s="106">
        <v>0</v>
      </c>
      <c r="E1844" s="106">
        <v>0</v>
      </c>
      <c r="F1844" s="106">
        <v>0</v>
      </c>
      <c r="G1844" s="106">
        <v>0</v>
      </c>
      <c r="H1844" s="106">
        <v>10813</v>
      </c>
      <c r="I1844" s="106">
        <v>0</v>
      </c>
      <c r="J1844" s="106">
        <v>10813</v>
      </c>
      <c r="K1844" s="106">
        <v>0</v>
      </c>
      <c r="L1844" s="106">
        <v>0</v>
      </c>
      <c r="M1844" s="106">
        <v>0</v>
      </c>
      <c r="N1844" s="106">
        <v>10813</v>
      </c>
    </row>
    <row r="1845" spans="1:14" x14ac:dyDescent="0.35">
      <c r="A1845" s="108" t="s">
        <v>479</v>
      </c>
      <c r="B1845" s="108" t="s">
        <v>214</v>
      </c>
      <c r="C1845" s="106">
        <v>14783</v>
      </c>
      <c r="D1845" s="106">
        <v>0</v>
      </c>
      <c r="E1845" s="106">
        <v>0</v>
      </c>
      <c r="F1845" s="106">
        <v>0</v>
      </c>
      <c r="G1845" s="106">
        <v>0</v>
      </c>
      <c r="H1845" s="106">
        <v>14783</v>
      </c>
      <c r="I1845" s="106">
        <v>-1000</v>
      </c>
      <c r="J1845" s="106">
        <v>13783</v>
      </c>
      <c r="K1845" s="106">
        <v>0</v>
      </c>
      <c r="L1845" s="106">
        <v>0</v>
      </c>
      <c r="M1845" s="106">
        <v>0</v>
      </c>
      <c r="N1845" s="106">
        <v>13783</v>
      </c>
    </row>
    <row r="1846" spans="1:14" x14ac:dyDescent="0.35">
      <c r="A1846" s="108" t="s">
        <v>479</v>
      </c>
      <c r="B1846" s="108" t="s">
        <v>212</v>
      </c>
      <c r="C1846" s="106">
        <v>11236</v>
      </c>
      <c r="D1846" s="106">
        <v>0</v>
      </c>
      <c r="E1846" s="106">
        <v>0</v>
      </c>
      <c r="F1846" s="106">
        <v>0</v>
      </c>
      <c r="G1846" s="106">
        <v>0</v>
      </c>
      <c r="H1846" s="106">
        <v>11236</v>
      </c>
      <c r="I1846" s="106">
        <v>-1000</v>
      </c>
      <c r="J1846" s="106">
        <v>10236</v>
      </c>
      <c r="K1846" s="106">
        <v>0</v>
      </c>
      <c r="L1846" s="106">
        <v>0</v>
      </c>
      <c r="M1846" s="106">
        <v>0</v>
      </c>
      <c r="N1846" s="106">
        <v>10236</v>
      </c>
    </row>
    <row r="1847" spans="1:14" x14ac:dyDescent="0.35">
      <c r="A1847" s="108" t="s">
        <v>479</v>
      </c>
      <c r="B1847" s="108" t="s">
        <v>220</v>
      </c>
      <c r="C1847" s="106">
        <v>19158</v>
      </c>
      <c r="D1847" s="106">
        <v>-248</v>
      </c>
      <c r="E1847" s="106">
        <v>0</v>
      </c>
      <c r="F1847" s="106">
        <v>0</v>
      </c>
      <c r="G1847" s="106">
        <v>0</v>
      </c>
      <c r="H1847" s="106">
        <v>18910</v>
      </c>
      <c r="I1847" s="106">
        <v>-8205</v>
      </c>
      <c r="J1847" s="106">
        <v>10705</v>
      </c>
      <c r="K1847" s="106">
        <v>0</v>
      </c>
      <c r="L1847" s="106">
        <v>0</v>
      </c>
      <c r="M1847" s="106">
        <v>0</v>
      </c>
      <c r="N1847" s="106">
        <v>10705</v>
      </c>
    </row>
    <row r="1848" spans="1:14" x14ac:dyDescent="0.35">
      <c r="A1848" s="108" t="s">
        <v>479</v>
      </c>
      <c r="B1848" s="108" t="s">
        <v>219</v>
      </c>
      <c r="C1848" s="106">
        <v>31192</v>
      </c>
      <c r="D1848" s="106">
        <v>0</v>
      </c>
      <c r="E1848" s="106">
        <v>0</v>
      </c>
      <c r="F1848" s="106">
        <v>0</v>
      </c>
      <c r="G1848" s="106">
        <v>0</v>
      </c>
      <c r="H1848" s="106">
        <v>31192</v>
      </c>
      <c r="I1848" s="106">
        <v>-6108</v>
      </c>
      <c r="J1848" s="106">
        <v>25084</v>
      </c>
      <c r="K1848" s="106">
        <v>0</v>
      </c>
      <c r="L1848" s="106">
        <v>0</v>
      </c>
      <c r="M1848" s="106">
        <v>0</v>
      </c>
      <c r="N1848" s="106">
        <v>25084</v>
      </c>
    </row>
    <row r="1849" spans="1:14" x14ac:dyDescent="0.35">
      <c r="A1849" s="108" t="s">
        <v>479</v>
      </c>
      <c r="B1849" s="108" t="s">
        <v>218</v>
      </c>
      <c r="C1849" s="106">
        <v>142149</v>
      </c>
      <c r="D1849" s="106">
        <v>-684</v>
      </c>
      <c r="E1849" s="106">
        <v>0</v>
      </c>
      <c r="F1849" s="106">
        <v>0</v>
      </c>
      <c r="G1849" s="106">
        <v>0</v>
      </c>
      <c r="H1849" s="106">
        <v>141465</v>
      </c>
      <c r="I1849" s="106">
        <v>-72454</v>
      </c>
      <c r="J1849" s="106">
        <v>69011</v>
      </c>
      <c r="K1849" s="106">
        <v>0</v>
      </c>
      <c r="L1849" s="106">
        <v>0</v>
      </c>
      <c r="M1849" s="106">
        <v>0</v>
      </c>
      <c r="N1849" s="106">
        <v>69011</v>
      </c>
    </row>
    <row r="1850" spans="1:14" x14ac:dyDescent="0.35">
      <c r="A1850" s="108" t="s">
        <v>479</v>
      </c>
      <c r="B1850" s="108" t="s">
        <v>209</v>
      </c>
      <c r="C1850" s="106">
        <v>169806</v>
      </c>
      <c r="D1850" s="106">
        <v>-212</v>
      </c>
      <c r="E1850" s="106">
        <v>0</v>
      </c>
      <c r="F1850" s="106">
        <v>0</v>
      </c>
      <c r="G1850" s="106">
        <v>0</v>
      </c>
      <c r="H1850" s="106">
        <v>169594</v>
      </c>
      <c r="I1850" s="106">
        <v>-126335</v>
      </c>
      <c r="J1850" s="106">
        <v>43259</v>
      </c>
      <c r="K1850" s="106">
        <v>0</v>
      </c>
      <c r="L1850" s="106">
        <v>0</v>
      </c>
      <c r="M1850" s="106">
        <v>0</v>
      </c>
      <c r="N1850" s="106">
        <v>43259</v>
      </c>
    </row>
    <row r="1851" spans="1:14" x14ac:dyDescent="0.35">
      <c r="A1851" s="108" t="s">
        <v>479</v>
      </c>
      <c r="B1851" s="108" t="s">
        <v>208</v>
      </c>
      <c r="C1851" s="106">
        <v>124217</v>
      </c>
      <c r="D1851" s="106">
        <v>-723</v>
      </c>
      <c r="E1851" s="106">
        <v>0</v>
      </c>
      <c r="F1851" s="106">
        <v>0</v>
      </c>
      <c r="G1851" s="106">
        <v>0</v>
      </c>
      <c r="H1851" s="106">
        <v>123494</v>
      </c>
      <c r="I1851" s="106">
        <v>-102022</v>
      </c>
      <c r="J1851" s="106">
        <v>21472</v>
      </c>
      <c r="K1851" s="106">
        <v>0</v>
      </c>
      <c r="L1851" s="106">
        <v>0</v>
      </c>
      <c r="M1851" s="106">
        <v>0</v>
      </c>
      <c r="N1851" s="106">
        <v>21472</v>
      </c>
    </row>
    <row r="1852" spans="1:14" x14ac:dyDescent="0.35">
      <c r="A1852" s="108" t="s">
        <v>479</v>
      </c>
      <c r="B1852" s="108" t="s">
        <v>206</v>
      </c>
      <c r="C1852" s="106">
        <v>122942</v>
      </c>
      <c r="D1852" s="106">
        <v>-906</v>
      </c>
      <c r="E1852" s="106">
        <v>0</v>
      </c>
      <c r="F1852" s="106">
        <v>0</v>
      </c>
      <c r="G1852" s="106">
        <v>0</v>
      </c>
      <c r="H1852" s="106">
        <v>122036</v>
      </c>
      <c r="I1852" s="106">
        <v>-112462</v>
      </c>
      <c r="J1852" s="106">
        <v>9574</v>
      </c>
      <c r="K1852" s="106">
        <v>0</v>
      </c>
      <c r="L1852" s="106">
        <v>0</v>
      </c>
      <c r="M1852" s="106">
        <v>0</v>
      </c>
      <c r="N1852" s="106">
        <v>9574</v>
      </c>
    </row>
    <row r="1853" spans="1:14" x14ac:dyDescent="0.35">
      <c r="A1853" s="108" t="s">
        <v>479</v>
      </c>
      <c r="B1853" s="108" t="s">
        <v>205</v>
      </c>
      <c r="C1853" s="106">
        <v>100190</v>
      </c>
      <c r="D1853" s="106">
        <v>-537</v>
      </c>
      <c r="E1853" s="106">
        <v>0</v>
      </c>
      <c r="F1853" s="106">
        <v>0</v>
      </c>
      <c r="G1853" s="106">
        <v>0</v>
      </c>
      <c r="H1853" s="106">
        <v>99653</v>
      </c>
      <c r="I1853" s="106">
        <v>-89104</v>
      </c>
      <c r="J1853" s="106">
        <v>10549</v>
      </c>
      <c r="K1853" s="106">
        <v>0</v>
      </c>
      <c r="L1853" s="106">
        <v>0</v>
      </c>
      <c r="M1853" s="106">
        <v>0</v>
      </c>
      <c r="N1853" s="106">
        <v>10549</v>
      </c>
    </row>
    <row r="1854" spans="1:14" x14ac:dyDescent="0.35">
      <c r="A1854" s="108" t="s">
        <v>479</v>
      </c>
      <c r="B1854" s="108" t="s">
        <v>204</v>
      </c>
      <c r="C1854" s="106">
        <v>64590</v>
      </c>
      <c r="D1854" s="106">
        <v>-801</v>
      </c>
      <c r="E1854" s="106">
        <v>0</v>
      </c>
      <c r="F1854" s="106">
        <v>0</v>
      </c>
      <c r="G1854" s="106">
        <v>0</v>
      </c>
      <c r="H1854" s="106">
        <v>63789</v>
      </c>
      <c r="I1854" s="106">
        <v>-58955</v>
      </c>
      <c r="J1854" s="106">
        <v>4834</v>
      </c>
      <c r="K1854" s="106">
        <v>0</v>
      </c>
      <c r="L1854" s="106">
        <v>0</v>
      </c>
      <c r="M1854" s="106">
        <v>0</v>
      </c>
      <c r="N1854" s="106">
        <v>4834</v>
      </c>
    </row>
    <row r="1855" spans="1:14" x14ac:dyDescent="0.35">
      <c r="A1855" s="108" t="s">
        <v>479</v>
      </c>
      <c r="B1855" s="108" t="s">
        <v>203</v>
      </c>
      <c r="C1855" s="106">
        <v>92269</v>
      </c>
      <c r="D1855" s="106">
        <v>-1096</v>
      </c>
      <c r="E1855" s="106">
        <v>0</v>
      </c>
      <c r="F1855" s="106">
        <v>0</v>
      </c>
      <c r="G1855" s="106">
        <v>0</v>
      </c>
      <c r="H1855" s="106">
        <v>91173</v>
      </c>
      <c r="I1855" s="106">
        <v>-85157</v>
      </c>
      <c r="J1855" s="106">
        <v>6016</v>
      </c>
      <c r="K1855" s="106">
        <v>0</v>
      </c>
      <c r="L1855" s="106">
        <v>0</v>
      </c>
      <c r="M1855" s="106">
        <v>0</v>
      </c>
      <c r="N1855" s="106">
        <v>6016</v>
      </c>
    </row>
    <row r="1856" spans="1:14" x14ac:dyDescent="0.35">
      <c r="A1856" s="108" t="s">
        <v>479</v>
      </c>
      <c r="B1856" s="108" t="s">
        <v>202</v>
      </c>
      <c r="C1856" s="106">
        <v>52536</v>
      </c>
      <c r="D1856" s="106">
        <v>-393</v>
      </c>
      <c r="E1856" s="106">
        <v>0</v>
      </c>
      <c r="F1856" s="106">
        <v>0</v>
      </c>
      <c r="G1856" s="106">
        <v>0</v>
      </c>
      <c r="H1856" s="106">
        <v>52143</v>
      </c>
      <c r="I1856" s="106">
        <v>-47396</v>
      </c>
      <c r="J1856" s="106">
        <v>4747</v>
      </c>
      <c r="K1856" s="106">
        <v>0</v>
      </c>
      <c r="L1856" s="106">
        <v>0</v>
      </c>
      <c r="M1856" s="106">
        <v>0</v>
      </c>
      <c r="N1856" s="106">
        <v>4747</v>
      </c>
    </row>
    <row r="1857" spans="1:14" x14ac:dyDescent="0.35">
      <c r="A1857" s="108" t="s">
        <v>479</v>
      </c>
      <c r="B1857" s="108" t="s">
        <v>201</v>
      </c>
      <c r="C1857" s="106">
        <v>50027</v>
      </c>
      <c r="D1857" s="106">
        <v>-400</v>
      </c>
      <c r="E1857" s="106">
        <v>0</v>
      </c>
      <c r="F1857" s="106">
        <v>0</v>
      </c>
      <c r="G1857" s="106">
        <v>0</v>
      </c>
      <c r="H1857" s="106">
        <v>49627</v>
      </c>
      <c r="I1857" s="106">
        <v>-46027</v>
      </c>
      <c r="J1857" s="106">
        <v>3600</v>
      </c>
      <c r="K1857" s="106">
        <v>0</v>
      </c>
      <c r="L1857" s="106">
        <v>0</v>
      </c>
      <c r="M1857" s="106">
        <v>0</v>
      </c>
      <c r="N1857" s="106">
        <v>3600</v>
      </c>
    </row>
    <row r="1858" spans="1:14" x14ac:dyDescent="0.35">
      <c r="A1858" s="108" t="s">
        <v>479</v>
      </c>
      <c r="B1858" s="108" t="s">
        <v>200</v>
      </c>
      <c r="C1858" s="106">
        <v>29595</v>
      </c>
      <c r="D1858" s="106">
        <v>-280</v>
      </c>
      <c r="E1858" s="106">
        <v>0</v>
      </c>
      <c r="F1858" s="106">
        <v>0</v>
      </c>
      <c r="G1858" s="106">
        <v>0</v>
      </c>
      <c r="H1858" s="106">
        <v>29315</v>
      </c>
      <c r="I1858" s="106">
        <v>-29315</v>
      </c>
      <c r="J1858" s="106">
        <v>0</v>
      </c>
      <c r="K1858" s="106">
        <v>0</v>
      </c>
      <c r="L1858" s="106">
        <v>0</v>
      </c>
      <c r="M1858" s="106">
        <v>0</v>
      </c>
      <c r="N1858" s="106">
        <v>0</v>
      </c>
    </row>
    <row r="1859" spans="1:14" ht="16" thickBot="1" x14ac:dyDescent="0.4">
      <c r="A1859" s="105" t="s">
        <v>357</v>
      </c>
      <c r="B1859" s="79" t="s">
        <v>12</v>
      </c>
      <c r="C1859" s="103">
        <f>SUBTOTAL(109,Program351[(C)
Program
Costs])</f>
        <v>1035503</v>
      </c>
      <c r="D1859" s="103">
        <f>SUBTOTAL(109,Program351[(D)
Prior Period Adjustments])</f>
        <v>-6280</v>
      </c>
      <c r="E1859" s="103">
        <f>SUBTOTAL(109,Program351[(E)
Current Period Desk 
Reviews])</f>
        <v>0</v>
      </c>
      <c r="F1859" s="103">
        <f>SUBTOTAL(109,Program351[(F)
Current Period 
Final 
Audits])</f>
        <v>0</v>
      </c>
      <c r="G1859" s="103">
        <f>SUBTOTAL(109,Program351[(G)
Current Period 
Other Adjustments])</f>
        <v>0</v>
      </c>
      <c r="H1859" s="103">
        <f>SUBTOTAL(109,Program351[(H)
Net Program Costs
Sum (C through G)])</f>
        <v>1029223</v>
      </c>
      <c r="I1859" s="103">
        <f>SUBTOTAL(109,Program351[(I)
Payments
 and Offsets])</f>
        <v>-785540</v>
      </c>
      <c r="J1859" s="103">
        <f>SUBTOTAL(109,Program351[(J)
Accounts Payable Balance
(H + I)])</f>
        <v>243683</v>
      </c>
      <c r="K1859" s="103">
        <f>SUBTOTAL(109,Program351[(K)
Established 
Accounts Receivable])</f>
        <v>0</v>
      </c>
      <c r="L1859" s="103">
        <f>SUBTOTAL(109,Program351[(L)
Recovered
 Accounts Receivable])</f>
        <v>0</v>
      </c>
      <c r="M1859" s="103">
        <f>SUBTOTAL(109,Program351[(M)
Accounts Receivable Balance
(K + L)])</f>
        <v>0</v>
      </c>
      <c r="N1859" s="103">
        <f>SUBTOTAL(109,Program351[(N)
Net Balance
(J minus M)])</f>
        <v>243683</v>
      </c>
    </row>
    <row r="1860" spans="1:14" x14ac:dyDescent="0.35">
      <c r="A1860" s="116" t="s">
        <v>33</v>
      </c>
      <c r="B1860" s="115"/>
      <c r="C1860" s="114"/>
      <c r="D1860" s="114"/>
      <c r="E1860" s="114"/>
      <c r="F1860" s="114"/>
      <c r="G1860" s="114"/>
      <c r="H1860" s="114"/>
      <c r="I1860" s="114"/>
      <c r="J1860" s="114"/>
      <c r="K1860" s="114"/>
      <c r="L1860" s="114"/>
      <c r="M1860" s="114"/>
      <c r="N1860" s="114"/>
    </row>
    <row r="1861" spans="1:14" ht="77.5" x14ac:dyDescent="0.35">
      <c r="A1861" s="113" t="s">
        <v>185</v>
      </c>
      <c r="B1861" s="112" t="s">
        <v>184</v>
      </c>
      <c r="C1861" s="111" t="s">
        <v>183</v>
      </c>
      <c r="D1861" s="111" t="s">
        <v>182</v>
      </c>
      <c r="E1861" s="111" t="s">
        <v>181</v>
      </c>
      <c r="F1861" s="111" t="s">
        <v>180</v>
      </c>
      <c r="G1861" s="111" t="s">
        <v>179</v>
      </c>
      <c r="H1861" s="110" t="s">
        <v>674</v>
      </c>
      <c r="I1861" s="110" t="s">
        <v>178</v>
      </c>
      <c r="J1861" s="110" t="s">
        <v>177</v>
      </c>
      <c r="K1861" s="111" t="s">
        <v>176</v>
      </c>
      <c r="L1861" s="110" t="s">
        <v>175</v>
      </c>
      <c r="M1861" s="110" t="s">
        <v>174</v>
      </c>
      <c r="N1861" s="109" t="s">
        <v>173</v>
      </c>
    </row>
    <row r="1862" spans="1:14" x14ac:dyDescent="0.35">
      <c r="A1862" s="108" t="s">
        <v>478</v>
      </c>
      <c r="B1862" s="107" t="s">
        <v>12</v>
      </c>
      <c r="C1862" s="106">
        <v>6084581</v>
      </c>
      <c r="D1862" s="106">
        <v>-153482</v>
      </c>
      <c r="E1862" s="106">
        <v>0</v>
      </c>
      <c r="F1862" s="106">
        <v>0</v>
      </c>
      <c r="G1862" s="106">
        <v>0</v>
      </c>
      <c r="H1862" s="106">
        <v>5931099</v>
      </c>
      <c r="I1862" s="106">
        <v>-5931099</v>
      </c>
      <c r="J1862" s="106">
        <v>0</v>
      </c>
      <c r="K1862" s="106">
        <v>281361</v>
      </c>
      <c r="L1862" s="106">
        <v>-280361</v>
      </c>
      <c r="M1862" s="106">
        <v>1000</v>
      </c>
      <c r="N1862" s="106">
        <v>-1000</v>
      </c>
    </row>
    <row r="1863" spans="1:14" x14ac:dyDescent="0.35">
      <c r="A1863" s="108" t="s">
        <v>477</v>
      </c>
      <c r="B1863" s="107" t="s">
        <v>12</v>
      </c>
      <c r="C1863" s="106">
        <v>1952120</v>
      </c>
      <c r="D1863" s="106">
        <v>-13325</v>
      </c>
      <c r="E1863" s="106">
        <v>-1217</v>
      </c>
      <c r="F1863" s="106">
        <v>0</v>
      </c>
      <c r="G1863" s="106">
        <v>0</v>
      </c>
      <c r="H1863" s="106">
        <v>1937578</v>
      </c>
      <c r="I1863" s="106">
        <v>-1511597</v>
      </c>
      <c r="J1863" s="106">
        <v>425981</v>
      </c>
      <c r="K1863" s="106">
        <v>1000</v>
      </c>
      <c r="L1863" s="106">
        <v>0</v>
      </c>
      <c r="M1863" s="106">
        <v>1000</v>
      </c>
      <c r="N1863" s="106">
        <v>424981</v>
      </c>
    </row>
    <row r="1864" spans="1:14" x14ac:dyDescent="0.35">
      <c r="A1864" s="108" t="s">
        <v>476</v>
      </c>
      <c r="B1864" s="107" t="s">
        <v>12</v>
      </c>
      <c r="C1864" s="106">
        <v>117934</v>
      </c>
      <c r="D1864" s="106">
        <v>-639</v>
      </c>
      <c r="E1864" s="106">
        <v>0</v>
      </c>
      <c r="F1864" s="106">
        <v>0</v>
      </c>
      <c r="G1864" s="106">
        <v>0</v>
      </c>
      <c r="H1864" s="106">
        <v>117295</v>
      </c>
      <c r="I1864" s="106">
        <v>-107515</v>
      </c>
      <c r="J1864" s="106">
        <v>9780</v>
      </c>
      <c r="K1864" s="106">
        <v>0</v>
      </c>
      <c r="L1864" s="106">
        <v>0</v>
      </c>
      <c r="M1864" s="106">
        <v>0</v>
      </c>
      <c r="N1864" s="106">
        <v>9780</v>
      </c>
    </row>
    <row r="1865" spans="1:14" x14ac:dyDescent="0.35">
      <c r="A1865" s="108" t="s">
        <v>475</v>
      </c>
      <c r="B1865" s="107" t="s">
        <v>12</v>
      </c>
      <c r="C1865" s="106">
        <v>36198544</v>
      </c>
      <c r="D1865" s="106">
        <v>-2605144</v>
      </c>
      <c r="E1865" s="106">
        <v>0</v>
      </c>
      <c r="F1865" s="106">
        <v>0</v>
      </c>
      <c r="G1865" s="106">
        <v>0</v>
      </c>
      <c r="H1865" s="106">
        <v>33593400</v>
      </c>
      <c r="I1865" s="106">
        <v>-33593400</v>
      </c>
      <c r="J1865" s="106">
        <v>0</v>
      </c>
      <c r="K1865" s="106">
        <v>6249680</v>
      </c>
      <c r="L1865" s="106">
        <v>-6243904</v>
      </c>
      <c r="M1865" s="106">
        <v>5776</v>
      </c>
      <c r="N1865" s="106">
        <v>-5776</v>
      </c>
    </row>
    <row r="1866" spans="1:14" x14ac:dyDescent="0.35">
      <c r="A1866" s="108" t="s">
        <v>474</v>
      </c>
      <c r="B1866" s="107" t="s">
        <v>12</v>
      </c>
      <c r="C1866" s="106">
        <v>14708727</v>
      </c>
      <c r="D1866" s="106">
        <v>-138780</v>
      </c>
      <c r="E1866" s="106">
        <v>0</v>
      </c>
      <c r="F1866" s="106">
        <v>0</v>
      </c>
      <c r="G1866" s="106">
        <v>0</v>
      </c>
      <c r="H1866" s="106">
        <v>14569947</v>
      </c>
      <c r="I1866" s="106">
        <v>-11985303</v>
      </c>
      <c r="J1866" s="106">
        <v>2584644</v>
      </c>
      <c r="K1866" s="106">
        <v>60592</v>
      </c>
      <c r="L1866" s="106">
        <v>-57598</v>
      </c>
      <c r="M1866" s="106">
        <v>2994</v>
      </c>
      <c r="N1866" s="106">
        <v>2581650</v>
      </c>
    </row>
    <row r="1867" spans="1:14" x14ac:dyDescent="0.35">
      <c r="A1867" s="108" t="s">
        <v>473</v>
      </c>
      <c r="B1867" s="107" t="s">
        <v>12</v>
      </c>
      <c r="C1867" s="106">
        <v>1783035</v>
      </c>
      <c r="D1867" s="106">
        <v>-30537</v>
      </c>
      <c r="E1867" s="106">
        <v>0</v>
      </c>
      <c r="F1867" s="106">
        <v>0</v>
      </c>
      <c r="G1867" s="106">
        <v>0</v>
      </c>
      <c r="H1867" s="106">
        <v>1752498</v>
      </c>
      <c r="I1867" s="106">
        <v>-1752498</v>
      </c>
      <c r="J1867" s="106">
        <v>0</v>
      </c>
      <c r="K1867" s="106">
        <v>81133</v>
      </c>
      <c r="L1867" s="106">
        <v>-79405</v>
      </c>
      <c r="M1867" s="106">
        <v>1728</v>
      </c>
      <c r="N1867" s="106">
        <v>-1728</v>
      </c>
    </row>
    <row r="1868" spans="1:14" x14ac:dyDescent="0.35">
      <c r="A1868" s="108" t="s">
        <v>472</v>
      </c>
      <c r="B1868" s="107" t="s">
        <v>12</v>
      </c>
      <c r="C1868" s="106">
        <v>17173651</v>
      </c>
      <c r="D1868" s="106">
        <v>-1483306</v>
      </c>
      <c r="E1868" s="106">
        <v>0</v>
      </c>
      <c r="F1868" s="106">
        <v>0</v>
      </c>
      <c r="G1868" s="106">
        <v>0</v>
      </c>
      <c r="H1868" s="106">
        <v>15690345</v>
      </c>
      <c r="I1868" s="106">
        <v>-15690345</v>
      </c>
      <c r="J1868" s="106">
        <v>0</v>
      </c>
      <c r="K1868" s="106">
        <v>249488</v>
      </c>
      <c r="L1868" s="106">
        <v>-249488</v>
      </c>
      <c r="M1868" s="106">
        <v>0</v>
      </c>
      <c r="N1868" s="106">
        <v>0</v>
      </c>
    </row>
    <row r="1869" spans="1:14" x14ac:dyDescent="0.35">
      <c r="A1869" s="108" t="s">
        <v>471</v>
      </c>
      <c r="B1869" s="107" t="s">
        <v>12</v>
      </c>
      <c r="C1869" s="106">
        <v>17479098</v>
      </c>
      <c r="D1869" s="106">
        <v>-4407066</v>
      </c>
      <c r="E1869" s="106">
        <v>0</v>
      </c>
      <c r="F1869" s="106">
        <v>0</v>
      </c>
      <c r="G1869" s="106">
        <v>0</v>
      </c>
      <c r="H1869" s="106">
        <v>13072032</v>
      </c>
      <c r="I1869" s="106">
        <v>-13072032</v>
      </c>
      <c r="J1869" s="106">
        <v>0</v>
      </c>
      <c r="K1869" s="106">
        <v>1479906</v>
      </c>
      <c r="L1869" s="106">
        <v>-1479906</v>
      </c>
      <c r="M1869" s="106">
        <v>0</v>
      </c>
      <c r="N1869" s="106">
        <v>0</v>
      </c>
    </row>
    <row r="1870" spans="1:14" x14ac:dyDescent="0.35">
      <c r="A1870" s="108" t="s">
        <v>470</v>
      </c>
      <c r="B1870" s="107" t="s">
        <v>12</v>
      </c>
      <c r="C1870" s="106">
        <v>31655967</v>
      </c>
      <c r="D1870" s="106">
        <v>-261430</v>
      </c>
      <c r="E1870" s="106">
        <v>0</v>
      </c>
      <c r="F1870" s="106">
        <v>0</v>
      </c>
      <c r="G1870" s="106">
        <v>0</v>
      </c>
      <c r="H1870" s="106">
        <v>31394537</v>
      </c>
      <c r="I1870" s="106">
        <v>-31394537</v>
      </c>
      <c r="J1870" s="106">
        <v>0</v>
      </c>
      <c r="K1870" s="106">
        <v>114445</v>
      </c>
      <c r="L1870" s="106">
        <v>-103894</v>
      </c>
      <c r="M1870" s="106">
        <v>10551</v>
      </c>
      <c r="N1870" s="106">
        <v>-10551</v>
      </c>
    </row>
    <row r="1871" spans="1:14" x14ac:dyDescent="0.35">
      <c r="A1871" s="108" t="s">
        <v>469</v>
      </c>
      <c r="B1871" s="107" t="s">
        <v>12</v>
      </c>
      <c r="C1871" s="106">
        <v>54393</v>
      </c>
      <c r="D1871" s="106">
        <v>0</v>
      </c>
      <c r="E1871" s="106">
        <v>0</v>
      </c>
      <c r="F1871" s="106">
        <v>0</v>
      </c>
      <c r="G1871" s="106">
        <v>0</v>
      </c>
      <c r="H1871" s="106">
        <v>54393</v>
      </c>
      <c r="I1871" s="106">
        <v>-54393</v>
      </c>
      <c r="J1871" s="106">
        <v>0</v>
      </c>
      <c r="K1871" s="106">
        <v>0</v>
      </c>
      <c r="L1871" s="106">
        <v>0</v>
      </c>
      <c r="M1871" s="106">
        <v>0</v>
      </c>
      <c r="N1871" s="106">
        <v>0</v>
      </c>
    </row>
    <row r="1872" spans="1:14" x14ac:dyDescent="0.35">
      <c r="A1872" s="108" t="s">
        <v>468</v>
      </c>
      <c r="B1872" s="107" t="s">
        <v>12</v>
      </c>
      <c r="C1872" s="106">
        <v>812444041</v>
      </c>
      <c r="D1872" s="106">
        <v>-121137222</v>
      </c>
      <c r="E1872" s="106">
        <v>0</v>
      </c>
      <c r="F1872" s="106">
        <v>0</v>
      </c>
      <c r="G1872" s="106">
        <v>0</v>
      </c>
      <c r="H1872" s="106">
        <v>691306819</v>
      </c>
      <c r="I1872" s="106">
        <v>-612920059</v>
      </c>
      <c r="J1872" s="106">
        <v>78386760</v>
      </c>
      <c r="K1872" s="106">
        <v>0</v>
      </c>
      <c r="L1872" s="106">
        <v>0</v>
      </c>
      <c r="M1872" s="106">
        <v>0</v>
      </c>
      <c r="N1872" s="106">
        <v>78386760</v>
      </c>
    </row>
    <row r="1873" spans="1:14" x14ac:dyDescent="0.35">
      <c r="A1873" s="108" t="s">
        <v>467</v>
      </c>
      <c r="B1873" s="107" t="s">
        <v>12</v>
      </c>
      <c r="C1873" s="106">
        <v>5702789</v>
      </c>
      <c r="D1873" s="106">
        <v>-5135274</v>
      </c>
      <c r="E1873" s="106">
        <v>0</v>
      </c>
      <c r="F1873" s="106">
        <v>0</v>
      </c>
      <c r="G1873" s="106">
        <v>0</v>
      </c>
      <c r="H1873" s="106">
        <v>567515</v>
      </c>
      <c r="I1873" s="106">
        <v>-339292</v>
      </c>
      <c r="J1873" s="106">
        <v>228223</v>
      </c>
      <c r="K1873" s="106">
        <v>0</v>
      </c>
      <c r="L1873" s="106">
        <v>0</v>
      </c>
      <c r="M1873" s="106">
        <v>0</v>
      </c>
      <c r="N1873" s="106">
        <v>228223</v>
      </c>
    </row>
    <row r="1874" spans="1:14" x14ac:dyDescent="0.35">
      <c r="A1874" s="108" t="s">
        <v>466</v>
      </c>
      <c r="B1874" s="107" t="s">
        <v>12</v>
      </c>
      <c r="C1874" s="106">
        <v>676680</v>
      </c>
      <c r="D1874" s="106">
        <v>0</v>
      </c>
      <c r="E1874" s="106">
        <v>0</v>
      </c>
      <c r="F1874" s="106">
        <v>0</v>
      </c>
      <c r="G1874" s="106">
        <v>-10239</v>
      </c>
      <c r="H1874" s="106">
        <v>666441</v>
      </c>
      <c r="I1874" s="106">
        <v>-1000</v>
      </c>
      <c r="J1874" s="106">
        <v>665441</v>
      </c>
      <c r="K1874" s="106">
        <v>0</v>
      </c>
      <c r="L1874" s="106">
        <v>0</v>
      </c>
      <c r="M1874" s="106">
        <v>0</v>
      </c>
      <c r="N1874" s="106">
        <v>665441</v>
      </c>
    </row>
    <row r="1875" spans="1:14" x14ac:dyDescent="0.35">
      <c r="A1875" s="108" t="s">
        <v>465</v>
      </c>
      <c r="B1875" s="107" t="s">
        <v>12</v>
      </c>
      <c r="C1875" s="106">
        <v>211120028</v>
      </c>
      <c r="D1875" s="106">
        <v>-17525059</v>
      </c>
      <c r="E1875" s="106">
        <v>0</v>
      </c>
      <c r="F1875" s="106">
        <v>-23521430</v>
      </c>
      <c r="G1875" s="106">
        <v>0</v>
      </c>
      <c r="H1875" s="106">
        <v>170073539</v>
      </c>
      <c r="I1875" s="106">
        <v>-142864058</v>
      </c>
      <c r="J1875" s="106">
        <v>27209481</v>
      </c>
      <c r="K1875" s="106">
        <v>1000</v>
      </c>
      <c r="L1875" s="106">
        <v>0</v>
      </c>
      <c r="M1875" s="106">
        <v>1000</v>
      </c>
      <c r="N1875" s="106">
        <v>27208481</v>
      </c>
    </row>
    <row r="1876" spans="1:14" x14ac:dyDescent="0.35">
      <c r="A1876" s="108" t="s">
        <v>464</v>
      </c>
      <c r="B1876" s="107" t="s">
        <v>12</v>
      </c>
      <c r="C1876" s="106">
        <v>682984</v>
      </c>
      <c r="D1876" s="106">
        <v>-6727</v>
      </c>
      <c r="E1876" s="106">
        <v>0</v>
      </c>
      <c r="F1876" s="106">
        <v>0</v>
      </c>
      <c r="G1876" s="106">
        <v>0</v>
      </c>
      <c r="H1876" s="106">
        <v>676257</v>
      </c>
      <c r="I1876" s="106">
        <v>-494173</v>
      </c>
      <c r="J1876" s="106">
        <v>182084</v>
      </c>
      <c r="K1876" s="106">
        <v>0</v>
      </c>
      <c r="L1876" s="106">
        <v>0</v>
      </c>
      <c r="M1876" s="106">
        <v>0</v>
      </c>
      <c r="N1876" s="106">
        <v>182084</v>
      </c>
    </row>
    <row r="1877" spans="1:14" x14ac:dyDescent="0.35">
      <c r="A1877" s="108" t="s">
        <v>463</v>
      </c>
      <c r="B1877" s="107" t="s">
        <v>12</v>
      </c>
      <c r="C1877" s="106">
        <v>714010</v>
      </c>
      <c r="D1877" s="106">
        <v>-2813</v>
      </c>
      <c r="E1877" s="106">
        <v>0</v>
      </c>
      <c r="F1877" s="106">
        <v>0</v>
      </c>
      <c r="G1877" s="106">
        <v>0</v>
      </c>
      <c r="H1877" s="106">
        <v>711197</v>
      </c>
      <c r="I1877" s="106">
        <v>-621514</v>
      </c>
      <c r="J1877" s="106">
        <v>89683</v>
      </c>
      <c r="K1877" s="106">
        <v>0</v>
      </c>
      <c r="L1877" s="106">
        <v>0</v>
      </c>
      <c r="M1877" s="106">
        <v>0</v>
      </c>
      <c r="N1877" s="106">
        <v>89683</v>
      </c>
    </row>
    <row r="1878" spans="1:14" x14ac:dyDescent="0.35">
      <c r="A1878" s="108" t="s">
        <v>462</v>
      </c>
      <c r="B1878" s="107" t="s">
        <v>12</v>
      </c>
      <c r="C1878" s="106">
        <v>12731196</v>
      </c>
      <c r="D1878" s="106">
        <v>-123052</v>
      </c>
      <c r="E1878" s="106">
        <v>0</v>
      </c>
      <c r="F1878" s="106">
        <v>0</v>
      </c>
      <c r="G1878" s="106">
        <v>0</v>
      </c>
      <c r="H1878" s="106">
        <v>12608144</v>
      </c>
      <c r="I1878" s="106">
        <v>-11961286</v>
      </c>
      <c r="J1878" s="106">
        <v>646858</v>
      </c>
      <c r="K1878" s="106">
        <v>318423</v>
      </c>
      <c r="L1878" s="106">
        <v>-296416</v>
      </c>
      <c r="M1878" s="106">
        <v>22007</v>
      </c>
      <c r="N1878" s="106">
        <v>624851</v>
      </c>
    </row>
    <row r="1879" spans="1:14" x14ac:dyDescent="0.35">
      <c r="A1879" s="108" t="s">
        <v>461</v>
      </c>
      <c r="B1879" s="107" t="s">
        <v>12</v>
      </c>
      <c r="C1879" s="106">
        <v>78562855</v>
      </c>
      <c r="D1879" s="106">
        <v>-13938671</v>
      </c>
      <c r="E1879" s="106">
        <v>0</v>
      </c>
      <c r="F1879" s="106">
        <v>0</v>
      </c>
      <c r="G1879" s="106">
        <v>0</v>
      </c>
      <c r="H1879" s="106">
        <v>64624184</v>
      </c>
      <c r="I1879" s="106">
        <v>-64624184</v>
      </c>
      <c r="J1879" s="106">
        <v>0</v>
      </c>
      <c r="K1879" s="106">
        <v>2464721</v>
      </c>
      <c r="L1879" s="106">
        <v>-2464721</v>
      </c>
      <c r="M1879" s="106">
        <v>0</v>
      </c>
      <c r="N1879" s="106">
        <v>0</v>
      </c>
    </row>
    <row r="1880" spans="1:14" x14ac:dyDescent="0.35">
      <c r="A1880" s="108" t="s">
        <v>460</v>
      </c>
      <c r="B1880" s="107" t="s">
        <v>12</v>
      </c>
      <c r="C1880" s="106">
        <v>19576111</v>
      </c>
      <c r="D1880" s="106">
        <v>118292</v>
      </c>
      <c r="E1880" s="106">
        <v>0</v>
      </c>
      <c r="F1880" s="106">
        <v>0</v>
      </c>
      <c r="G1880" s="106">
        <v>0</v>
      </c>
      <c r="H1880" s="106">
        <v>19694403</v>
      </c>
      <c r="I1880" s="106">
        <v>-19694403</v>
      </c>
      <c r="J1880" s="106">
        <v>0</v>
      </c>
      <c r="K1880" s="106">
        <v>1373272</v>
      </c>
      <c r="L1880" s="106">
        <v>-1358272</v>
      </c>
      <c r="M1880" s="106">
        <v>15000</v>
      </c>
      <c r="N1880" s="106">
        <v>-15000</v>
      </c>
    </row>
    <row r="1881" spans="1:14" x14ac:dyDescent="0.35">
      <c r="A1881" s="108" t="s">
        <v>459</v>
      </c>
      <c r="B1881" s="107" t="s">
        <v>12</v>
      </c>
      <c r="C1881" s="106">
        <v>11931932</v>
      </c>
      <c r="D1881" s="106">
        <v>-2629966</v>
      </c>
      <c r="E1881" s="106">
        <v>0</v>
      </c>
      <c r="F1881" s="106">
        <v>0</v>
      </c>
      <c r="G1881" s="106">
        <v>0</v>
      </c>
      <c r="H1881" s="106">
        <v>9301966</v>
      </c>
      <c r="I1881" s="106">
        <v>-7607816</v>
      </c>
      <c r="J1881" s="106">
        <v>1694150</v>
      </c>
      <c r="K1881" s="106">
        <v>0</v>
      </c>
      <c r="L1881" s="106">
        <v>0</v>
      </c>
      <c r="M1881" s="106">
        <v>0</v>
      </c>
      <c r="N1881" s="106">
        <v>1694150</v>
      </c>
    </row>
    <row r="1882" spans="1:14" x14ac:dyDescent="0.35">
      <c r="A1882" s="108" t="s">
        <v>458</v>
      </c>
      <c r="B1882" s="107" t="s">
        <v>12</v>
      </c>
      <c r="C1882" s="106">
        <v>8114414</v>
      </c>
      <c r="D1882" s="106">
        <v>-25084</v>
      </c>
      <c r="E1882" s="106">
        <v>0</v>
      </c>
      <c r="F1882" s="106">
        <v>0</v>
      </c>
      <c r="G1882" s="106">
        <v>0</v>
      </c>
      <c r="H1882" s="106">
        <v>8089330</v>
      </c>
      <c r="I1882" s="106">
        <v>-7718640</v>
      </c>
      <c r="J1882" s="106">
        <v>370690</v>
      </c>
      <c r="K1882" s="106">
        <v>21370</v>
      </c>
      <c r="L1882" s="106">
        <v>-21370</v>
      </c>
      <c r="M1882" s="106">
        <v>0</v>
      </c>
      <c r="N1882" s="106">
        <v>370690</v>
      </c>
    </row>
    <row r="1883" spans="1:14" x14ac:dyDescent="0.35">
      <c r="A1883" s="108" t="s">
        <v>457</v>
      </c>
      <c r="B1883" s="107" t="s">
        <v>12</v>
      </c>
      <c r="C1883" s="106">
        <v>102420</v>
      </c>
      <c r="D1883" s="106">
        <v>-179</v>
      </c>
      <c r="E1883" s="106">
        <v>0</v>
      </c>
      <c r="F1883" s="106">
        <v>0</v>
      </c>
      <c r="G1883" s="106">
        <v>0</v>
      </c>
      <c r="H1883" s="106">
        <v>102241</v>
      </c>
      <c r="I1883" s="106">
        <v>-100937</v>
      </c>
      <c r="J1883" s="106">
        <v>1304</v>
      </c>
      <c r="K1883" s="106">
        <v>0</v>
      </c>
      <c r="L1883" s="106">
        <v>0</v>
      </c>
      <c r="M1883" s="106">
        <v>0</v>
      </c>
      <c r="N1883" s="106">
        <v>1304</v>
      </c>
    </row>
    <row r="1884" spans="1:14" x14ac:dyDescent="0.35">
      <c r="A1884" s="108" t="s">
        <v>456</v>
      </c>
      <c r="B1884" s="107" t="s">
        <v>12</v>
      </c>
      <c r="C1884" s="106">
        <v>104750</v>
      </c>
      <c r="D1884" s="106">
        <v>0</v>
      </c>
      <c r="E1884" s="106">
        <v>0</v>
      </c>
      <c r="F1884" s="106">
        <v>0</v>
      </c>
      <c r="G1884" s="106">
        <v>0</v>
      </c>
      <c r="H1884" s="106">
        <v>104750</v>
      </c>
      <c r="I1884" s="106">
        <v>-87573</v>
      </c>
      <c r="J1884" s="106">
        <v>17177</v>
      </c>
      <c r="K1884" s="106">
        <v>0</v>
      </c>
      <c r="L1884" s="106">
        <v>0</v>
      </c>
      <c r="M1884" s="106">
        <v>0</v>
      </c>
      <c r="N1884" s="106">
        <v>17177</v>
      </c>
    </row>
    <row r="1885" spans="1:14" x14ac:dyDescent="0.35">
      <c r="A1885" s="108" t="s">
        <v>455</v>
      </c>
      <c r="B1885" s="107" t="s">
        <v>12</v>
      </c>
      <c r="C1885" s="106">
        <v>50650</v>
      </c>
      <c r="D1885" s="106">
        <v>-2327</v>
      </c>
      <c r="E1885" s="106">
        <v>0</v>
      </c>
      <c r="F1885" s="106">
        <v>0</v>
      </c>
      <c r="G1885" s="106">
        <v>0</v>
      </c>
      <c r="H1885" s="106">
        <v>48323</v>
      </c>
      <c r="I1885" s="106">
        <v>-24823</v>
      </c>
      <c r="J1885" s="106">
        <v>23500</v>
      </c>
      <c r="K1885" s="106">
        <v>0</v>
      </c>
      <c r="L1885" s="106">
        <v>0</v>
      </c>
      <c r="M1885" s="106">
        <v>0</v>
      </c>
      <c r="N1885" s="106">
        <v>23500</v>
      </c>
    </row>
    <row r="1886" spans="1:14" x14ac:dyDescent="0.35">
      <c r="A1886" s="108" t="s">
        <v>454</v>
      </c>
      <c r="B1886" s="107" t="s">
        <v>12</v>
      </c>
      <c r="C1886" s="106">
        <v>104820005</v>
      </c>
      <c r="D1886" s="106">
        <v>-31536120</v>
      </c>
      <c r="E1886" s="106">
        <v>0</v>
      </c>
      <c r="F1886" s="106">
        <v>0</v>
      </c>
      <c r="G1886" s="106">
        <v>0</v>
      </c>
      <c r="H1886" s="106">
        <v>73283885</v>
      </c>
      <c r="I1886" s="106">
        <v>-73283885</v>
      </c>
      <c r="J1886" s="106">
        <v>0</v>
      </c>
      <c r="K1886" s="106">
        <v>7212859</v>
      </c>
      <c r="L1886" s="106">
        <v>-7208774</v>
      </c>
      <c r="M1886" s="106">
        <v>4085</v>
      </c>
      <c r="N1886" s="106">
        <v>-4085</v>
      </c>
    </row>
    <row r="1887" spans="1:14" x14ac:dyDescent="0.35">
      <c r="A1887" s="108" t="s">
        <v>453</v>
      </c>
      <c r="B1887" s="107" t="s">
        <v>12</v>
      </c>
      <c r="C1887" s="106">
        <v>656337719</v>
      </c>
      <c r="D1887" s="106">
        <v>-27811142</v>
      </c>
      <c r="E1887" s="106">
        <v>0</v>
      </c>
      <c r="F1887" s="106">
        <v>0</v>
      </c>
      <c r="G1887" s="106">
        <v>0</v>
      </c>
      <c r="H1887" s="106">
        <v>628526577</v>
      </c>
      <c r="I1887" s="106">
        <v>-606635320</v>
      </c>
      <c r="J1887" s="106">
        <v>21891257</v>
      </c>
      <c r="K1887" s="106">
        <v>79899770</v>
      </c>
      <c r="L1887" s="106">
        <v>-78486492</v>
      </c>
      <c r="M1887" s="106">
        <v>1413278</v>
      </c>
      <c r="N1887" s="106">
        <v>20477979</v>
      </c>
    </row>
    <row r="1888" spans="1:14" x14ac:dyDescent="0.35">
      <c r="A1888" s="108" t="s">
        <v>452</v>
      </c>
      <c r="B1888" s="107" t="s">
        <v>12</v>
      </c>
      <c r="C1888" s="106">
        <v>44252583</v>
      </c>
      <c r="D1888" s="106">
        <v>-690224</v>
      </c>
      <c r="E1888" s="106">
        <v>0</v>
      </c>
      <c r="F1888" s="106">
        <v>0</v>
      </c>
      <c r="G1888" s="106">
        <v>0</v>
      </c>
      <c r="H1888" s="106">
        <v>43562359</v>
      </c>
      <c r="I1888" s="106">
        <v>-42809965</v>
      </c>
      <c r="J1888" s="106">
        <v>752394</v>
      </c>
      <c r="K1888" s="106">
        <v>115797</v>
      </c>
      <c r="L1888" s="106">
        <v>-61893</v>
      </c>
      <c r="M1888" s="106">
        <v>53904</v>
      </c>
      <c r="N1888" s="106">
        <v>698490</v>
      </c>
    </row>
    <row r="1889" spans="1:14" x14ac:dyDescent="0.35">
      <c r="A1889" s="108" t="s">
        <v>451</v>
      </c>
      <c r="B1889" s="107" t="s">
        <v>12</v>
      </c>
      <c r="C1889" s="106">
        <v>11245481</v>
      </c>
      <c r="D1889" s="106">
        <v>-41452</v>
      </c>
      <c r="E1889" s="106">
        <v>0</v>
      </c>
      <c r="F1889" s="106">
        <v>0</v>
      </c>
      <c r="G1889" s="106">
        <v>0</v>
      </c>
      <c r="H1889" s="106">
        <v>11204029</v>
      </c>
      <c r="I1889" s="106">
        <v>-9074280</v>
      </c>
      <c r="J1889" s="106">
        <v>2129749</v>
      </c>
      <c r="K1889" s="106">
        <v>0</v>
      </c>
      <c r="L1889" s="106">
        <v>0</v>
      </c>
      <c r="M1889" s="106">
        <v>0</v>
      </c>
      <c r="N1889" s="106">
        <v>2129749</v>
      </c>
    </row>
    <row r="1890" spans="1:14" x14ac:dyDescent="0.35">
      <c r="A1890" s="108" t="s">
        <v>450</v>
      </c>
      <c r="B1890" s="107" t="s">
        <v>12</v>
      </c>
      <c r="C1890" s="106">
        <v>19016</v>
      </c>
      <c r="D1890" s="106">
        <v>0</v>
      </c>
      <c r="E1890" s="106">
        <v>0</v>
      </c>
      <c r="F1890" s="106">
        <v>0</v>
      </c>
      <c r="G1890" s="106">
        <v>0</v>
      </c>
      <c r="H1890" s="106">
        <v>19016</v>
      </c>
      <c r="I1890" s="106">
        <v>-19016</v>
      </c>
      <c r="J1890" s="106">
        <v>0</v>
      </c>
      <c r="K1890" s="106">
        <v>0</v>
      </c>
      <c r="L1890" s="106">
        <v>0</v>
      </c>
      <c r="M1890" s="106">
        <v>0</v>
      </c>
      <c r="N1890" s="106">
        <v>0</v>
      </c>
    </row>
    <row r="1891" spans="1:14" x14ac:dyDescent="0.35">
      <c r="A1891" s="108" t="s">
        <v>449</v>
      </c>
      <c r="B1891" s="107" t="s">
        <v>12</v>
      </c>
      <c r="C1891" s="106">
        <v>4694</v>
      </c>
      <c r="D1891" s="106">
        <v>0</v>
      </c>
      <c r="E1891" s="106">
        <v>0</v>
      </c>
      <c r="F1891" s="106">
        <v>0</v>
      </c>
      <c r="G1891" s="106">
        <v>0</v>
      </c>
      <c r="H1891" s="106">
        <v>4694</v>
      </c>
      <c r="I1891" s="106">
        <v>-4694</v>
      </c>
      <c r="J1891" s="106">
        <v>0</v>
      </c>
      <c r="K1891" s="106">
        <v>0</v>
      </c>
      <c r="L1891" s="106">
        <v>0</v>
      </c>
      <c r="M1891" s="106">
        <v>0</v>
      </c>
      <c r="N1891" s="106">
        <v>0</v>
      </c>
    </row>
    <row r="1892" spans="1:14" x14ac:dyDescent="0.35">
      <c r="A1892" s="108" t="s">
        <v>448</v>
      </c>
      <c r="B1892" s="107" t="s">
        <v>12</v>
      </c>
      <c r="C1892" s="106">
        <v>1392153</v>
      </c>
      <c r="D1892" s="106">
        <v>-8145</v>
      </c>
      <c r="E1892" s="106">
        <v>0</v>
      </c>
      <c r="F1892" s="106">
        <v>0</v>
      </c>
      <c r="G1892" s="106">
        <v>0</v>
      </c>
      <c r="H1892" s="106">
        <v>1384008</v>
      </c>
      <c r="I1892" s="106">
        <v>-523040</v>
      </c>
      <c r="J1892" s="106">
        <v>860968</v>
      </c>
      <c r="K1892" s="106">
        <v>0</v>
      </c>
      <c r="L1892" s="106">
        <v>0</v>
      </c>
      <c r="M1892" s="106">
        <v>0</v>
      </c>
      <c r="N1892" s="106">
        <v>860968</v>
      </c>
    </row>
    <row r="1893" spans="1:14" x14ac:dyDescent="0.35">
      <c r="A1893" s="108" t="s">
        <v>447</v>
      </c>
      <c r="B1893" s="107" t="s">
        <v>12</v>
      </c>
      <c r="C1893" s="106">
        <v>69321211</v>
      </c>
      <c r="D1893" s="106">
        <v>-2640625</v>
      </c>
      <c r="E1893" s="106">
        <v>0</v>
      </c>
      <c r="F1893" s="106">
        <v>0</v>
      </c>
      <c r="G1893" s="106">
        <v>0</v>
      </c>
      <c r="H1893" s="106">
        <v>66680586</v>
      </c>
      <c r="I1893" s="106">
        <v>-62153335</v>
      </c>
      <c r="J1893" s="106">
        <v>4527251</v>
      </c>
      <c r="K1893" s="106">
        <v>1153572</v>
      </c>
      <c r="L1893" s="106">
        <v>-289805</v>
      </c>
      <c r="M1893" s="106">
        <v>863767</v>
      </c>
      <c r="N1893" s="106">
        <v>3663484</v>
      </c>
    </row>
    <row r="1894" spans="1:14" x14ac:dyDescent="0.35">
      <c r="A1894" s="108" t="s">
        <v>446</v>
      </c>
      <c r="B1894" s="107" t="s">
        <v>12</v>
      </c>
      <c r="C1894" s="106">
        <v>4593855</v>
      </c>
      <c r="D1894" s="106">
        <v>-10042</v>
      </c>
      <c r="E1894" s="106">
        <v>0</v>
      </c>
      <c r="F1894" s="106">
        <v>0</v>
      </c>
      <c r="G1894" s="106">
        <v>0</v>
      </c>
      <c r="H1894" s="106">
        <v>4583813</v>
      </c>
      <c r="I1894" s="106">
        <v>-3173257</v>
      </c>
      <c r="J1894" s="106">
        <v>1410556</v>
      </c>
      <c r="K1894" s="106">
        <v>0</v>
      </c>
      <c r="L1894" s="106">
        <v>0</v>
      </c>
      <c r="M1894" s="106">
        <v>0</v>
      </c>
      <c r="N1894" s="106">
        <v>1410556</v>
      </c>
    </row>
    <row r="1895" spans="1:14" x14ac:dyDescent="0.35">
      <c r="A1895" s="108" t="s">
        <v>445</v>
      </c>
      <c r="B1895" s="107" t="s">
        <v>12</v>
      </c>
      <c r="C1895" s="106">
        <v>34362346</v>
      </c>
      <c r="D1895" s="106">
        <v>-68136</v>
      </c>
      <c r="E1895" s="106">
        <v>0</v>
      </c>
      <c r="F1895" s="106">
        <v>0</v>
      </c>
      <c r="G1895" s="106">
        <v>0</v>
      </c>
      <c r="H1895" s="106">
        <v>34294210</v>
      </c>
      <c r="I1895" s="106">
        <v>-28729715</v>
      </c>
      <c r="J1895" s="106">
        <v>5564495</v>
      </c>
      <c r="K1895" s="106">
        <v>35553</v>
      </c>
      <c r="L1895" s="106">
        <v>-11081</v>
      </c>
      <c r="M1895" s="106">
        <v>24472</v>
      </c>
      <c r="N1895" s="106">
        <v>5540023</v>
      </c>
    </row>
    <row r="1896" spans="1:14" x14ac:dyDescent="0.35">
      <c r="A1896" s="108" t="s">
        <v>444</v>
      </c>
      <c r="B1896" s="107" t="s">
        <v>12</v>
      </c>
      <c r="C1896" s="106">
        <v>1520006</v>
      </c>
      <c r="D1896" s="106">
        <v>-3949</v>
      </c>
      <c r="E1896" s="106">
        <v>0</v>
      </c>
      <c r="F1896" s="106">
        <v>0</v>
      </c>
      <c r="G1896" s="106">
        <v>0</v>
      </c>
      <c r="H1896" s="106">
        <v>1516057</v>
      </c>
      <c r="I1896" s="106">
        <v>-1251003</v>
      </c>
      <c r="J1896" s="106">
        <v>265054</v>
      </c>
      <c r="K1896" s="106">
        <v>0</v>
      </c>
      <c r="L1896" s="106">
        <v>0</v>
      </c>
      <c r="M1896" s="106">
        <v>0</v>
      </c>
      <c r="N1896" s="106">
        <v>265054</v>
      </c>
    </row>
    <row r="1897" spans="1:14" x14ac:dyDescent="0.35">
      <c r="A1897" s="108" t="s">
        <v>443</v>
      </c>
      <c r="B1897" s="107" t="s">
        <v>12</v>
      </c>
      <c r="C1897" s="106">
        <v>5650605</v>
      </c>
      <c r="D1897" s="106">
        <v>-390665</v>
      </c>
      <c r="E1897" s="106">
        <v>0</v>
      </c>
      <c r="F1897" s="106">
        <v>0</v>
      </c>
      <c r="G1897" s="106">
        <v>0</v>
      </c>
      <c r="H1897" s="106">
        <v>5259940</v>
      </c>
      <c r="I1897" s="106">
        <v>-3973444</v>
      </c>
      <c r="J1897" s="106">
        <v>1286496</v>
      </c>
      <c r="K1897" s="106">
        <v>15158</v>
      </c>
      <c r="L1897" s="106">
        <v>-15158</v>
      </c>
      <c r="M1897" s="106">
        <v>0</v>
      </c>
      <c r="N1897" s="106">
        <v>1286496</v>
      </c>
    </row>
    <row r="1898" spans="1:14" x14ac:dyDescent="0.35">
      <c r="A1898" s="108" t="s">
        <v>442</v>
      </c>
      <c r="B1898" s="107" t="s">
        <v>12</v>
      </c>
      <c r="C1898" s="106">
        <v>125819</v>
      </c>
      <c r="D1898" s="106">
        <v>-431</v>
      </c>
      <c r="E1898" s="106">
        <v>0</v>
      </c>
      <c r="F1898" s="106">
        <v>0</v>
      </c>
      <c r="G1898" s="106">
        <v>0</v>
      </c>
      <c r="H1898" s="106">
        <v>125388</v>
      </c>
      <c r="I1898" s="106">
        <v>-125388</v>
      </c>
      <c r="J1898" s="106">
        <v>0</v>
      </c>
      <c r="K1898" s="106">
        <v>0</v>
      </c>
      <c r="L1898" s="106">
        <v>0</v>
      </c>
      <c r="M1898" s="106">
        <v>0</v>
      </c>
      <c r="N1898" s="106">
        <v>0</v>
      </c>
    </row>
    <row r="1899" spans="1:14" x14ac:dyDescent="0.35">
      <c r="A1899" s="108" t="s">
        <v>441</v>
      </c>
      <c r="B1899" s="107" t="s">
        <v>12</v>
      </c>
      <c r="C1899" s="106">
        <v>17588583</v>
      </c>
      <c r="D1899" s="106">
        <v>-967177</v>
      </c>
      <c r="E1899" s="106">
        <v>0</v>
      </c>
      <c r="F1899" s="106">
        <v>0</v>
      </c>
      <c r="G1899" s="106">
        <v>0</v>
      </c>
      <c r="H1899" s="106">
        <v>16621406</v>
      </c>
      <c r="I1899" s="106">
        <v>-16621406</v>
      </c>
      <c r="J1899" s="106">
        <v>0</v>
      </c>
      <c r="K1899" s="106">
        <v>771168</v>
      </c>
      <c r="L1899" s="106">
        <v>-766067</v>
      </c>
      <c r="M1899" s="106">
        <v>5101</v>
      </c>
      <c r="N1899" s="106">
        <v>-5101</v>
      </c>
    </row>
    <row r="1900" spans="1:14" x14ac:dyDescent="0.35">
      <c r="A1900" s="108" t="s">
        <v>440</v>
      </c>
      <c r="B1900" s="107" t="s">
        <v>12</v>
      </c>
      <c r="C1900" s="106">
        <v>35751574</v>
      </c>
      <c r="D1900" s="106">
        <v>-795553</v>
      </c>
      <c r="E1900" s="106">
        <v>0</v>
      </c>
      <c r="F1900" s="106">
        <v>0</v>
      </c>
      <c r="G1900" s="106">
        <v>-456</v>
      </c>
      <c r="H1900" s="106">
        <v>34955565</v>
      </c>
      <c r="I1900" s="106">
        <v>-34398493</v>
      </c>
      <c r="J1900" s="106">
        <v>557072</v>
      </c>
      <c r="K1900" s="106">
        <v>3451433</v>
      </c>
      <c r="L1900" s="106">
        <v>-3445888</v>
      </c>
      <c r="M1900" s="106">
        <v>5545</v>
      </c>
      <c r="N1900" s="106">
        <v>551527</v>
      </c>
    </row>
    <row r="1901" spans="1:14" x14ac:dyDescent="0.35">
      <c r="A1901" s="108" t="s">
        <v>439</v>
      </c>
      <c r="B1901" s="107" t="s">
        <v>12</v>
      </c>
      <c r="C1901" s="106">
        <v>4066647</v>
      </c>
      <c r="D1901" s="106">
        <v>-60527</v>
      </c>
      <c r="E1901" s="106">
        <v>0</v>
      </c>
      <c r="F1901" s="106">
        <v>0</v>
      </c>
      <c r="G1901" s="106">
        <v>0</v>
      </c>
      <c r="H1901" s="106">
        <v>4006120</v>
      </c>
      <c r="I1901" s="106">
        <v>-3339154</v>
      </c>
      <c r="J1901" s="106">
        <v>666966</v>
      </c>
      <c r="K1901" s="106">
        <v>21005</v>
      </c>
      <c r="L1901" s="106">
        <v>-4892</v>
      </c>
      <c r="M1901" s="106">
        <v>16113</v>
      </c>
      <c r="N1901" s="106">
        <v>650853</v>
      </c>
    </row>
    <row r="1902" spans="1:14" x14ac:dyDescent="0.35">
      <c r="A1902" s="108" t="s">
        <v>438</v>
      </c>
      <c r="B1902" s="107" t="s">
        <v>12</v>
      </c>
      <c r="C1902" s="106">
        <v>414679</v>
      </c>
      <c r="D1902" s="106">
        <v>-1710</v>
      </c>
      <c r="E1902" s="106">
        <v>0</v>
      </c>
      <c r="F1902" s="106">
        <v>0</v>
      </c>
      <c r="G1902" s="106">
        <v>0</v>
      </c>
      <c r="H1902" s="106">
        <v>412969</v>
      </c>
      <c r="I1902" s="106">
        <v>-365456</v>
      </c>
      <c r="J1902" s="106">
        <v>47513</v>
      </c>
      <c r="K1902" s="106">
        <v>0</v>
      </c>
      <c r="L1902" s="106">
        <v>0</v>
      </c>
      <c r="M1902" s="106">
        <v>0</v>
      </c>
      <c r="N1902" s="106">
        <v>47513</v>
      </c>
    </row>
    <row r="1903" spans="1:14" x14ac:dyDescent="0.35">
      <c r="A1903" s="108" t="s">
        <v>437</v>
      </c>
      <c r="B1903" s="107" t="s">
        <v>12</v>
      </c>
      <c r="C1903" s="106">
        <v>48210</v>
      </c>
      <c r="D1903" s="106">
        <v>-1000</v>
      </c>
      <c r="E1903" s="106">
        <v>0</v>
      </c>
      <c r="F1903" s="106">
        <v>0</v>
      </c>
      <c r="G1903" s="106">
        <v>0</v>
      </c>
      <c r="H1903" s="106">
        <v>47210</v>
      </c>
      <c r="I1903" s="106">
        <v>-47210</v>
      </c>
      <c r="J1903" s="106">
        <v>0</v>
      </c>
      <c r="K1903" s="106">
        <v>1262</v>
      </c>
      <c r="L1903" s="106">
        <v>0</v>
      </c>
      <c r="M1903" s="106">
        <v>1262</v>
      </c>
      <c r="N1903" s="106">
        <v>-1262</v>
      </c>
    </row>
    <row r="1904" spans="1:14" x14ac:dyDescent="0.35">
      <c r="A1904" s="108" t="s">
        <v>436</v>
      </c>
      <c r="B1904" s="107" t="s">
        <v>12</v>
      </c>
      <c r="C1904" s="106">
        <v>30951861</v>
      </c>
      <c r="D1904" s="106">
        <v>-8515432</v>
      </c>
      <c r="E1904" s="106">
        <v>0</v>
      </c>
      <c r="F1904" s="106">
        <v>0</v>
      </c>
      <c r="G1904" s="106">
        <v>0</v>
      </c>
      <c r="H1904" s="106">
        <v>22436429</v>
      </c>
      <c r="I1904" s="106">
        <v>-22436429</v>
      </c>
      <c r="J1904" s="106">
        <v>0</v>
      </c>
      <c r="K1904" s="106">
        <v>2282611</v>
      </c>
      <c r="L1904" s="106">
        <v>-2230871</v>
      </c>
      <c r="M1904" s="106">
        <v>51740</v>
      </c>
      <c r="N1904" s="106">
        <v>-51740</v>
      </c>
    </row>
    <row r="1905" spans="1:14" x14ac:dyDescent="0.35">
      <c r="A1905" s="108" t="s">
        <v>435</v>
      </c>
      <c r="B1905" s="107" t="s">
        <v>12</v>
      </c>
      <c r="C1905" s="106">
        <v>185178440</v>
      </c>
      <c r="D1905" s="106">
        <v>-18970781</v>
      </c>
      <c r="E1905" s="106">
        <v>0</v>
      </c>
      <c r="F1905" s="106">
        <v>0</v>
      </c>
      <c r="G1905" s="106">
        <v>0</v>
      </c>
      <c r="H1905" s="106">
        <v>166207659</v>
      </c>
      <c r="I1905" s="106">
        <v>-166207659</v>
      </c>
      <c r="J1905" s="106">
        <v>0</v>
      </c>
      <c r="K1905" s="106">
        <v>14535490</v>
      </c>
      <c r="L1905" s="106">
        <v>-14534025</v>
      </c>
      <c r="M1905" s="106">
        <v>1465</v>
      </c>
      <c r="N1905" s="106">
        <v>-1465</v>
      </c>
    </row>
    <row r="1906" spans="1:14" x14ac:dyDescent="0.35">
      <c r="A1906" s="108" t="s">
        <v>434</v>
      </c>
      <c r="B1906" s="107" t="s">
        <v>12</v>
      </c>
      <c r="C1906" s="106">
        <v>2367954</v>
      </c>
      <c r="D1906" s="106">
        <v>-20927</v>
      </c>
      <c r="E1906" s="106">
        <v>0</v>
      </c>
      <c r="F1906" s="106">
        <v>0</v>
      </c>
      <c r="G1906" s="106">
        <v>0</v>
      </c>
      <c r="H1906" s="106">
        <v>2347027</v>
      </c>
      <c r="I1906" s="106">
        <v>-2347027</v>
      </c>
      <c r="J1906" s="106">
        <v>0</v>
      </c>
      <c r="K1906" s="106">
        <v>0</v>
      </c>
      <c r="L1906" s="106">
        <v>0</v>
      </c>
      <c r="M1906" s="106">
        <v>0</v>
      </c>
      <c r="N1906" s="106">
        <v>0</v>
      </c>
    </row>
    <row r="1907" spans="1:14" x14ac:dyDescent="0.35">
      <c r="A1907" s="108" t="s">
        <v>433</v>
      </c>
      <c r="B1907" s="107" t="s">
        <v>12</v>
      </c>
      <c r="C1907" s="106">
        <v>403720</v>
      </c>
      <c r="D1907" s="106">
        <v>-89702</v>
      </c>
      <c r="E1907" s="106">
        <v>0</v>
      </c>
      <c r="F1907" s="106">
        <v>0</v>
      </c>
      <c r="G1907" s="106">
        <v>0</v>
      </c>
      <c r="H1907" s="106">
        <v>314018</v>
      </c>
      <c r="I1907" s="106">
        <v>-295644</v>
      </c>
      <c r="J1907" s="106">
        <v>18374</v>
      </c>
      <c r="K1907" s="106">
        <v>71335</v>
      </c>
      <c r="L1907" s="106">
        <v>-71335</v>
      </c>
      <c r="M1907" s="106">
        <v>0</v>
      </c>
      <c r="N1907" s="106">
        <v>18374</v>
      </c>
    </row>
    <row r="1908" spans="1:14" x14ac:dyDescent="0.35">
      <c r="A1908" s="108" t="s">
        <v>432</v>
      </c>
      <c r="B1908" s="107" t="s">
        <v>12</v>
      </c>
      <c r="C1908" s="106">
        <v>6938998</v>
      </c>
      <c r="D1908" s="106">
        <v>-449603</v>
      </c>
      <c r="E1908" s="106">
        <v>0</v>
      </c>
      <c r="F1908" s="106">
        <v>0</v>
      </c>
      <c r="G1908" s="106">
        <v>0</v>
      </c>
      <c r="H1908" s="106">
        <v>6489395</v>
      </c>
      <c r="I1908" s="106">
        <v>-6489395</v>
      </c>
      <c r="J1908" s="106">
        <v>0</v>
      </c>
      <c r="K1908" s="106">
        <v>329839</v>
      </c>
      <c r="L1908" s="106">
        <v>-329839</v>
      </c>
      <c r="M1908" s="106">
        <v>0</v>
      </c>
      <c r="N1908" s="106">
        <v>0</v>
      </c>
    </row>
    <row r="1909" spans="1:14" x14ac:dyDescent="0.35">
      <c r="A1909" s="108" t="s">
        <v>431</v>
      </c>
      <c r="B1909" s="107" t="s">
        <v>12</v>
      </c>
      <c r="C1909" s="106">
        <v>11536235</v>
      </c>
      <c r="D1909" s="106">
        <v>-171597</v>
      </c>
      <c r="E1909" s="106">
        <v>0</v>
      </c>
      <c r="F1909" s="106">
        <v>0</v>
      </c>
      <c r="G1909" s="106">
        <v>0</v>
      </c>
      <c r="H1909" s="106">
        <v>11364638</v>
      </c>
      <c r="I1909" s="106">
        <v>-10893246</v>
      </c>
      <c r="J1909" s="106">
        <v>471392</v>
      </c>
      <c r="K1909" s="106">
        <v>47259</v>
      </c>
      <c r="L1909" s="106">
        <v>-32391</v>
      </c>
      <c r="M1909" s="106">
        <v>14868</v>
      </c>
      <c r="N1909" s="106">
        <v>456524</v>
      </c>
    </row>
    <row r="1910" spans="1:14" x14ac:dyDescent="0.35">
      <c r="A1910" s="108" t="s">
        <v>430</v>
      </c>
      <c r="B1910" s="107" t="s">
        <v>12</v>
      </c>
      <c r="C1910" s="106">
        <v>1200387687</v>
      </c>
      <c r="D1910" s="106">
        <v>-1414891</v>
      </c>
      <c r="E1910" s="106">
        <v>0</v>
      </c>
      <c r="F1910" s="106">
        <v>0</v>
      </c>
      <c r="G1910" s="106">
        <v>0</v>
      </c>
      <c r="H1910" s="106">
        <v>1198972796</v>
      </c>
      <c r="I1910" s="106">
        <v>-1182985729</v>
      </c>
      <c r="J1910" s="106">
        <v>15987067</v>
      </c>
      <c r="K1910" s="106">
        <v>0</v>
      </c>
      <c r="L1910" s="106">
        <v>0</v>
      </c>
      <c r="M1910" s="106">
        <v>0</v>
      </c>
      <c r="N1910" s="106">
        <v>15987067</v>
      </c>
    </row>
    <row r="1911" spans="1:14" x14ac:dyDescent="0.35">
      <c r="A1911" s="108" t="s">
        <v>429</v>
      </c>
      <c r="B1911" s="107" t="s">
        <v>12</v>
      </c>
      <c r="C1911" s="106">
        <v>74348976</v>
      </c>
      <c r="D1911" s="106">
        <v>-156444</v>
      </c>
      <c r="E1911" s="106">
        <v>0</v>
      </c>
      <c r="F1911" s="106">
        <v>0</v>
      </c>
      <c r="G1911" s="106">
        <v>0</v>
      </c>
      <c r="H1911" s="106">
        <v>74192532</v>
      </c>
      <c r="I1911" s="106">
        <v>-69857272</v>
      </c>
      <c r="J1911" s="106">
        <v>4335260</v>
      </c>
      <c r="K1911" s="106">
        <v>0</v>
      </c>
      <c r="L1911" s="106">
        <v>0</v>
      </c>
      <c r="M1911" s="106">
        <v>0</v>
      </c>
      <c r="N1911" s="106">
        <v>4335260</v>
      </c>
    </row>
    <row r="1912" spans="1:14" x14ac:dyDescent="0.35">
      <c r="A1912" s="108" t="s">
        <v>428</v>
      </c>
      <c r="B1912" s="107" t="s">
        <v>12</v>
      </c>
      <c r="C1912" s="106">
        <v>2038991495</v>
      </c>
      <c r="D1912" s="106">
        <v>-25076385</v>
      </c>
      <c r="E1912" s="106">
        <v>0</v>
      </c>
      <c r="F1912" s="106">
        <v>0</v>
      </c>
      <c r="G1912" s="106">
        <v>0</v>
      </c>
      <c r="H1912" s="106">
        <v>2013915110</v>
      </c>
      <c r="I1912" s="106">
        <v>-1388390938</v>
      </c>
      <c r="J1912" s="106">
        <v>625524172</v>
      </c>
      <c r="K1912" s="106">
        <v>0</v>
      </c>
      <c r="L1912" s="106">
        <v>0</v>
      </c>
      <c r="M1912" s="106">
        <v>0</v>
      </c>
      <c r="N1912" s="106">
        <v>625524172</v>
      </c>
    </row>
    <row r="1913" spans="1:14" x14ac:dyDescent="0.35">
      <c r="A1913" s="108" t="s">
        <v>427</v>
      </c>
      <c r="B1913" s="107" t="s">
        <v>12</v>
      </c>
      <c r="C1913" s="106">
        <v>746724148</v>
      </c>
      <c r="D1913" s="106">
        <v>-437854311</v>
      </c>
      <c r="E1913" s="106">
        <v>0</v>
      </c>
      <c r="F1913" s="106">
        <v>0</v>
      </c>
      <c r="G1913" s="106">
        <v>0</v>
      </c>
      <c r="H1913" s="106">
        <v>308869837</v>
      </c>
      <c r="I1913" s="106">
        <v>-290467527</v>
      </c>
      <c r="J1913" s="106">
        <v>18402310</v>
      </c>
      <c r="K1913" s="106">
        <v>33381975</v>
      </c>
      <c r="L1913" s="106">
        <v>-28903095</v>
      </c>
      <c r="M1913" s="106">
        <v>4478880</v>
      </c>
      <c r="N1913" s="106">
        <v>13923430</v>
      </c>
    </row>
    <row r="1914" spans="1:14" x14ac:dyDescent="0.35">
      <c r="A1914" s="108" t="s">
        <v>426</v>
      </c>
      <c r="B1914" s="107" t="s">
        <v>12</v>
      </c>
      <c r="C1914" s="106">
        <v>163151</v>
      </c>
      <c r="D1914" s="106">
        <v>-7456</v>
      </c>
      <c r="E1914" s="106">
        <v>0</v>
      </c>
      <c r="F1914" s="106">
        <v>0</v>
      </c>
      <c r="G1914" s="106">
        <v>0</v>
      </c>
      <c r="H1914" s="106">
        <v>155695</v>
      </c>
      <c r="I1914" s="106">
        <v>-155695</v>
      </c>
      <c r="J1914" s="106">
        <v>0</v>
      </c>
      <c r="K1914" s="106">
        <v>0</v>
      </c>
      <c r="L1914" s="106">
        <v>0</v>
      </c>
      <c r="M1914" s="106">
        <v>0</v>
      </c>
      <c r="N1914" s="106">
        <v>0</v>
      </c>
    </row>
    <row r="1915" spans="1:14" x14ac:dyDescent="0.35">
      <c r="A1915" s="108" t="s">
        <v>425</v>
      </c>
      <c r="B1915" s="107" t="s">
        <v>12</v>
      </c>
      <c r="C1915" s="106">
        <v>133633020</v>
      </c>
      <c r="D1915" s="106">
        <v>-8251931</v>
      </c>
      <c r="E1915" s="106">
        <v>0</v>
      </c>
      <c r="F1915" s="106">
        <v>0</v>
      </c>
      <c r="G1915" s="106">
        <v>0</v>
      </c>
      <c r="H1915" s="106">
        <v>125381089</v>
      </c>
      <c r="I1915" s="106">
        <v>-114311230</v>
      </c>
      <c r="J1915" s="106">
        <v>11069859</v>
      </c>
      <c r="K1915" s="106">
        <v>9085873</v>
      </c>
      <c r="L1915" s="106">
        <v>-8881424</v>
      </c>
      <c r="M1915" s="106">
        <v>204449</v>
      </c>
      <c r="N1915" s="106">
        <v>10865410</v>
      </c>
    </row>
    <row r="1916" spans="1:14" x14ac:dyDescent="0.35">
      <c r="A1916" s="108" t="s">
        <v>424</v>
      </c>
      <c r="B1916" s="107" t="s">
        <v>12</v>
      </c>
      <c r="C1916" s="106">
        <v>65912803</v>
      </c>
      <c r="D1916" s="106">
        <v>-1984032</v>
      </c>
      <c r="E1916" s="106">
        <v>0</v>
      </c>
      <c r="F1916" s="106">
        <v>0</v>
      </c>
      <c r="G1916" s="106">
        <v>0</v>
      </c>
      <c r="H1916" s="106">
        <v>63928771</v>
      </c>
      <c r="I1916" s="106">
        <v>-49918064</v>
      </c>
      <c r="J1916" s="106">
        <v>14010707</v>
      </c>
      <c r="K1916" s="106">
        <v>1000</v>
      </c>
      <c r="L1916" s="106">
        <v>-1000</v>
      </c>
      <c r="M1916" s="106">
        <v>0</v>
      </c>
      <c r="N1916" s="106">
        <v>14010707</v>
      </c>
    </row>
    <row r="1917" spans="1:14" x14ac:dyDescent="0.35">
      <c r="A1917" s="108" t="s">
        <v>423</v>
      </c>
      <c r="B1917" s="107" t="s">
        <v>12</v>
      </c>
      <c r="C1917" s="106">
        <v>71086438</v>
      </c>
      <c r="D1917" s="106">
        <v>-905661</v>
      </c>
      <c r="E1917" s="106">
        <v>0</v>
      </c>
      <c r="F1917" s="106">
        <v>0</v>
      </c>
      <c r="G1917" s="106">
        <v>0</v>
      </c>
      <c r="H1917" s="106">
        <v>70180777</v>
      </c>
      <c r="I1917" s="106">
        <v>-69086597</v>
      </c>
      <c r="J1917" s="106">
        <v>1094180</v>
      </c>
      <c r="K1917" s="106">
        <v>39705</v>
      </c>
      <c r="L1917" s="106">
        <v>-20998</v>
      </c>
      <c r="M1917" s="106">
        <v>18707</v>
      </c>
      <c r="N1917" s="106">
        <v>1075473</v>
      </c>
    </row>
    <row r="1918" spans="1:14" x14ac:dyDescent="0.35">
      <c r="A1918" s="108" t="s">
        <v>422</v>
      </c>
      <c r="B1918" s="107" t="s">
        <v>12</v>
      </c>
      <c r="C1918" s="106">
        <v>1064410</v>
      </c>
      <c r="D1918" s="106">
        <v>-533364</v>
      </c>
      <c r="E1918" s="106">
        <v>0</v>
      </c>
      <c r="F1918" s="106">
        <v>0</v>
      </c>
      <c r="G1918" s="106">
        <v>0</v>
      </c>
      <c r="H1918" s="106">
        <v>531046</v>
      </c>
      <c r="I1918" s="106">
        <v>-247366</v>
      </c>
      <c r="J1918" s="106">
        <v>283680</v>
      </c>
      <c r="K1918" s="106">
        <v>0</v>
      </c>
      <c r="L1918" s="106">
        <v>0</v>
      </c>
      <c r="M1918" s="106">
        <v>0</v>
      </c>
      <c r="N1918" s="106">
        <v>283680</v>
      </c>
    </row>
    <row r="1919" spans="1:14" x14ac:dyDescent="0.35">
      <c r="A1919" s="108" t="s">
        <v>421</v>
      </c>
      <c r="B1919" s="107" t="s">
        <v>12</v>
      </c>
      <c r="C1919" s="106">
        <v>12982492</v>
      </c>
      <c r="D1919" s="106">
        <v>-92188</v>
      </c>
      <c r="E1919" s="106">
        <v>-1045</v>
      </c>
      <c r="F1919" s="106">
        <v>0</v>
      </c>
      <c r="G1919" s="106">
        <v>0</v>
      </c>
      <c r="H1919" s="106">
        <v>12889259</v>
      </c>
      <c r="I1919" s="106">
        <v>-10121002</v>
      </c>
      <c r="J1919" s="106">
        <v>2768257</v>
      </c>
      <c r="K1919" s="106">
        <v>0</v>
      </c>
      <c r="L1919" s="106">
        <v>0</v>
      </c>
      <c r="M1919" s="106">
        <v>0</v>
      </c>
      <c r="N1919" s="106">
        <v>2768257</v>
      </c>
    </row>
    <row r="1920" spans="1:14" x14ac:dyDescent="0.35">
      <c r="A1920" s="108" t="s">
        <v>420</v>
      </c>
      <c r="B1920" s="107" t="s">
        <v>12</v>
      </c>
      <c r="C1920" s="106">
        <v>85494233.079999998</v>
      </c>
      <c r="D1920" s="106">
        <v>-12767478.189999999</v>
      </c>
      <c r="E1920" s="106">
        <v>0</v>
      </c>
      <c r="F1920" s="106">
        <v>0</v>
      </c>
      <c r="G1920" s="106">
        <v>0</v>
      </c>
      <c r="H1920" s="106">
        <v>72726754.890000001</v>
      </c>
      <c r="I1920" s="106">
        <v>-71102512.890000001</v>
      </c>
      <c r="J1920" s="106">
        <v>1624242</v>
      </c>
      <c r="K1920" s="106">
        <v>481580</v>
      </c>
      <c r="L1920" s="106">
        <v>-464161</v>
      </c>
      <c r="M1920" s="106">
        <v>17419</v>
      </c>
      <c r="N1920" s="106">
        <v>1606823</v>
      </c>
    </row>
    <row r="1921" spans="1:14" x14ac:dyDescent="0.35">
      <c r="A1921" s="108" t="s">
        <v>419</v>
      </c>
      <c r="B1921" s="107" t="s">
        <v>12</v>
      </c>
      <c r="C1921" s="106">
        <v>21555796</v>
      </c>
      <c r="D1921" s="106">
        <v>-1863397</v>
      </c>
      <c r="E1921" s="106">
        <v>0</v>
      </c>
      <c r="F1921" s="106">
        <v>0</v>
      </c>
      <c r="G1921" s="106">
        <v>0</v>
      </c>
      <c r="H1921" s="106">
        <v>19692399</v>
      </c>
      <c r="I1921" s="106">
        <v>-18923377</v>
      </c>
      <c r="J1921" s="106">
        <v>769022</v>
      </c>
      <c r="K1921" s="106">
        <v>2123420</v>
      </c>
      <c r="L1921" s="106">
        <v>-2122565</v>
      </c>
      <c r="M1921" s="106">
        <v>855</v>
      </c>
      <c r="N1921" s="106">
        <v>768167</v>
      </c>
    </row>
    <row r="1922" spans="1:14" x14ac:dyDescent="0.35">
      <c r="A1922" s="108" t="s">
        <v>418</v>
      </c>
      <c r="B1922" s="107" t="s">
        <v>12</v>
      </c>
      <c r="C1922" s="106">
        <v>13160712</v>
      </c>
      <c r="D1922" s="106">
        <v>-509133</v>
      </c>
      <c r="E1922" s="106">
        <v>0</v>
      </c>
      <c r="F1922" s="106">
        <v>0</v>
      </c>
      <c r="G1922" s="106">
        <v>0</v>
      </c>
      <c r="H1922" s="106">
        <v>12651579</v>
      </c>
      <c r="I1922" s="106">
        <v>-12651579</v>
      </c>
      <c r="J1922" s="106">
        <v>0</v>
      </c>
      <c r="K1922" s="106">
        <v>1708709</v>
      </c>
      <c r="L1922" s="106">
        <v>-1707974</v>
      </c>
      <c r="M1922" s="106">
        <v>735</v>
      </c>
      <c r="N1922" s="106">
        <v>-735</v>
      </c>
    </row>
    <row r="1923" spans="1:14" x14ac:dyDescent="0.35">
      <c r="A1923" s="108" t="s">
        <v>417</v>
      </c>
      <c r="B1923" s="107" t="s">
        <v>12</v>
      </c>
      <c r="C1923" s="106">
        <v>108553586</v>
      </c>
      <c r="D1923" s="106">
        <v>-4812694</v>
      </c>
      <c r="E1923" s="106">
        <v>0</v>
      </c>
      <c r="F1923" s="106">
        <v>0</v>
      </c>
      <c r="G1923" s="106">
        <v>0</v>
      </c>
      <c r="H1923" s="106">
        <v>103740892</v>
      </c>
      <c r="I1923" s="106">
        <v>-100896108</v>
      </c>
      <c r="J1923" s="106">
        <v>2844784</v>
      </c>
      <c r="K1923" s="106">
        <v>7596068</v>
      </c>
      <c r="L1923" s="106">
        <v>-7561469</v>
      </c>
      <c r="M1923" s="106">
        <v>34599</v>
      </c>
      <c r="N1923" s="106">
        <v>2810185</v>
      </c>
    </row>
    <row r="1924" spans="1:14" x14ac:dyDescent="0.35">
      <c r="A1924" s="108" t="s">
        <v>416</v>
      </c>
      <c r="B1924" s="107" t="s">
        <v>12</v>
      </c>
      <c r="C1924" s="106">
        <v>2420514</v>
      </c>
      <c r="D1924" s="106">
        <v>-289866</v>
      </c>
      <c r="E1924" s="106">
        <v>0</v>
      </c>
      <c r="F1924" s="106">
        <v>0</v>
      </c>
      <c r="G1924" s="106">
        <v>0</v>
      </c>
      <c r="H1924" s="106">
        <v>2130648</v>
      </c>
      <c r="I1924" s="106">
        <v>-2130648</v>
      </c>
      <c r="J1924" s="106">
        <v>0</v>
      </c>
      <c r="K1924" s="106">
        <v>197708</v>
      </c>
      <c r="L1924" s="106">
        <v>-196429</v>
      </c>
      <c r="M1924" s="106">
        <v>1279</v>
      </c>
      <c r="N1924" s="106">
        <v>-1279</v>
      </c>
    </row>
    <row r="1925" spans="1:14" x14ac:dyDescent="0.35">
      <c r="A1925" s="108" t="s">
        <v>415</v>
      </c>
      <c r="B1925" s="107" t="s">
        <v>12</v>
      </c>
      <c r="C1925" s="106">
        <v>15059105</v>
      </c>
      <c r="D1925" s="106">
        <v>-80201</v>
      </c>
      <c r="E1925" s="106">
        <v>0</v>
      </c>
      <c r="F1925" s="106">
        <v>0</v>
      </c>
      <c r="G1925" s="106">
        <v>0</v>
      </c>
      <c r="H1925" s="106">
        <v>14978904</v>
      </c>
      <c r="I1925" s="106">
        <v>-11236128</v>
      </c>
      <c r="J1925" s="106">
        <v>3742776</v>
      </c>
      <c r="K1925" s="106">
        <v>291847</v>
      </c>
      <c r="L1925" s="106">
        <v>-290352</v>
      </c>
      <c r="M1925" s="106">
        <v>1495</v>
      </c>
      <c r="N1925" s="106">
        <v>3741281</v>
      </c>
    </row>
    <row r="1926" spans="1:14" x14ac:dyDescent="0.35">
      <c r="A1926" s="108" t="s">
        <v>414</v>
      </c>
      <c r="B1926" s="107" t="s">
        <v>12</v>
      </c>
      <c r="C1926" s="106">
        <v>344311</v>
      </c>
      <c r="D1926" s="106">
        <v>-30543</v>
      </c>
      <c r="E1926" s="106">
        <v>0</v>
      </c>
      <c r="F1926" s="106">
        <v>0</v>
      </c>
      <c r="G1926" s="106">
        <v>0</v>
      </c>
      <c r="H1926" s="106">
        <v>313768</v>
      </c>
      <c r="I1926" s="106">
        <v>-313768</v>
      </c>
      <c r="J1926" s="106">
        <v>0</v>
      </c>
      <c r="K1926" s="106">
        <v>35462</v>
      </c>
      <c r="L1926" s="106">
        <v>-35462</v>
      </c>
      <c r="M1926" s="106">
        <v>0</v>
      </c>
      <c r="N1926" s="106">
        <v>0</v>
      </c>
    </row>
    <row r="1927" spans="1:14" x14ac:dyDescent="0.35">
      <c r="A1927" s="108" t="s">
        <v>413</v>
      </c>
      <c r="B1927" s="107" t="s">
        <v>12</v>
      </c>
      <c r="C1927" s="106">
        <v>19610898</v>
      </c>
      <c r="D1927" s="106">
        <v>-2022515</v>
      </c>
      <c r="E1927" s="106">
        <v>0</v>
      </c>
      <c r="F1927" s="106">
        <v>0</v>
      </c>
      <c r="G1927" s="106">
        <v>0</v>
      </c>
      <c r="H1927" s="106">
        <v>17588383</v>
      </c>
      <c r="I1927" s="106">
        <v>-17238599</v>
      </c>
      <c r="J1927" s="106">
        <v>349784</v>
      </c>
      <c r="K1927" s="106">
        <v>3380692</v>
      </c>
      <c r="L1927" s="106">
        <v>-3377205</v>
      </c>
      <c r="M1927" s="106">
        <v>3487</v>
      </c>
      <c r="N1927" s="106">
        <v>346297</v>
      </c>
    </row>
    <row r="1928" spans="1:14" x14ac:dyDescent="0.35">
      <c r="A1928" s="108" t="s">
        <v>412</v>
      </c>
      <c r="B1928" s="107" t="s">
        <v>12</v>
      </c>
      <c r="C1928" s="106">
        <v>31329</v>
      </c>
      <c r="D1928" s="106">
        <v>-729</v>
      </c>
      <c r="E1928" s="106">
        <v>0</v>
      </c>
      <c r="F1928" s="106">
        <v>0</v>
      </c>
      <c r="G1928" s="106">
        <v>0</v>
      </c>
      <c r="H1928" s="106">
        <v>30600</v>
      </c>
      <c r="I1928" s="106">
        <v>-30600</v>
      </c>
      <c r="J1928" s="106">
        <v>0</v>
      </c>
      <c r="K1928" s="106">
        <v>0</v>
      </c>
      <c r="L1928" s="106">
        <v>0</v>
      </c>
      <c r="M1928" s="106">
        <v>0</v>
      </c>
      <c r="N1928" s="106">
        <v>0</v>
      </c>
    </row>
    <row r="1929" spans="1:14" x14ac:dyDescent="0.35">
      <c r="A1929" s="108" t="s">
        <v>411</v>
      </c>
      <c r="B1929" s="107" t="s">
        <v>12</v>
      </c>
      <c r="C1929" s="106">
        <v>245793353</v>
      </c>
      <c r="D1929" s="106">
        <v>-4421331</v>
      </c>
      <c r="E1929" s="106">
        <v>0</v>
      </c>
      <c r="F1929" s="106">
        <v>0</v>
      </c>
      <c r="G1929" s="106">
        <v>0</v>
      </c>
      <c r="H1929" s="106">
        <v>241372022</v>
      </c>
      <c r="I1929" s="106">
        <v>-229029939</v>
      </c>
      <c r="J1929" s="106">
        <v>12342083</v>
      </c>
      <c r="K1929" s="106">
        <v>4048866</v>
      </c>
      <c r="L1929" s="106">
        <v>-3859033</v>
      </c>
      <c r="M1929" s="106">
        <v>189833</v>
      </c>
      <c r="N1929" s="106">
        <v>12152250</v>
      </c>
    </row>
    <row r="1930" spans="1:14" x14ac:dyDescent="0.35">
      <c r="A1930" s="108" t="s">
        <v>410</v>
      </c>
      <c r="B1930" s="107" t="s">
        <v>12</v>
      </c>
      <c r="C1930" s="106">
        <v>20310413</v>
      </c>
      <c r="D1930" s="106">
        <v>-54320</v>
      </c>
      <c r="E1930" s="106">
        <v>0</v>
      </c>
      <c r="F1930" s="106">
        <v>0</v>
      </c>
      <c r="G1930" s="106">
        <v>0</v>
      </c>
      <c r="H1930" s="106">
        <v>20256093</v>
      </c>
      <c r="I1930" s="106">
        <v>-14307373</v>
      </c>
      <c r="J1930" s="106">
        <v>5948720</v>
      </c>
      <c r="K1930" s="106">
        <v>0</v>
      </c>
      <c r="L1930" s="106">
        <v>0</v>
      </c>
      <c r="M1930" s="106">
        <v>0</v>
      </c>
      <c r="N1930" s="106">
        <v>5948720</v>
      </c>
    </row>
    <row r="1931" spans="1:14" x14ac:dyDescent="0.35">
      <c r="A1931" s="108" t="s">
        <v>409</v>
      </c>
      <c r="B1931" s="107" t="s">
        <v>12</v>
      </c>
      <c r="C1931" s="106">
        <v>37245</v>
      </c>
      <c r="D1931" s="106">
        <v>-286</v>
      </c>
      <c r="E1931" s="106">
        <v>0</v>
      </c>
      <c r="F1931" s="106">
        <v>0</v>
      </c>
      <c r="G1931" s="106">
        <v>0</v>
      </c>
      <c r="H1931" s="106">
        <v>36959</v>
      </c>
      <c r="I1931" s="106">
        <v>-35888</v>
      </c>
      <c r="J1931" s="106">
        <v>1071</v>
      </c>
      <c r="K1931" s="106">
        <v>0</v>
      </c>
      <c r="L1931" s="106">
        <v>0</v>
      </c>
      <c r="M1931" s="106">
        <v>0</v>
      </c>
      <c r="N1931" s="106">
        <v>1071</v>
      </c>
    </row>
    <row r="1932" spans="1:14" x14ac:dyDescent="0.35">
      <c r="A1932" s="108" t="s">
        <v>408</v>
      </c>
      <c r="B1932" s="107" t="s">
        <v>12</v>
      </c>
      <c r="C1932" s="106">
        <v>12314005</v>
      </c>
      <c r="D1932" s="106">
        <v>-698611</v>
      </c>
      <c r="E1932" s="106">
        <v>0</v>
      </c>
      <c r="F1932" s="106">
        <v>0</v>
      </c>
      <c r="G1932" s="106">
        <v>0</v>
      </c>
      <c r="H1932" s="106">
        <v>11615394</v>
      </c>
      <c r="I1932" s="106">
        <v>-11226746</v>
      </c>
      <c r="J1932" s="106">
        <v>388648</v>
      </c>
      <c r="K1932" s="106">
        <v>0</v>
      </c>
      <c r="L1932" s="106">
        <v>0</v>
      </c>
      <c r="M1932" s="106">
        <v>0</v>
      </c>
      <c r="N1932" s="106">
        <v>388648</v>
      </c>
    </row>
    <row r="1933" spans="1:14" x14ac:dyDescent="0.35">
      <c r="A1933" s="108" t="s">
        <v>407</v>
      </c>
      <c r="B1933" s="107" t="s">
        <v>12</v>
      </c>
      <c r="C1933" s="106">
        <v>251672175</v>
      </c>
      <c r="D1933" s="106">
        <v>-19609226</v>
      </c>
      <c r="E1933" s="106">
        <v>0</v>
      </c>
      <c r="F1933" s="106">
        <v>0</v>
      </c>
      <c r="G1933" s="106">
        <v>0</v>
      </c>
      <c r="H1933" s="106">
        <v>232062949</v>
      </c>
      <c r="I1933" s="106">
        <v>-214704601</v>
      </c>
      <c r="J1933" s="106">
        <v>17358348</v>
      </c>
      <c r="K1933" s="106">
        <v>19638791</v>
      </c>
      <c r="L1933" s="106">
        <v>-18187163</v>
      </c>
      <c r="M1933" s="106">
        <v>1451628</v>
      </c>
      <c r="N1933" s="106">
        <v>15906720</v>
      </c>
    </row>
    <row r="1934" spans="1:14" x14ac:dyDescent="0.35">
      <c r="A1934" s="108" t="s">
        <v>406</v>
      </c>
      <c r="B1934" s="107" t="s">
        <v>12</v>
      </c>
      <c r="C1934" s="106">
        <v>78056407</v>
      </c>
      <c r="D1934" s="106">
        <v>-11645359</v>
      </c>
      <c r="E1934" s="106">
        <v>0</v>
      </c>
      <c r="F1934" s="106">
        <v>0</v>
      </c>
      <c r="G1934" s="106">
        <v>0</v>
      </c>
      <c r="H1934" s="106">
        <v>66411048</v>
      </c>
      <c r="I1934" s="106">
        <v>-64923809</v>
      </c>
      <c r="J1934" s="106">
        <v>1487239</v>
      </c>
      <c r="K1934" s="106">
        <v>6006567</v>
      </c>
      <c r="L1934" s="106">
        <v>-5979842</v>
      </c>
      <c r="M1934" s="106">
        <v>26725</v>
      </c>
      <c r="N1934" s="106">
        <v>1460514</v>
      </c>
    </row>
    <row r="1935" spans="1:14" x14ac:dyDescent="0.35">
      <c r="A1935" s="108" t="s">
        <v>405</v>
      </c>
      <c r="B1935" s="107" t="s">
        <v>12</v>
      </c>
      <c r="C1935" s="106">
        <v>27053875</v>
      </c>
      <c r="D1935" s="106">
        <v>-5347745</v>
      </c>
      <c r="E1935" s="106">
        <v>0</v>
      </c>
      <c r="F1935" s="106">
        <v>0</v>
      </c>
      <c r="G1935" s="106">
        <v>0</v>
      </c>
      <c r="H1935" s="106">
        <v>21706130</v>
      </c>
      <c r="I1935" s="106">
        <v>-21706130</v>
      </c>
      <c r="J1935" s="106">
        <v>0</v>
      </c>
      <c r="K1935" s="106">
        <v>1091058</v>
      </c>
      <c r="L1935" s="106">
        <v>-1079780</v>
      </c>
      <c r="M1935" s="106">
        <v>11278</v>
      </c>
      <c r="N1935" s="106">
        <v>-11278</v>
      </c>
    </row>
    <row r="1936" spans="1:14" x14ac:dyDescent="0.35">
      <c r="A1936" s="108" t="s">
        <v>404</v>
      </c>
      <c r="B1936" s="107" t="s">
        <v>12</v>
      </c>
      <c r="C1936" s="106">
        <v>33171167</v>
      </c>
      <c r="D1936" s="106">
        <v>-4403591</v>
      </c>
      <c r="E1936" s="106">
        <v>0</v>
      </c>
      <c r="F1936" s="106">
        <v>0</v>
      </c>
      <c r="G1936" s="106">
        <v>0</v>
      </c>
      <c r="H1936" s="106">
        <v>28767576</v>
      </c>
      <c r="I1936" s="106">
        <v>-28757160</v>
      </c>
      <c r="J1936" s="106">
        <v>10416</v>
      </c>
      <c r="K1936" s="106">
        <v>231160</v>
      </c>
      <c r="L1936" s="106">
        <v>-225329</v>
      </c>
      <c r="M1936" s="106">
        <v>5831</v>
      </c>
      <c r="N1936" s="106">
        <v>4585</v>
      </c>
    </row>
    <row r="1937" spans="1:14" x14ac:dyDescent="0.35">
      <c r="A1937" s="108" t="s">
        <v>403</v>
      </c>
      <c r="B1937" s="107" t="s">
        <v>12</v>
      </c>
      <c r="C1937" s="106">
        <v>56184502</v>
      </c>
      <c r="D1937" s="106">
        <v>-2859437</v>
      </c>
      <c r="E1937" s="106">
        <v>0</v>
      </c>
      <c r="F1937" s="106">
        <v>0</v>
      </c>
      <c r="G1937" s="106">
        <v>0</v>
      </c>
      <c r="H1937" s="106">
        <v>53325065</v>
      </c>
      <c r="I1937" s="106">
        <v>-47625669</v>
      </c>
      <c r="J1937" s="106">
        <v>5699396</v>
      </c>
      <c r="K1937" s="106">
        <v>441775</v>
      </c>
      <c r="L1937" s="106">
        <v>-437972</v>
      </c>
      <c r="M1937" s="106">
        <v>3803</v>
      </c>
      <c r="N1937" s="106">
        <v>5695593</v>
      </c>
    </row>
    <row r="1938" spans="1:14" x14ac:dyDescent="0.35">
      <c r="A1938" s="108" t="s">
        <v>402</v>
      </c>
      <c r="B1938" s="107" t="s">
        <v>12</v>
      </c>
      <c r="C1938" s="106">
        <v>8636084</v>
      </c>
      <c r="D1938" s="106">
        <v>-563584</v>
      </c>
      <c r="E1938" s="106">
        <v>0</v>
      </c>
      <c r="F1938" s="106">
        <v>0</v>
      </c>
      <c r="G1938" s="106">
        <v>0</v>
      </c>
      <c r="H1938" s="106">
        <v>8072500</v>
      </c>
      <c r="I1938" s="106">
        <v>-8072500</v>
      </c>
      <c r="J1938" s="106">
        <v>0</v>
      </c>
      <c r="K1938" s="106">
        <v>1310091</v>
      </c>
      <c r="L1938" s="106">
        <v>-1310091</v>
      </c>
      <c r="M1938" s="106">
        <v>0</v>
      </c>
      <c r="N1938" s="106">
        <v>0</v>
      </c>
    </row>
    <row r="1939" spans="1:14" x14ac:dyDescent="0.35">
      <c r="A1939" s="108" t="s">
        <v>401</v>
      </c>
      <c r="B1939" s="107" t="s">
        <v>12</v>
      </c>
      <c r="C1939" s="106">
        <v>1082186</v>
      </c>
      <c r="D1939" s="106">
        <v>-289889</v>
      </c>
      <c r="E1939" s="106">
        <v>0</v>
      </c>
      <c r="F1939" s="106">
        <v>0</v>
      </c>
      <c r="G1939" s="106">
        <v>0</v>
      </c>
      <c r="H1939" s="106">
        <v>792297</v>
      </c>
      <c r="I1939" s="106">
        <v>-481910</v>
      </c>
      <c r="J1939" s="106">
        <v>310387</v>
      </c>
      <c r="K1939" s="106">
        <v>1000</v>
      </c>
      <c r="L1939" s="106">
        <v>-1000</v>
      </c>
      <c r="M1939" s="106">
        <v>0</v>
      </c>
      <c r="N1939" s="106">
        <v>310387</v>
      </c>
    </row>
    <row r="1940" spans="1:14" x14ac:dyDescent="0.35">
      <c r="A1940" s="108" t="s">
        <v>400</v>
      </c>
      <c r="B1940" s="107" t="s">
        <v>12</v>
      </c>
      <c r="C1940" s="106">
        <v>110631</v>
      </c>
      <c r="D1940" s="106">
        <v>-33513</v>
      </c>
      <c r="E1940" s="106">
        <v>0</v>
      </c>
      <c r="F1940" s="106">
        <v>0</v>
      </c>
      <c r="G1940" s="106">
        <v>0</v>
      </c>
      <c r="H1940" s="106">
        <v>77118</v>
      </c>
      <c r="I1940" s="106">
        <v>-77118</v>
      </c>
      <c r="J1940" s="106">
        <v>0</v>
      </c>
      <c r="K1940" s="106">
        <v>0</v>
      </c>
      <c r="L1940" s="106">
        <v>0</v>
      </c>
      <c r="M1940" s="106">
        <v>0</v>
      </c>
      <c r="N1940" s="106">
        <v>0</v>
      </c>
    </row>
    <row r="1941" spans="1:14" x14ac:dyDescent="0.35">
      <c r="A1941" s="108" t="s">
        <v>399</v>
      </c>
      <c r="B1941" s="107" t="s">
        <v>12</v>
      </c>
      <c r="C1941" s="106">
        <v>121335</v>
      </c>
      <c r="D1941" s="106">
        <v>0</v>
      </c>
      <c r="E1941" s="106">
        <v>0</v>
      </c>
      <c r="F1941" s="106">
        <v>0</v>
      </c>
      <c r="G1941" s="106">
        <v>0</v>
      </c>
      <c r="H1941" s="106">
        <v>121335</v>
      </c>
      <c r="I1941" s="106">
        <v>-121335</v>
      </c>
      <c r="J1941" s="106">
        <v>0</v>
      </c>
      <c r="K1941" s="106">
        <v>0</v>
      </c>
      <c r="L1941" s="106">
        <v>0</v>
      </c>
      <c r="M1941" s="106">
        <v>0</v>
      </c>
      <c r="N1941" s="106">
        <v>0</v>
      </c>
    </row>
    <row r="1942" spans="1:14" x14ac:dyDescent="0.35">
      <c r="A1942" s="108" t="s">
        <v>398</v>
      </c>
      <c r="B1942" s="107" t="s">
        <v>12</v>
      </c>
      <c r="C1942" s="106">
        <v>166266</v>
      </c>
      <c r="D1942" s="106">
        <v>-2703</v>
      </c>
      <c r="E1942" s="106">
        <v>0</v>
      </c>
      <c r="F1942" s="106">
        <v>0</v>
      </c>
      <c r="G1942" s="106">
        <v>0</v>
      </c>
      <c r="H1942" s="106">
        <v>163563</v>
      </c>
      <c r="I1942" s="106">
        <v>-159298</v>
      </c>
      <c r="J1942" s="106">
        <v>4265</v>
      </c>
      <c r="K1942" s="106">
        <v>0</v>
      </c>
      <c r="L1942" s="106">
        <v>0</v>
      </c>
      <c r="M1942" s="106">
        <v>0</v>
      </c>
      <c r="N1942" s="106">
        <v>4265</v>
      </c>
    </row>
    <row r="1943" spans="1:14" x14ac:dyDescent="0.35">
      <c r="A1943" s="108" t="s">
        <v>397</v>
      </c>
      <c r="B1943" s="107" t="s">
        <v>12</v>
      </c>
      <c r="C1943" s="106">
        <v>30281104</v>
      </c>
      <c r="D1943" s="106">
        <v>-374758</v>
      </c>
      <c r="E1943" s="106">
        <v>0</v>
      </c>
      <c r="F1943" s="106">
        <v>0</v>
      </c>
      <c r="G1943" s="106">
        <v>0</v>
      </c>
      <c r="H1943" s="106">
        <v>29906346</v>
      </c>
      <c r="I1943" s="106">
        <v>-29129771</v>
      </c>
      <c r="J1943" s="106">
        <v>776575</v>
      </c>
      <c r="K1943" s="106">
        <v>1477144</v>
      </c>
      <c r="L1943" s="106">
        <v>-1454247</v>
      </c>
      <c r="M1943" s="106">
        <v>22897</v>
      </c>
      <c r="N1943" s="106">
        <v>753678</v>
      </c>
    </row>
    <row r="1944" spans="1:14" x14ac:dyDescent="0.35">
      <c r="A1944" s="108" t="s">
        <v>396</v>
      </c>
      <c r="B1944" s="107" t="s">
        <v>12</v>
      </c>
      <c r="C1944" s="106">
        <v>851828</v>
      </c>
      <c r="D1944" s="106">
        <v>-115</v>
      </c>
      <c r="E1944" s="106">
        <v>0</v>
      </c>
      <c r="F1944" s="106">
        <v>0</v>
      </c>
      <c r="G1944" s="106">
        <v>0</v>
      </c>
      <c r="H1944" s="106">
        <v>851713</v>
      </c>
      <c r="I1944" s="106">
        <v>-512742</v>
      </c>
      <c r="J1944" s="106">
        <v>338971</v>
      </c>
      <c r="K1944" s="106">
        <v>0</v>
      </c>
      <c r="L1944" s="106">
        <v>0</v>
      </c>
      <c r="M1944" s="106">
        <v>0</v>
      </c>
      <c r="N1944" s="106">
        <v>338971</v>
      </c>
    </row>
    <row r="1945" spans="1:14" x14ac:dyDescent="0.35">
      <c r="A1945" s="108" t="s">
        <v>395</v>
      </c>
      <c r="B1945" s="107" t="s">
        <v>12</v>
      </c>
      <c r="C1945" s="106">
        <v>368039</v>
      </c>
      <c r="D1945" s="106">
        <v>0</v>
      </c>
      <c r="E1945" s="106">
        <v>0</v>
      </c>
      <c r="F1945" s="106">
        <v>0</v>
      </c>
      <c r="G1945" s="106">
        <v>0</v>
      </c>
      <c r="H1945" s="106">
        <v>368039</v>
      </c>
      <c r="I1945" s="106">
        <v>-357085</v>
      </c>
      <c r="J1945" s="106">
        <v>10954</v>
      </c>
      <c r="K1945" s="106">
        <v>0</v>
      </c>
      <c r="L1945" s="106">
        <v>0</v>
      </c>
      <c r="M1945" s="106">
        <v>0</v>
      </c>
      <c r="N1945" s="106">
        <v>10954</v>
      </c>
    </row>
    <row r="1946" spans="1:14" x14ac:dyDescent="0.35">
      <c r="A1946" s="108" t="s">
        <v>394</v>
      </c>
      <c r="B1946" s="107" t="s">
        <v>12</v>
      </c>
      <c r="C1946" s="106">
        <v>18282120</v>
      </c>
      <c r="D1946" s="106">
        <v>-542545</v>
      </c>
      <c r="E1946" s="106">
        <v>0</v>
      </c>
      <c r="F1946" s="106">
        <v>0</v>
      </c>
      <c r="G1946" s="106">
        <v>0</v>
      </c>
      <c r="H1946" s="106">
        <v>17739575</v>
      </c>
      <c r="I1946" s="106">
        <v>-17739575</v>
      </c>
      <c r="J1946" s="106">
        <v>0</v>
      </c>
      <c r="K1946" s="106">
        <v>2173857</v>
      </c>
      <c r="L1946" s="106">
        <v>-2146528</v>
      </c>
      <c r="M1946" s="106">
        <v>27329</v>
      </c>
      <c r="N1946" s="106">
        <v>-27329</v>
      </c>
    </row>
    <row r="1947" spans="1:14" x14ac:dyDescent="0.35">
      <c r="A1947" s="108" t="s">
        <v>393</v>
      </c>
      <c r="B1947" s="107" t="s">
        <v>12</v>
      </c>
      <c r="C1947" s="106">
        <v>2190203</v>
      </c>
      <c r="D1947" s="106">
        <v>4373</v>
      </c>
      <c r="E1947" s="106">
        <v>0</v>
      </c>
      <c r="F1947" s="106">
        <v>0</v>
      </c>
      <c r="G1947" s="106">
        <v>0</v>
      </c>
      <c r="H1947" s="106">
        <v>2194576</v>
      </c>
      <c r="I1947" s="106">
        <v>-2194576</v>
      </c>
      <c r="J1947" s="106">
        <v>0</v>
      </c>
      <c r="K1947" s="106">
        <v>120824</v>
      </c>
      <c r="L1947" s="106">
        <v>-120824</v>
      </c>
      <c r="M1947" s="106">
        <v>0</v>
      </c>
      <c r="N1947" s="106">
        <v>0</v>
      </c>
    </row>
    <row r="1948" spans="1:14" x14ac:dyDescent="0.35">
      <c r="A1948" s="108" t="s">
        <v>392</v>
      </c>
      <c r="B1948" s="107" t="s">
        <v>12</v>
      </c>
      <c r="C1948" s="106">
        <v>14729226</v>
      </c>
      <c r="D1948" s="106">
        <v>-2228605</v>
      </c>
      <c r="E1948" s="106">
        <v>0</v>
      </c>
      <c r="F1948" s="106">
        <v>0</v>
      </c>
      <c r="G1948" s="106">
        <v>0</v>
      </c>
      <c r="H1948" s="106">
        <v>12500621</v>
      </c>
      <c r="I1948" s="106">
        <v>-12500621</v>
      </c>
      <c r="J1948" s="106">
        <v>0</v>
      </c>
      <c r="K1948" s="106">
        <v>4319099</v>
      </c>
      <c r="L1948" s="106">
        <v>-4315840</v>
      </c>
      <c r="M1948" s="106">
        <v>3259</v>
      </c>
      <c r="N1948" s="106">
        <v>-3259</v>
      </c>
    </row>
    <row r="1949" spans="1:14" x14ac:dyDescent="0.35">
      <c r="A1949" s="108" t="s">
        <v>391</v>
      </c>
      <c r="B1949" s="107" t="s">
        <v>12</v>
      </c>
      <c r="C1949" s="106">
        <v>30317802</v>
      </c>
      <c r="D1949" s="106">
        <v>-213198</v>
      </c>
      <c r="E1949" s="106">
        <v>0</v>
      </c>
      <c r="F1949" s="106">
        <v>0</v>
      </c>
      <c r="G1949" s="106">
        <v>0</v>
      </c>
      <c r="H1949" s="106">
        <v>30104604</v>
      </c>
      <c r="I1949" s="106">
        <v>-29585118</v>
      </c>
      <c r="J1949" s="106">
        <v>519486</v>
      </c>
      <c r="K1949" s="106">
        <v>0</v>
      </c>
      <c r="L1949" s="106">
        <v>0</v>
      </c>
      <c r="M1949" s="106">
        <v>0</v>
      </c>
      <c r="N1949" s="106">
        <v>519486</v>
      </c>
    </row>
    <row r="1950" spans="1:14" x14ac:dyDescent="0.35">
      <c r="A1950" s="108" t="s">
        <v>390</v>
      </c>
      <c r="B1950" s="107" t="s">
        <v>12</v>
      </c>
      <c r="C1950" s="106">
        <v>256620</v>
      </c>
      <c r="D1950" s="106">
        <v>0</v>
      </c>
      <c r="E1950" s="106">
        <v>0</v>
      </c>
      <c r="F1950" s="106">
        <v>0</v>
      </c>
      <c r="G1950" s="106">
        <v>0</v>
      </c>
      <c r="H1950" s="106">
        <v>256620</v>
      </c>
      <c r="I1950" s="106">
        <v>-256620</v>
      </c>
      <c r="J1950" s="106">
        <v>0</v>
      </c>
      <c r="K1950" s="106">
        <v>0</v>
      </c>
      <c r="L1950" s="106">
        <v>0</v>
      </c>
      <c r="M1950" s="106">
        <v>0</v>
      </c>
      <c r="N1950" s="106">
        <v>0</v>
      </c>
    </row>
    <row r="1951" spans="1:14" x14ac:dyDescent="0.35">
      <c r="A1951" s="108" t="s">
        <v>389</v>
      </c>
      <c r="B1951" s="107" t="s">
        <v>12</v>
      </c>
      <c r="C1951" s="106">
        <v>349636</v>
      </c>
      <c r="D1951" s="106">
        <v>-134</v>
      </c>
      <c r="E1951" s="106">
        <v>0</v>
      </c>
      <c r="F1951" s="106">
        <v>0</v>
      </c>
      <c r="G1951" s="106">
        <v>0</v>
      </c>
      <c r="H1951" s="106">
        <v>349502</v>
      </c>
      <c r="I1951" s="106">
        <v>-349502</v>
      </c>
      <c r="J1951" s="106">
        <v>0</v>
      </c>
      <c r="K1951" s="106">
        <v>0</v>
      </c>
      <c r="L1951" s="106">
        <v>0</v>
      </c>
      <c r="M1951" s="106">
        <v>0</v>
      </c>
      <c r="N1951" s="106">
        <v>0</v>
      </c>
    </row>
    <row r="1952" spans="1:14" x14ac:dyDescent="0.35">
      <c r="A1952" s="108" t="s">
        <v>388</v>
      </c>
      <c r="B1952" s="107" t="s">
        <v>12</v>
      </c>
      <c r="C1952" s="106">
        <v>743922</v>
      </c>
      <c r="D1952" s="106">
        <v>-237</v>
      </c>
      <c r="E1952" s="106">
        <v>0</v>
      </c>
      <c r="F1952" s="106">
        <v>0</v>
      </c>
      <c r="G1952" s="106">
        <v>0</v>
      </c>
      <c r="H1952" s="106">
        <v>743685</v>
      </c>
      <c r="I1952" s="106">
        <v>-743685</v>
      </c>
      <c r="J1952" s="106">
        <v>0</v>
      </c>
      <c r="K1952" s="106">
        <v>0</v>
      </c>
      <c r="L1952" s="106">
        <v>0</v>
      </c>
      <c r="M1952" s="106">
        <v>0</v>
      </c>
      <c r="N1952" s="106">
        <v>0</v>
      </c>
    </row>
    <row r="1953" spans="1:14" x14ac:dyDescent="0.35">
      <c r="A1953" s="108" t="s">
        <v>387</v>
      </c>
      <c r="B1953" s="107" t="s">
        <v>12</v>
      </c>
      <c r="C1953" s="106">
        <v>762895</v>
      </c>
      <c r="D1953" s="106">
        <v>-1147</v>
      </c>
      <c r="E1953" s="106">
        <v>0</v>
      </c>
      <c r="F1953" s="106">
        <v>0</v>
      </c>
      <c r="G1953" s="106">
        <v>0</v>
      </c>
      <c r="H1953" s="106">
        <v>761748</v>
      </c>
      <c r="I1953" s="106">
        <v>-760474</v>
      </c>
      <c r="J1953" s="106">
        <v>1274</v>
      </c>
      <c r="K1953" s="106">
        <v>0</v>
      </c>
      <c r="L1953" s="106">
        <v>0</v>
      </c>
      <c r="M1953" s="106">
        <v>0</v>
      </c>
      <c r="N1953" s="106">
        <v>1274</v>
      </c>
    </row>
    <row r="1954" spans="1:14" x14ac:dyDescent="0.35">
      <c r="A1954" s="108" t="s">
        <v>386</v>
      </c>
      <c r="B1954" s="107" t="s">
        <v>12</v>
      </c>
      <c r="C1954" s="106">
        <v>11598433</v>
      </c>
      <c r="D1954" s="106">
        <v>-119835</v>
      </c>
      <c r="E1954" s="106">
        <v>0</v>
      </c>
      <c r="F1954" s="106">
        <v>0</v>
      </c>
      <c r="G1954" s="106">
        <v>0</v>
      </c>
      <c r="H1954" s="106">
        <v>11478598</v>
      </c>
      <c r="I1954" s="106">
        <v>-9701227</v>
      </c>
      <c r="J1954" s="106">
        <v>1777371</v>
      </c>
      <c r="K1954" s="106">
        <v>0</v>
      </c>
      <c r="L1954" s="106">
        <v>0</v>
      </c>
      <c r="M1954" s="106">
        <v>0</v>
      </c>
      <c r="N1954" s="106">
        <v>1777371</v>
      </c>
    </row>
    <row r="1955" spans="1:14" x14ac:dyDescent="0.35">
      <c r="A1955" s="108" t="s">
        <v>385</v>
      </c>
      <c r="B1955" s="107" t="s">
        <v>12</v>
      </c>
      <c r="C1955" s="106">
        <v>45123014</v>
      </c>
      <c r="D1955" s="106">
        <v>-2122425</v>
      </c>
      <c r="E1955" s="106">
        <v>0</v>
      </c>
      <c r="F1955" s="106">
        <v>0</v>
      </c>
      <c r="G1955" s="106">
        <v>0</v>
      </c>
      <c r="H1955" s="106">
        <v>43000589</v>
      </c>
      <c r="I1955" s="106">
        <v>-43000589</v>
      </c>
      <c r="J1955" s="106">
        <v>0</v>
      </c>
      <c r="K1955" s="106">
        <v>8239002</v>
      </c>
      <c r="L1955" s="106">
        <v>-4713521</v>
      </c>
      <c r="M1955" s="106">
        <v>3525481</v>
      </c>
      <c r="N1955" s="106">
        <v>-3525481</v>
      </c>
    </row>
    <row r="1956" spans="1:14" x14ac:dyDescent="0.35">
      <c r="A1956" s="108" t="s">
        <v>384</v>
      </c>
      <c r="B1956" s="107" t="s">
        <v>12</v>
      </c>
      <c r="C1956" s="106">
        <v>7177883</v>
      </c>
      <c r="D1956" s="106">
        <v>-42845</v>
      </c>
      <c r="E1956" s="106">
        <v>0</v>
      </c>
      <c r="F1956" s="106">
        <v>0</v>
      </c>
      <c r="G1956" s="106">
        <v>0</v>
      </c>
      <c r="H1956" s="106">
        <v>7135038</v>
      </c>
      <c r="I1956" s="106">
        <v>-6852184</v>
      </c>
      <c r="J1956" s="106">
        <v>282854</v>
      </c>
      <c r="K1956" s="106">
        <v>84663</v>
      </c>
      <c r="L1956" s="106">
        <v>-39385</v>
      </c>
      <c r="M1956" s="106">
        <v>45278</v>
      </c>
      <c r="N1956" s="106">
        <v>237576</v>
      </c>
    </row>
    <row r="1957" spans="1:14" x14ac:dyDescent="0.35">
      <c r="A1957" s="108" t="s">
        <v>383</v>
      </c>
      <c r="B1957" s="107" t="s">
        <v>12</v>
      </c>
      <c r="C1957" s="106">
        <v>80830331</v>
      </c>
      <c r="D1957" s="106">
        <v>-46359512</v>
      </c>
      <c r="E1957" s="106">
        <v>0</v>
      </c>
      <c r="F1957" s="106">
        <v>0</v>
      </c>
      <c r="G1957" s="106">
        <v>0</v>
      </c>
      <c r="H1957" s="106">
        <v>34470819</v>
      </c>
      <c r="I1957" s="106">
        <v>-33767013</v>
      </c>
      <c r="J1957" s="106">
        <v>703806</v>
      </c>
      <c r="K1957" s="106">
        <v>45662510</v>
      </c>
      <c r="L1957" s="106">
        <v>-8552916</v>
      </c>
      <c r="M1957" s="106">
        <v>37109594</v>
      </c>
      <c r="N1957" s="106">
        <v>-36405788</v>
      </c>
    </row>
    <row r="1958" spans="1:14" x14ac:dyDescent="0.35">
      <c r="A1958" s="108" t="s">
        <v>382</v>
      </c>
      <c r="B1958" s="107" t="s">
        <v>12</v>
      </c>
      <c r="C1958" s="106">
        <v>2858888</v>
      </c>
      <c r="D1958" s="106">
        <v>-76322</v>
      </c>
      <c r="E1958" s="106">
        <v>0</v>
      </c>
      <c r="F1958" s="106">
        <v>0</v>
      </c>
      <c r="G1958" s="106">
        <v>0</v>
      </c>
      <c r="H1958" s="106">
        <v>2782566</v>
      </c>
      <c r="I1958" s="106">
        <v>-2468778</v>
      </c>
      <c r="J1958" s="106">
        <v>313788</v>
      </c>
      <c r="K1958" s="106">
        <v>568858</v>
      </c>
      <c r="L1958" s="106">
        <v>-568858</v>
      </c>
      <c r="M1958" s="106">
        <v>0</v>
      </c>
      <c r="N1958" s="106">
        <v>313788</v>
      </c>
    </row>
    <row r="1959" spans="1:14" x14ac:dyDescent="0.35">
      <c r="A1959" s="108" t="s">
        <v>381</v>
      </c>
      <c r="B1959" s="107" t="s">
        <v>12</v>
      </c>
      <c r="C1959" s="106">
        <v>514145</v>
      </c>
      <c r="D1959" s="106">
        <v>-1365</v>
      </c>
      <c r="E1959" s="106">
        <v>0</v>
      </c>
      <c r="F1959" s="106">
        <v>0</v>
      </c>
      <c r="G1959" s="106">
        <v>0</v>
      </c>
      <c r="H1959" s="106">
        <v>512780</v>
      </c>
      <c r="I1959" s="106">
        <v>-281965</v>
      </c>
      <c r="J1959" s="106">
        <v>230815</v>
      </c>
      <c r="K1959" s="106">
        <v>0</v>
      </c>
      <c r="L1959" s="106">
        <v>0</v>
      </c>
      <c r="M1959" s="106">
        <v>0</v>
      </c>
      <c r="N1959" s="106">
        <v>230815</v>
      </c>
    </row>
    <row r="1960" spans="1:14" x14ac:dyDescent="0.35">
      <c r="A1960" s="108" t="s">
        <v>380</v>
      </c>
      <c r="B1960" s="107" t="s">
        <v>12</v>
      </c>
      <c r="C1960" s="106">
        <v>79043638</v>
      </c>
      <c r="D1960" s="106">
        <v>-1187594</v>
      </c>
      <c r="E1960" s="106">
        <v>0</v>
      </c>
      <c r="F1960" s="106">
        <v>0</v>
      </c>
      <c r="G1960" s="106">
        <v>0</v>
      </c>
      <c r="H1960" s="106">
        <v>77856044</v>
      </c>
      <c r="I1960" s="106">
        <v>-73443315</v>
      </c>
      <c r="J1960" s="106">
        <v>4412729</v>
      </c>
      <c r="K1960" s="106">
        <v>3552127</v>
      </c>
      <c r="L1960" s="106">
        <v>-3503635</v>
      </c>
      <c r="M1960" s="106">
        <v>48492</v>
      </c>
      <c r="N1960" s="106">
        <v>4364237</v>
      </c>
    </row>
    <row r="1961" spans="1:14" x14ac:dyDescent="0.35">
      <c r="A1961" s="108" t="s">
        <v>379</v>
      </c>
      <c r="B1961" s="107" t="s">
        <v>12</v>
      </c>
      <c r="C1961" s="106">
        <v>396813</v>
      </c>
      <c r="D1961" s="106">
        <v>-4999</v>
      </c>
      <c r="E1961" s="106">
        <v>0</v>
      </c>
      <c r="F1961" s="106">
        <v>0</v>
      </c>
      <c r="G1961" s="106">
        <v>0</v>
      </c>
      <c r="H1961" s="106">
        <v>391814</v>
      </c>
      <c r="I1961" s="106">
        <v>-385535</v>
      </c>
      <c r="J1961" s="106">
        <v>6279</v>
      </c>
      <c r="K1961" s="106">
        <v>0</v>
      </c>
      <c r="L1961" s="106">
        <v>0</v>
      </c>
      <c r="M1961" s="106">
        <v>0</v>
      </c>
      <c r="N1961" s="106">
        <v>6279</v>
      </c>
    </row>
    <row r="1962" spans="1:14" x14ac:dyDescent="0.35">
      <c r="A1962" s="108" t="s">
        <v>378</v>
      </c>
      <c r="B1962" s="107" t="s">
        <v>12</v>
      </c>
      <c r="C1962" s="106">
        <v>28780005.48</v>
      </c>
      <c r="D1962" s="106">
        <v>-7481567.4799999995</v>
      </c>
      <c r="E1962" s="106">
        <v>0</v>
      </c>
      <c r="F1962" s="106">
        <v>0</v>
      </c>
      <c r="G1962" s="106">
        <v>0</v>
      </c>
      <c r="H1962" s="106">
        <v>21298438</v>
      </c>
      <c r="I1962" s="106">
        <v>-20190303</v>
      </c>
      <c r="J1962" s="106">
        <v>1108135</v>
      </c>
      <c r="K1962" s="106">
        <v>6695548</v>
      </c>
      <c r="L1962" s="106">
        <v>-6695548</v>
      </c>
      <c r="M1962" s="106">
        <v>0</v>
      </c>
      <c r="N1962" s="106">
        <v>1108135</v>
      </c>
    </row>
    <row r="1963" spans="1:14" x14ac:dyDescent="0.35">
      <c r="A1963" s="108" t="s">
        <v>377</v>
      </c>
      <c r="B1963" s="107" t="s">
        <v>12</v>
      </c>
      <c r="C1963" s="106">
        <v>46189240</v>
      </c>
      <c r="D1963" s="106">
        <v>-520916</v>
      </c>
      <c r="E1963" s="106">
        <v>0</v>
      </c>
      <c r="F1963" s="106">
        <v>0</v>
      </c>
      <c r="G1963" s="106">
        <v>0</v>
      </c>
      <c r="H1963" s="106">
        <v>45668324</v>
      </c>
      <c r="I1963" s="106">
        <v>-43229237</v>
      </c>
      <c r="J1963" s="106">
        <v>2439087</v>
      </c>
      <c r="K1963" s="106">
        <v>1556657</v>
      </c>
      <c r="L1963" s="106">
        <v>-1463741</v>
      </c>
      <c r="M1963" s="106">
        <v>92916</v>
      </c>
      <c r="N1963" s="106">
        <v>2346171</v>
      </c>
    </row>
    <row r="1964" spans="1:14" x14ac:dyDescent="0.35">
      <c r="A1964" s="108" t="s">
        <v>376</v>
      </c>
      <c r="B1964" s="107" t="s">
        <v>12</v>
      </c>
      <c r="C1964" s="106">
        <v>6000437</v>
      </c>
      <c r="D1964" s="106">
        <v>-952910</v>
      </c>
      <c r="E1964" s="106">
        <v>0</v>
      </c>
      <c r="F1964" s="106">
        <v>0</v>
      </c>
      <c r="G1964" s="106">
        <v>0</v>
      </c>
      <c r="H1964" s="106">
        <v>5047527</v>
      </c>
      <c r="I1964" s="106">
        <v>-5047527</v>
      </c>
      <c r="J1964" s="106">
        <v>0</v>
      </c>
      <c r="K1964" s="106">
        <v>675966</v>
      </c>
      <c r="L1964" s="106">
        <v>-675724</v>
      </c>
      <c r="M1964" s="106">
        <v>242</v>
      </c>
      <c r="N1964" s="106">
        <v>-242</v>
      </c>
    </row>
    <row r="1965" spans="1:14" x14ac:dyDescent="0.35">
      <c r="A1965" s="108" t="s">
        <v>375</v>
      </c>
      <c r="B1965" s="107" t="s">
        <v>12</v>
      </c>
      <c r="C1965" s="106">
        <v>212437234</v>
      </c>
      <c r="D1965" s="106">
        <v>-204572067</v>
      </c>
      <c r="E1965" s="106">
        <v>0</v>
      </c>
      <c r="F1965" s="106">
        <v>0</v>
      </c>
      <c r="G1965" s="106">
        <v>0</v>
      </c>
      <c r="H1965" s="106">
        <v>7865167</v>
      </c>
      <c r="I1965" s="106">
        <v>-7861907</v>
      </c>
      <c r="J1965" s="106">
        <v>3260</v>
      </c>
      <c r="K1965" s="106">
        <v>47922</v>
      </c>
      <c r="L1965" s="106">
        <v>-47909</v>
      </c>
      <c r="M1965" s="106">
        <v>13</v>
      </c>
      <c r="N1965" s="106">
        <v>3247</v>
      </c>
    </row>
    <row r="1966" spans="1:14" x14ac:dyDescent="0.35">
      <c r="A1966" s="108" t="s">
        <v>374</v>
      </c>
      <c r="B1966" s="107" t="s">
        <v>12</v>
      </c>
      <c r="C1966" s="106">
        <v>49968376</v>
      </c>
      <c r="D1966" s="106">
        <v>-583783</v>
      </c>
      <c r="E1966" s="106">
        <v>0</v>
      </c>
      <c r="F1966" s="106">
        <v>0</v>
      </c>
      <c r="G1966" s="106">
        <v>0</v>
      </c>
      <c r="H1966" s="106">
        <v>49384593</v>
      </c>
      <c r="I1966" s="106">
        <v>-49384593</v>
      </c>
      <c r="J1966" s="106">
        <v>0</v>
      </c>
      <c r="K1966" s="106">
        <v>1124177</v>
      </c>
      <c r="L1966" s="106">
        <v>-1124177</v>
      </c>
      <c r="M1966" s="106">
        <v>0</v>
      </c>
      <c r="N1966" s="106">
        <v>0</v>
      </c>
    </row>
    <row r="1967" spans="1:14" x14ac:dyDescent="0.35">
      <c r="A1967" s="108" t="s">
        <v>373</v>
      </c>
      <c r="B1967" s="107" t="s">
        <v>12</v>
      </c>
      <c r="C1967" s="106">
        <v>16154353</v>
      </c>
      <c r="D1967" s="106">
        <v>-1882906</v>
      </c>
      <c r="E1967" s="106">
        <v>0</v>
      </c>
      <c r="F1967" s="106">
        <v>0</v>
      </c>
      <c r="G1967" s="106">
        <v>0</v>
      </c>
      <c r="H1967" s="106">
        <v>14271447</v>
      </c>
      <c r="I1967" s="106">
        <v>-14271447</v>
      </c>
      <c r="J1967" s="106">
        <v>0</v>
      </c>
      <c r="K1967" s="106">
        <v>2598165</v>
      </c>
      <c r="L1967" s="106">
        <v>-2598165</v>
      </c>
      <c r="M1967" s="106">
        <v>0</v>
      </c>
      <c r="N1967" s="106">
        <v>0</v>
      </c>
    </row>
    <row r="1968" spans="1:14" x14ac:dyDescent="0.35">
      <c r="A1968" s="108" t="s">
        <v>372</v>
      </c>
      <c r="B1968" s="107" t="s">
        <v>12</v>
      </c>
      <c r="C1968" s="106">
        <v>18030110</v>
      </c>
      <c r="D1968" s="106">
        <v>-246802</v>
      </c>
      <c r="E1968" s="106">
        <v>0</v>
      </c>
      <c r="F1968" s="106">
        <v>0</v>
      </c>
      <c r="G1968" s="106">
        <v>0</v>
      </c>
      <c r="H1968" s="106">
        <v>17783308</v>
      </c>
      <c r="I1968" s="106">
        <v>-17783308</v>
      </c>
      <c r="J1968" s="106">
        <v>0</v>
      </c>
      <c r="K1968" s="106">
        <v>32613</v>
      </c>
      <c r="L1968" s="106">
        <v>-11790</v>
      </c>
      <c r="M1968" s="106">
        <v>20823</v>
      </c>
      <c r="N1968" s="106">
        <v>-20823</v>
      </c>
    </row>
    <row r="1969" spans="1:14" x14ac:dyDescent="0.35">
      <c r="A1969" s="108" t="s">
        <v>371</v>
      </c>
      <c r="B1969" s="107" t="s">
        <v>12</v>
      </c>
      <c r="C1969" s="106">
        <v>23117527</v>
      </c>
      <c r="D1969" s="106">
        <v>-149500</v>
      </c>
      <c r="E1969" s="106">
        <v>0</v>
      </c>
      <c r="F1969" s="106">
        <v>0</v>
      </c>
      <c r="G1969" s="106">
        <v>0</v>
      </c>
      <c r="H1969" s="106">
        <v>22968027</v>
      </c>
      <c r="I1969" s="106">
        <v>-17479071</v>
      </c>
      <c r="J1969" s="106">
        <v>5488956</v>
      </c>
      <c r="K1969" s="106">
        <v>42826</v>
      </c>
      <c r="L1969" s="106">
        <v>-40423</v>
      </c>
      <c r="M1969" s="106">
        <v>2403</v>
      </c>
      <c r="N1969" s="106">
        <v>5486553</v>
      </c>
    </row>
    <row r="1970" spans="1:14" x14ac:dyDescent="0.35">
      <c r="A1970" s="108" t="s">
        <v>370</v>
      </c>
      <c r="B1970" s="107" t="s">
        <v>12</v>
      </c>
      <c r="C1970" s="106">
        <v>71056485</v>
      </c>
      <c r="D1970" s="106">
        <v>-32419133</v>
      </c>
      <c r="E1970" s="106">
        <v>0</v>
      </c>
      <c r="F1970" s="106">
        <v>0</v>
      </c>
      <c r="G1970" s="106">
        <v>0</v>
      </c>
      <c r="H1970" s="106">
        <v>38637352</v>
      </c>
      <c r="I1970" s="106">
        <v>-38637352</v>
      </c>
      <c r="J1970" s="106">
        <v>0</v>
      </c>
      <c r="K1970" s="106">
        <v>10276466</v>
      </c>
      <c r="L1970" s="106">
        <v>-10150044</v>
      </c>
      <c r="M1970" s="106">
        <v>126422</v>
      </c>
      <c r="N1970" s="106">
        <v>-126422</v>
      </c>
    </row>
    <row r="1971" spans="1:14" x14ac:dyDescent="0.35">
      <c r="A1971" s="108" t="s">
        <v>369</v>
      </c>
      <c r="B1971" s="107" t="s">
        <v>12</v>
      </c>
      <c r="C1971" s="106">
        <v>141570</v>
      </c>
      <c r="D1971" s="106">
        <v>0</v>
      </c>
      <c r="E1971" s="106">
        <v>0</v>
      </c>
      <c r="F1971" s="106">
        <v>0</v>
      </c>
      <c r="G1971" s="106">
        <v>0</v>
      </c>
      <c r="H1971" s="106">
        <v>141570</v>
      </c>
      <c r="I1971" s="106">
        <v>-28076</v>
      </c>
      <c r="J1971" s="106">
        <v>113494</v>
      </c>
      <c r="K1971" s="106">
        <v>0</v>
      </c>
      <c r="L1971" s="106">
        <v>0</v>
      </c>
      <c r="M1971" s="106">
        <v>0</v>
      </c>
      <c r="N1971" s="106">
        <v>113494</v>
      </c>
    </row>
    <row r="1972" spans="1:14" x14ac:dyDescent="0.35">
      <c r="A1972" s="108" t="s">
        <v>368</v>
      </c>
      <c r="B1972" s="107" t="s">
        <v>12</v>
      </c>
      <c r="C1972" s="106">
        <v>5857659</v>
      </c>
      <c r="D1972" s="106">
        <v>-1078359</v>
      </c>
      <c r="E1972" s="106">
        <v>0</v>
      </c>
      <c r="F1972" s="106">
        <v>0</v>
      </c>
      <c r="G1972" s="106">
        <v>0</v>
      </c>
      <c r="H1972" s="106">
        <v>4779300</v>
      </c>
      <c r="I1972" s="106">
        <v>-4779300</v>
      </c>
      <c r="J1972" s="106">
        <v>0</v>
      </c>
      <c r="K1972" s="106">
        <v>453628</v>
      </c>
      <c r="L1972" s="106">
        <v>-453359</v>
      </c>
      <c r="M1972" s="106">
        <v>269</v>
      </c>
      <c r="N1972" s="106">
        <v>-269</v>
      </c>
    </row>
    <row r="1973" spans="1:14" x14ac:dyDescent="0.35">
      <c r="A1973" s="108" t="s">
        <v>367</v>
      </c>
      <c r="B1973" s="107" t="s">
        <v>12</v>
      </c>
      <c r="C1973" s="106">
        <v>14432342</v>
      </c>
      <c r="D1973" s="106">
        <v>-178265</v>
      </c>
      <c r="E1973" s="106">
        <v>0</v>
      </c>
      <c r="F1973" s="106">
        <v>0</v>
      </c>
      <c r="G1973" s="106">
        <v>0</v>
      </c>
      <c r="H1973" s="106">
        <v>14254077</v>
      </c>
      <c r="I1973" s="106">
        <v>-14254077</v>
      </c>
      <c r="J1973" s="106">
        <v>0</v>
      </c>
      <c r="K1973" s="106">
        <v>450964</v>
      </c>
      <c r="L1973" s="106">
        <v>-450763</v>
      </c>
      <c r="M1973" s="106">
        <v>201</v>
      </c>
      <c r="N1973" s="106">
        <v>-201</v>
      </c>
    </row>
    <row r="1974" spans="1:14" x14ac:dyDescent="0.35">
      <c r="A1974" s="108" t="s">
        <v>366</v>
      </c>
      <c r="B1974" s="107" t="s">
        <v>12</v>
      </c>
      <c r="C1974" s="106">
        <v>47028154</v>
      </c>
      <c r="D1974" s="106">
        <v>-233285</v>
      </c>
      <c r="E1974" s="106">
        <v>0</v>
      </c>
      <c r="F1974" s="106">
        <v>0</v>
      </c>
      <c r="G1974" s="106">
        <v>0</v>
      </c>
      <c r="H1974" s="106">
        <v>46794869</v>
      </c>
      <c r="I1974" s="106">
        <v>-46291741</v>
      </c>
      <c r="J1974" s="106">
        <v>503128</v>
      </c>
      <c r="K1974" s="106">
        <v>1408461</v>
      </c>
      <c r="L1974" s="106">
        <v>-1404898</v>
      </c>
      <c r="M1974" s="106">
        <v>3563</v>
      </c>
      <c r="N1974" s="106">
        <v>499565</v>
      </c>
    </row>
    <row r="1975" spans="1:14" x14ac:dyDescent="0.35">
      <c r="A1975" s="108" t="s">
        <v>365</v>
      </c>
      <c r="B1975" s="107" t="s">
        <v>12</v>
      </c>
      <c r="C1975" s="106">
        <v>204632892</v>
      </c>
      <c r="D1975" s="106">
        <v>-77847180</v>
      </c>
      <c r="E1975" s="106">
        <v>0</v>
      </c>
      <c r="F1975" s="106">
        <v>0</v>
      </c>
      <c r="G1975" s="106">
        <v>0</v>
      </c>
      <c r="H1975" s="106">
        <v>126785712</v>
      </c>
      <c r="I1975" s="106">
        <v>-126068314</v>
      </c>
      <c r="J1975" s="106">
        <v>717398</v>
      </c>
      <c r="K1975" s="106">
        <v>6748858</v>
      </c>
      <c r="L1975" s="106">
        <v>-6748858</v>
      </c>
      <c r="M1975" s="106">
        <v>0</v>
      </c>
      <c r="N1975" s="106">
        <v>717398</v>
      </c>
    </row>
    <row r="1976" spans="1:14" x14ac:dyDescent="0.35">
      <c r="A1976" s="108" t="s">
        <v>364</v>
      </c>
      <c r="B1976" s="107" t="s">
        <v>12</v>
      </c>
      <c r="C1976" s="106">
        <v>601071</v>
      </c>
      <c r="D1976" s="106">
        <v>-1361</v>
      </c>
      <c r="E1976" s="106">
        <v>0</v>
      </c>
      <c r="F1976" s="106">
        <v>0</v>
      </c>
      <c r="G1976" s="106">
        <v>0</v>
      </c>
      <c r="H1976" s="106">
        <v>599710</v>
      </c>
      <c r="I1976" s="106">
        <v>-599710</v>
      </c>
      <c r="J1976" s="106">
        <v>0</v>
      </c>
      <c r="K1976" s="106">
        <v>0</v>
      </c>
      <c r="L1976" s="106">
        <v>0</v>
      </c>
      <c r="M1976" s="106">
        <v>0</v>
      </c>
      <c r="N1976" s="106">
        <v>0</v>
      </c>
    </row>
    <row r="1977" spans="1:14" x14ac:dyDescent="0.35">
      <c r="A1977" s="108" t="s">
        <v>363</v>
      </c>
      <c r="B1977" s="107" t="s">
        <v>12</v>
      </c>
      <c r="C1977" s="106">
        <v>1090452</v>
      </c>
      <c r="D1977" s="106">
        <v>-5824</v>
      </c>
      <c r="E1977" s="106">
        <v>0</v>
      </c>
      <c r="F1977" s="106">
        <v>0</v>
      </c>
      <c r="G1977" s="106">
        <v>0</v>
      </c>
      <c r="H1977" s="106">
        <v>1084628</v>
      </c>
      <c r="I1977" s="106">
        <v>-565735</v>
      </c>
      <c r="J1977" s="106">
        <v>518893</v>
      </c>
      <c r="K1977" s="106">
        <v>0</v>
      </c>
      <c r="L1977" s="106">
        <v>0</v>
      </c>
      <c r="M1977" s="106">
        <v>0</v>
      </c>
      <c r="N1977" s="106">
        <v>518893</v>
      </c>
    </row>
    <row r="1978" spans="1:14" x14ac:dyDescent="0.35">
      <c r="A1978" s="108" t="s">
        <v>362</v>
      </c>
      <c r="B1978" s="107" t="s">
        <v>12</v>
      </c>
      <c r="C1978" s="106">
        <v>92628</v>
      </c>
      <c r="D1978" s="106">
        <v>-7131</v>
      </c>
      <c r="E1978" s="106">
        <v>0</v>
      </c>
      <c r="F1978" s="106">
        <v>0</v>
      </c>
      <c r="G1978" s="106">
        <v>0</v>
      </c>
      <c r="H1978" s="106">
        <v>85497</v>
      </c>
      <c r="I1978" s="106">
        <v>-85497</v>
      </c>
      <c r="J1978" s="106">
        <v>0</v>
      </c>
      <c r="K1978" s="106">
        <v>0</v>
      </c>
      <c r="L1978" s="106">
        <v>0</v>
      </c>
      <c r="M1978" s="106">
        <v>0</v>
      </c>
      <c r="N1978" s="106">
        <v>0</v>
      </c>
    </row>
    <row r="1979" spans="1:14" x14ac:dyDescent="0.35">
      <c r="A1979" s="108" t="s">
        <v>361</v>
      </c>
      <c r="B1979" s="107" t="s">
        <v>12</v>
      </c>
      <c r="C1979" s="106">
        <v>52655</v>
      </c>
      <c r="D1979" s="106">
        <v>0</v>
      </c>
      <c r="E1979" s="106">
        <v>0</v>
      </c>
      <c r="F1979" s="106">
        <v>0</v>
      </c>
      <c r="G1979" s="106">
        <v>0</v>
      </c>
      <c r="H1979" s="106">
        <v>52655</v>
      </c>
      <c r="I1979" s="106">
        <v>-52655</v>
      </c>
      <c r="J1979" s="106">
        <v>0</v>
      </c>
      <c r="K1979" s="106">
        <v>0</v>
      </c>
      <c r="L1979" s="106">
        <v>0</v>
      </c>
      <c r="M1979" s="106">
        <v>0</v>
      </c>
      <c r="N1979" s="106">
        <v>0</v>
      </c>
    </row>
    <row r="1980" spans="1:14" x14ac:dyDescent="0.35">
      <c r="A1980" s="108" t="s">
        <v>360</v>
      </c>
      <c r="B1980" s="107" t="s">
        <v>12</v>
      </c>
      <c r="C1980" s="106">
        <v>270708472</v>
      </c>
      <c r="D1980" s="106">
        <v>-39177504</v>
      </c>
      <c r="E1980" s="106">
        <v>0</v>
      </c>
      <c r="F1980" s="106">
        <v>-1513425</v>
      </c>
      <c r="G1980" s="106">
        <v>0</v>
      </c>
      <c r="H1980" s="106">
        <v>230017543</v>
      </c>
      <c r="I1980" s="106">
        <v>-216101202</v>
      </c>
      <c r="J1980" s="106">
        <v>13916341</v>
      </c>
      <c r="K1980" s="106">
        <v>9383320</v>
      </c>
      <c r="L1980" s="106">
        <v>-7673961</v>
      </c>
      <c r="M1980" s="106">
        <v>1709359</v>
      </c>
      <c r="N1980" s="106">
        <v>12206982</v>
      </c>
    </row>
    <row r="1981" spans="1:14" x14ac:dyDescent="0.35">
      <c r="A1981" s="108" t="s">
        <v>359</v>
      </c>
      <c r="B1981" s="107" t="s">
        <v>12</v>
      </c>
      <c r="C1981" s="106">
        <v>20665345</v>
      </c>
      <c r="D1981" s="106">
        <v>-1732875</v>
      </c>
      <c r="E1981" s="106">
        <v>-123372</v>
      </c>
      <c r="F1981" s="106">
        <v>0</v>
      </c>
      <c r="G1981" s="106">
        <v>-10000</v>
      </c>
      <c r="H1981" s="106">
        <v>18799098</v>
      </c>
      <c r="I1981" s="106">
        <v>-12510453</v>
      </c>
      <c r="J1981" s="106">
        <v>6288645</v>
      </c>
      <c r="K1981" s="106">
        <v>0</v>
      </c>
      <c r="L1981" s="106">
        <v>0</v>
      </c>
      <c r="M1981" s="106">
        <v>0</v>
      </c>
      <c r="N1981" s="106">
        <v>6288645</v>
      </c>
    </row>
    <row r="1982" spans="1:14" x14ac:dyDescent="0.35">
      <c r="A1982" s="108" t="s">
        <v>358</v>
      </c>
      <c r="B1982" s="107" t="s">
        <v>12</v>
      </c>
      <c r="C1982" s="106">
        <v>385721</v>
      </c>
      <c r="D1982" s="106">
        <v>0</v>
      </c>
      <c r="E1982" s="106">
        <v>0</v>
      </c>
      <c r="F1982" s="106">
        <v>0</v>
      </c>
      <c r="G1982" s="106">
        <v>0</v>
      </c>
      <c r="H1982" s="106">
        <v>385721</v>
      </c>
      <c r="I1982" s="106">
        <v>-248722</v>
      </c>
      <c r="J1982" s="106">
        <v>136999</v>
      </c>
      <c r="K1982" s="106">
        <v>0</v>
      </c>
      <c r="L1982" s="106">
        <v>0</v>
      </c>
      <c r="M1982" s="106">
        <v>0</v>
      </c>
      <c r="N1982" s="106">
        <v>136999</v>
      </c>
    </row>
    <row r="1983" spans="1:14" x14ac:dyDescent="0.35">
      <c r="A1983" s="108" t="s">
        <v>357</v>
      </c>
      <c r="B1983" s="107" t="s">
        <v>12</v>
      </c>
      <c r="C1983" s="106">
        <v>1035503</v>
      </c>
      <c r="D1983" s="106">
        <v>-6280</v>
      </c>
      <c r="E1983" s="106">
        <v>0</v>
      </c>
      <c r="F1983" s="106">
        <v>0</v>
      </c>
      <c r="G1983" s="106">
        <v>0</v>
      </c>
      <c r="H1983" s="106">
        <v>1029223</v>
      </c>
      <c r="I1983" s="106">
        <v>-785540</v>
      </c>
      <c r="J1983" s="106">
        <v>243683</v>
      </c>
      <c r="K1983" s="106">
        <v>0</v>
      </c>
      <c r="L1983" s="106">
        <v>0</v>
      </c>
      <c r="M1983" s="106">
        <v>0</v>
      </c>
      <c r="N1983" s="106">
        <v>243683</v>
      </c>
    </row>
    <row r="1984" spans="1:14" ht="16" thickBot="1" x14ac:dyDescent="0.4">
      <c r="A1984" s="105" t="s">
        <v>356</v>
      </c>
      <c r="B1984" s="104" t="s">
        <v>12</v>
      </c>
      <c r="C1984" s="103">
        <f>SUBTOTAL(109,GrandTotalSchoolDistricts[(C)
Program
Costs])</f>
        <v>9229984823.5599995</v>
      </c>
      <c r="D1984" s="103">
        <f>SUBTOTAL(109,GrandTotalSchoolDistricts[(D)
Prior Period Adjustments])</f>
        <v>-1233678456.6700001</v>
      </c>
      <c r="E1984" s="103">
        <f>SUBTOTAL(109,GrandTotalSchoolDistricts[(E)
Current Period Desk 
Reviews])</f>
        <v>-125634</v>
      </c>
      <c r="F1984" s="103">
        <f>SUBTOTAL(109,GrandTotalSchoolDistricts[(F)
Current Period 
Final 
Audits])</f>
        <v>-25034855</v>
      </c>
      <c r="G1984" s="103">
        <f>SUBTOTAL(109,GrandTotalSchoolDistricts[(G)
Current Period 
Other Adjustments])</f>
        <v>-20695</v>
      </c>
      <c r="H1984" s="103">
        <f>SUBTOTAL(109,GrandTotalSchoolDistricts[(H)
Net Program Costs
Sum (C through G)])</f>
        <v>7971125182.8900003</v>
      </c>
      <c r="I1984" s="103">
        <f>SUBTOTAL(109,GrandTotalSchoolDistricts[(I)
Payments
 and Offsets])</f>
        <v>-7030930295.8900003</v>
      </c>
      <c r="J1984" s="103">
        <f>SUBTOTAL(109,GrandTotalSchoolDistricts[(J)
Accounts Payable Balance
(H + I)])</f>
        <v>940194887</v>
      </c>
      <c r="K1984" s="103">
        <f>SUBTOTAL(109,GrandTotalSchoolDistricts[(K)
Established 
Accounts Receivable])</f>
        <v>321427504</v>
      </c>
      <c r="L1984" s="103">
        <f>SUBTOTAL(109,GrandTotalSchoolDistricts[(L)
Recovered
 Accounts Receivable])</f>
        <v>-269721304</v>
      </c>
      <c r="M1984" s="103">
        <f>SUBTOTAL(109,GrandTotalSchoolDistricts[(M)
Accounts Receivable Balance
(K + L)])</f>
        <v>51706200</v>
      </c>
      <c r="N1984" s="103">
        <f>SUBTOTAL(109,GrandTotalSchoolDistricts[(N)
Net Balance
(J minus M)])</f>
        <v>888488687</v>
      </c>
    </row>
    <row r="1985" spans="1:1" x14ac:dyDescent="0.35">
      <c r="A1985" s="102" t="s">
        <v>42</v>
      </c>
    </row>
  </sheetData>
  <printOptions horizontalCentered="1"/>
  <pageMargins left="0.5" right="0.5" top="0.25" bottom="0.75" header="0.4" footer="0.3"/>
  <pageSetup scale="44" fitToHeight="0" orientation="landscape" useFirstPageNumber="1" r:id="rId1"/>
  <headerFooter>
    <oddFooter>&amp;LSchool Districts&amp;RPage &amp;P of &amp;N</oddFooter>
  </headerFooter>
  <rowBreaks count="7" manualBreakCount="7">
    <brk id="393" max="13" man="1"/>
    <brk id="474" max="13" man="1"/>
    <brk id="568" max="13" man="1"/>
    <brk id="1014" max="13" man="1"/>
    <brk id="1392" max="13" man="1"/>
    <brk id="1525" max="13" man="1"/>
    <brk id="1713" max="13" man="1"/>
  </rowBreaks>
  <tableParts count="12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7"/>
  <sheetViews>
    <sheetView topLeftCell="A416" zoomScale="85" zoomScaleNormal="85" workbookViewId="0">
      <selection activeCell="A423" sqref="A423"/>
    </sheetView>
  </sheetViews>
  <sheetFormatPr defaultColWidth="9.1796875" defaultRowHeight="15.5" outlineLevelRow="2" x14ac:dyDescent="0.35"/>
  <cols>
    <col min="1" max="1" width="54.1796875" style="100" customWidth="1"/>
    <col min="2" max="2" width="19.26953125" style="100" bestFit="1" customWidth="1"/>
    <col min="3" max="3" width="18.1796875" style="126" customWidth="1"/>
    <col min="4" max="4" width="17.7265625" style="126" customWidth="1"/>
    <col min="5" max="5" width="13.6328125" style="126" bestFit="1" customWidth="1"/>
    <col min="6" max="6" width="16.453125" style="126" bestFit="1" customWidth="1"/>
    <col min="7" max="7" width="15.54296875" style="126" customWidth="1"/>
    <col min="8" max="8" width="20.1796875" style="126" customWidth="1"/>
    <col min="9" max="9" width="18.81640625" style="126" customWidth="1"/>
    <col min="10" max="11" width="18.36328125" style="126" bestFit="1" customWidth="1"/>
    <col min="12" max="12" width="16" style="126" customWidth="1"/>
    <col min="13" max="13" width="15.81640625" style="126" customWidth="1"/>
    <col min="14" max="14" width="16.54296875" style="126" customWidth="1"/>
    <col min="15" max="15" width="9.1796875" style="125"/>
    <col min="16" max="16384" width="9.1796875" style="45"/>
  </cols>
  <sheetData>
    <row r="1" spans="1:15" s="100" customFormat="1" ht="120" customHeight="1" x14ac:dyDescent="0.35">
      <c r="A1" s="99" t="s">
        <v>355</v>
      </c>
      <c r="B1" s="124"/>
      <c r="C1" s="123"/>
      <c r="D1" s="123"/>
      <c r="E1" s="122"/>
      <c r="F1" s="122"/>
      <c r="G1" s="122"/>
      <c r="H1" s="122"/>
      <c r="I1" s="122"/>
      <c r="J1" s="122"/>
      <c r="K1" s="121"/>
      <c r="L1" s="121"/>
      <c r="M1" s="121"/>
      <c r="N1" s="120"/>
    </row>
    <row r="2" spans="1:15" s="139" customFormat="1" ht="78.75" customHeight="1" x14ac:dyDescent="0.35">
      <c r="A2" s="60" t="s">
        <v>185</v>
      </c>
      <c r="B2" s="59" t="s">
        <v>184</v>
      </c>
      <c r="C2" s="58" t="s">
        <v>183</v>
      </c>
      <c r="D2" s="58" t="s">
        <v>182</v>
      </c>
      <c r="E2" s="56" t="s">
        <v>181</v>
      </c>
      <c r="F2" s="56" t="s">
        <v>180</v>
      </c>
      <c r="G2" s="56" t="s">
        <v>179</v>
      </c>
      <c r="H2" s="57" t="s">
        <v>674</v>
      </c>
      <c r="I2" s="55" t="s">
        <v>178</v>
      </c>
      <c r="J2" s="55" t="s">
        <v>177</v>
      </c>
      <c r="K2" s="56" t="s">
        <v>176</v>
      </c>
      <c r="L2" s="55" t="s">
        <v>175</v>
      </c>
      <c r="M2" s="55" t="s">
        <v>174</v>
      </c>
      <c r="N2" s="54" t="s">
        <v>173</v>
      </c>
      <c r="O2" s="140"/>
    </row>
    <row r="3" spans="1:15" outlineLevel="2" x14ac:dyDescent="0.35">
      <c r="A3" s="108" t="s">
        <v>671</v>
      </c>
      <c r="B3" s="108" t="s">
        <v>197</v>
      </c>
      <c r="C3" s="134">
        <v>357087</v>
      </c>
      <c r="D3" s="134">
        <v>-974</v>
      </c>
      <c r="E3" s="134">
        <v>0</v>
      </c>
      <c r="F3" s="134">
        <v>0</v>
      </c>
      <c r="G3" s="134">
        <v>0</v>
      </c>
      <c r="H3" s="134">
        <f>SUM(C3:G3)</f>
        <v>356113</v>
      </c>
      <c r="I3" s="134">
        <v>-356113</v>
      </c>
      <c r="J3" s="134">
        <f>H3+I3</f>
        <v>0</v>
      </c>
      <c r="K3" s="134">
        <v>36307</v>
      </c>
      <c r="L3" s="134">
        <v>-36307</v>
      </c>
      <c r="M3" s="134">
        <f>K3+L3</f>
        <v>0</v>
      </c>
      <c r="N3" s="134">
        <f>J3-M3</f>
        <v>0</v>
      </c>
    </row>
    <row r="4" spans="1:15" s="125" customFormat="1" outlineLevel="2" x14ac:dyDescent="0.35">
      <c r="A4" s="135" t="s">
        <v>671</v>
      </c>
      <c r="B4" s="108" t="s">
        <v>196</v>
      </c>
      <c r="C4" s="134">
        <v>98949</v>
      </c>
      <c r="D4" s="134">
        <v>-379</v>
      </c>
      <c r="E4" s="134">
        <v>0</v>
      </c>
      <c r="F4" s="134">
        <v>0</v>
      </c>
      <c r="G4" s="134">
        <v>0</v>
      </c>
      <c r="H4" s="134">
        <f>SUM(C4:G4)</f>
        <v>98570</v>
      </c>
      <c r="I4" s="134">
        <v>-98570</v>
      </c>
      <c r="J4" s="134">
        <f>H4+I4</f>
        <v>0</v>
      </c>
      <c r="K4" s="134">
        <v>98949</v>
      </c>
      <c r="L4" s="134">
        <v>-98949</v>
      </c>
      <c r="M4" s="134">
        <f>K4+L4</f>
        <v>0</v>
      </c>
      <c r="N4" s="134">
        <f>J4-M4</f>
        <v>0</v>
      </c>
    </row>
    <row r="5" spans="1:15" s="125" customFormat="1" outlineLevel="2" x14ac:dyDescent="0.35">
      <c r="A5" s="135" t="s">
        <v>671</v>
      </c>
      <c r="B5" s="108" t="s">
        <v>193</v>
      </c>
      <c r="C5" s="134">
        <v>227108</v>
      </c>
      <c r="D5" s="134">
        <v>-298</v>
      </c>
      <c r="E5" s="134">
        <v>0</v>
      </c>
      <c r="F5" s="134">
        <v>0</v>
      </c>
      <c r="G5" s="134">
        <v>0</v>
      </c>
      <c r="H5" s="134">
        <f>SUM(C5:G5)</f>
        <v>226810</v>
      </c>
      <c r="I5" s="134">
        <v>-226810</v>
      </c>
      <c r="J5" s="134">
        <f>H5+I5</f>
        <v>0</v>
      </c>
      <c r="K5" s="134">
        <v>7628</v>
      </c>
      <c r="L5" s="134">
        <v>-7628</v>
      </c>
      <c r="M5" s="134">
        <f>K5+L5</f>
        <v>0</v>
      </c>
      <c r="N5" s="134">
        <f>J5-M5</f>
        <v>0</v>
      </c>
    </row>
    <row r="6" spans="1:15" s="100" customFormat="1" ht="15" customHeight="1" outlineLevel="1" thickBot="1" x14ac:dyDescent="0.4">
      <c r="A6" s="105" t="s">
        <v>636</v>
      </c>
      <c r="B6" s="133" t="s">
        <v>12</v>
      </c>
      <c r="C6" s="78">
        <f>SUBTOTAL(109,Program231[(C)
Program
Costs])</f>
        <v>683144</v>
      </c>
      <c r="D6" s="78">
        <f>SUBTOTAL(109,Program231[(D)
Prior Period Adjustments])</f>
        <v>-1651</v>
      </c>
      <c r="E6" s="78">
        <f>SUBTOTAL(109,Program231[(E)
Current Period Desk 
Reviews])</f>
        <v>0</v>
      </c>
      <c r="F6" s="78">
        <f>SUBTOTAL(109,Program231[(F)
Current Period 
Final 
Audits])</f>
        <v>0</v>
      </c>
      <c r="G6" s="78">
        <f>SUBTOTAL(109,Program231[(G)
Current Period 
Other Adjustments])</f>
        <v>0</v>
      </c>
      <c r="H6" s="78">
        <f>SUBTOTAL(109,Program231[(H)
Net Program Costs
Sum (C through G)])</f>
        <v>681493</v>
      </c>
      <c r="I6" s="78">
        <f>SUBTOTAL(109,Program231[(I)
Payments
 and Offsets])</f>
        <v>-681493</v>
      </c>
      <c r="J6" s="78">
        <f>SUBTOTAL(109,Program231[(J)
Accounts Payable Balance
(H + I)])</f>
        <v>0</v>
      </c>
      <c r="K6" s="78">
        <f>SUBTOTAL(109,Program231[(K)
Established 
Accounts Receivable])</f>
        <v>142884</v>
      </c>
      <c r="L6" s="78">
        <f>SUBTOTAL(109,Program231[(L)
Recovered
 Accounts Receivable])</f>
        <v>-142884</v>
      </c>
      <c r="M6" s="78">
        <f>SUBTOTAL(109,Program231[(M)
Accounts Receivable Balance
(K + L)])</f>
        <v>0</v>
      </c>
      <c r="N6" s="78">
        <f>SUBTOTAL(109,Program231[(N)
Net Balance
(J minus M)])</f>
        <v>0</v>
      </c>
    </row>
    <row r="7" spans="1:15" s="125" customFormat="1" outlineLevel="1" x14ac:dyDescent="0.35">
      <c r="A7" s="116" t="s">
        <v>33</v>
      </c>
      <c r="B7" s="115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5" s="125" customFormat="1" ht="77.5" outlineLevel="2" x14ac:dyDescent="0.35">
      <c r="A8" s="60" t="s">
        <v>185</v>
      </c>
      <c r="B8" s="59" t="s">
        <v>184</v>
      </c>
      <c r="C8" s="58" t="s">
        <v>183</v>
      </c>
      <c r="D8" s="58" t="s">
        <v>182</v>
      </c>
      <c r="E8" s="56" t="s">
        <v>181</v>
      </c>
      <c r="F8" s="56" t="s">
        <v>180</v>
      </c>
      <c r="G8" s="56" t="s">
        <v>179</v>
      </c>
      <c r="H8" s="57" t="s">
        <v>674</v>
      </c>
      <c r="I8" s="55" t="s">
        <v>178</v>
      </c>
      <c r="J8" s="55" t="s">
        <v>177</v>
      </c>
      <c r="K8" s="56" t="s">
        <v>176</v>
      </c>
      <c r="L8" s="55" t="s">
        <v>175</v>
      </c>
      <c r="M8" s="55" t="s">
        <v>174</v>
      </c>
      <c r="N8" s="54" t="s">
        <v>173</v>
      </c>
    </row>
    <row r="9" spans="1:15" s="125" customFormat="1" outlineLevel="2" x14ac:dyDescent="0.35">
      <c r="A9" s="135" t="s">
        <v>670</v>
      </c>
      <c r="B9" s="108" t="s">
        <v>208</v>
      </c>
      <c r="C9" s="134">
        <v>37135</v>
      </c>
      <c r="D9" s="134">
        <v>-3131</v>
      </c>
      <c r="E9" s="134">
        <v>0</v>
      </c>
      <c r="F9" s="134">
        <v>0</v>
      </c>
      <c r="G9" s="134">
        <v>0</v>
      </c>
      <c r="H9" s="134">
        <f t="shared" ref="H9:H20" si="0">SUM(C9:G9)</f>
        <v>34004</v>
      </c>
      <c r="I9" s="134">
        <v>-34004</v>
      </c>
      <c r="J9" s="134">
        <f t="shared" ref="J9:J20" si="1">H9+I9</f>
        <v>0</v>
      </c>
      <c r="K9" s="134">
        <v>0</v>
      </c>
      <c r="L9" s="134">
        <v>0</v>
      </c>
      <c r="M9" s="134">
        <f t="shared" ref="M9:M20" si="2">K9+L9</f>
        <v>0</v>
      </c>
      <c r="N9" s="134">
        <f t="shared" ref="N9:N20" si="3">J9-M9</f>
        <v>0</v>
      </c>
    </row>
    <row r="10" spans="1:15" s="125" customFormat="1" outlineLevel="2" x14ac:dyDescent="0.35">
      <c r="A10" s="135" t="s">
        <v>670</v>
      </c>
      <c r="B10" s="108" t="s">
        <v>206</v>
      </c>
      <c r="C10" s="134">
        <v>38850</v>
      </c>
      <c r="D10" s="134">
        <v>0</v>
      </c>
      <c r="E10" s="134">
        <v>0</v>
      </c>
      <c r="F10" s="134">
        <v>0</v>
      </c>
      <c r="G10" s="134">
        <v>0</v>
      </c>
      <c r="H10" s="134">
        <f t="shared" si="0"/>
        <v>38850</v>
      </c>
      <c r="I10" s="134">
        <v>-38850</v>
      </c>
      <c r="J10" s="134">
        <f t="shared" si="1"/>
        <v>0</v>
      </c>
      <c r="K10" s="134">
        <v>0</v>
      </c>
      <c r="L10" s="134">
        <v>0</v>
      </c>
      <c r="M10" s="134">
        <f t="shared" si="2"/>
        <v>0</v>
      </c>
      <c r="N10" s="134">
        <f t="shared" si="3"/>
        <v>0</v>
      </c>
    </row>
    <row r="11" spans="1:15" s="125" customFormat="1" outlineLevel="2" x14ac:dyDescent="0.35">
      <c r="A11" s="135" t="s">
        <v>670</v>
      </c>
      <c r="B11" s="108" t="s">
        <v>205</v>
      </c>
      <c r="C11" s="134">
        <v>40531</v>
      </c>
      <c r="D11" s="134">
        <v>0</v>
      </c>
      <c r="E11" s="134">
        <v>0</v>
      </c>
      <c r="F11" s="134">
        <v>0</v>
      </c>
      <c r="G11" s="134">
        <v>0</v>
      </c>
      <c r="H11" s="134">
        <f t="shared" si="0"/>
        <v>40531</v>
      </c>
      <c r="I11" s="134">
        <v>-40531</v>
      </c>
      <c r="J11" s="134">
        <f t="shared" si="1"/>
        <v>0</v>
      </c>
      <c r="K11" s="134">
        <v>0</v>
      </c>
      <c r="L11" s="134">
        <v>0</v>
      </c>
      <c r="M11" s="134">
        <f t="shared" si="2"/>
        <v>0</v>
      </c>
      <c r="N11" s="134">
        <f t="shared" si="3"/>
        <v>0</v>
      </c>
    </row>
    <row r="12" spans="1:15" s="125" customFormat="1" outlineLevel="2" x14ac:dyDescent="0.35">
      <c r="A12" s="135" t="s">
        <v>670</v>
      </c>
      <c r="B12" s="108" t="s">
        <v>204</v>
      </c>
      <c r="C12" s="134">
        <v>65092</v>
      </c>
      <c r="D12" s="134">
        <v>0</v>
      </c>
      <c r="E12" s="134">
        <v>0</v>
      </c>
      <c r="F12" s="134">
        <v>0</v>
      </c>
      <c r="G12" s="134">
        <v>0</v>
      </c>
      <c r="H12" s="134">
        <f t="shared" si="0"/>
        <v>65092</v>
      </c>
      <c r="I12" s="134">
        <v>-65092</v>
      </c>
      <c r="J12" s="134">
        <f t="shared" si="1"/>
        <v>0</v>
      </c>
      <c r="K12" s="134">
        <v>0</v>
      </c>
      <c r="L12" s="134">
        <v>0</v>
      </c>
      <c r="M12" s="134">
        <f t="shared" si="2"/>
        <v>0</v>
      </c>
      <c r="N12" s="134">
        <f t="shared" si="3"/>
        <v>0</v>
      </c>
    </row>
    <row r="13" spans="1:15" s="125" customFormat="1" outlineLevel="2" x14ac:dyDescent="0.35">
      <c r="A13" s="135" t="s">
        <v>670</v>
      </c>
      <c r="B13" s="108" t="s">
        <v>203</v>
      </c>
      <c r="C13" s="134">
        <v>108534</v>
      </c>
      <c r="D13" s="134">
        <v>-922</v>
      </c>
      <c r="E13" s="134">
        <v>0</v>
      </c>
      <c r="F13" s="134">
        <v>0</v>
      </c>
      <c r="G13" s="134">
        <v>0</v>
      </c>
      <c r="H13" s="134">
        <f t="shared" si="0"/>
        <v>107612</v>
      </c>
      <c r="I13" s="134">
        <v>-104977</v>
      </c>
      <c r="J13" s="134">
        <f t="shared" si="1"/>
        <v>2635</v>
      </c>
      <c r="K13" s="134">
        <v>0</v>
      </c>
      <c r="L13" s="134">
        <v>0</v>
      </c>
      <c r="M13" s="134">
        <f t="shared" si="2"/>
        <v>0</v>
      </c>
      <c r="N13" s="134">
        <f t="shared" si="3"/>
        <v>2635</v>
      </c>
    </row>
    <row r="14" spans="1:15" s="125" customFormat="1" outlineLevel="2" x14ac:dyDescent="0.35">
      <c r="A14" s="135" t="s">
        <v>670</v>
      </c>
      <c r="B14" s="108" t="s">
        <v>202</v>
      </c>
      <c r="C14" s="134">
        <v>88280</v>
      </c>
      <c r="D14" s="134">
        <v>-4857</v>
      </c>
      <c r="E14" s="134">
        <v>0</v>
      </c>
      <c r="F14" s="134">
        <v>0</v>
      </c>
      <c r="G14" s="134">
        <v>0</v>
      </c>
      <c r="H14" s="134">
        <f t="shared" si="0"/>
        <v>83423</v>
      </c>
      <c r="I14" s="134">
        <v>-81632</v>
      </c>
      <c r="J14" s="134">
        <f t="shared" si="1"/>
        <v>1791</v>
      </c>
      <c r="K14" s="134">
        <v>0</v>
      </c>
      <c r="L14" s="134">
        <v>0</v>
      </c>
      <c r="M14" s="134">
        <f t="shared" si="2"/>
        <v>0</v>
      </c>
      <c r="N14" s="134">
        <f t="shared" si="3"/>
        <v>1791</v>
      </c>
    </row>
    <row r="15" spans="1:15" s="125" customFormat="1" outlineLevel="2" x14ac:dyDescent="0.35">
      <c r="A15" s="135" t="s">
        <v>670</v>
      </c>
      <c r="B15" s="108" t="s">
        <v>201</v>
      </c>
      <c r="C15" s="134">
        <v>53505</v>
      </c>
      <c r="D15" s="134">
        <v>-5186</v>
      </c>
      <c r="E15" s="134">
        <v>0</v>
      </c>
      <c r="F15" s="134">
        <v>0</v>
      </c>
      <c r="G15" s="134">
        <v>0</v>
      </c>
      <c r="H15" s="134">
        <f t="shared" si="0"/>
        <v>48319</v>
      </c>
      <c r="I15" s="134">
        <v>-48319</v>
      </c>
      <c r="J15" s="134">
        <f t="shared" si="1"/>
        <v>0</v>
      </c>
      <c r="K15" s="134">
        <v>0</v>
      </c>
      <c r="L15" s="134">
        <v>0</v>
      </c>
      <c r="M15" s="134">
        <f t="shared" si="2"/>
        <v>0</v>
      </c>
      <c r="N15" s="134">
        <f t="shared" si="3"/>
        <v>0</v>
      </c>
    </row>
    <row r="16" spans="1:15" s="125" customFormat="1" outlineLevel="2" x14ac:dyDescent="0.35">
      <c r="A16" s="135" t="s">
        <v>670</v>
      </c>
      <c r="B16" s="108" t="s">
        <v>200</v>
      </c>
      <c r="C16" s="134">
        <v>49367</v>
      </c>
      <c r="D16" s="134">
        <v>-4806</v>
      </c>
      <c r="E16" s="134">
        <v>0</v>
      </c>
      <c r="F16" s="134">
        <v>0</v>
      </c>
      <c r="G16" s="134">
        <v>0</v>
      </c>
      <c r="H16" s="134">
        <f t="shared" si="0"/>
        <v>44561</v>
      </c>
      <c r="I16" s="134">
        <v>-44561</v>
      </c>
      <c r="J16" s="134">
        <f t="shared" si="1"/>
        <v>0</v>
      </c>
      <c r="K16" s="134">
        <v>0</v>
      </c>
      <c r="L16" s="134">
        <v>0</v>
      </c>
      <c r="M16" s="134">
        <f t="shared" si="2"/>
        <v>0</v>
      </c>
      <c r="N16" s="134">
        <f t="shared" si="3"/>
        <v>0</v>
      </c>
    </row>
    <row r="17" spans="1:14" s="125" customFormat="1" outlineLevel="2" x14ac:dyDescent="0.35">
      <c r="A17" s="135" t="s">
        <v>670</v>
      </c>
      <c r="B17" s="108" t="s">
        <v>199</v>
      </c>
      <c r="C17" s="134">
        <v>49649</v>
      </c>
      <c r="D17" s="134">
        <v>-4826</v>
      </c>
      <c r="E17" s="134">
        <v>0</v>
      </c>
      <c r="F17" s="134">
        <v>0</v>
      </c>
      <c r="G17" s="134">
        <v>0</v>
      </c>
      <c r="H17" s="134">
        <f t="shared" si="0"/>
        <v>44823</v>
      </c>
      <c r="I17" s="134">
        <v>-44823</v>
      </c>
      <c r="J17" s="134">
        <f t="shared" si="1"/>
        <v>0</v>
      </c>
      <c r="K17" s="134">
        <v>0</v>
      </c>
      <c r="L17" s="134">
        <v>0</v>
      </c>
      <c r="M17" s="134">
        <f t="shared" si="2"/>
        <v>0</v>
      </c>
      <c r="N17" s="134">
        <f t="shared" si="3"/>
        <v>0</v>
      </c>
    </row>
    <row r="18" spans="1:14" s="125" customFormat="1" outlineLevel="2" x14ac:dyDescent="0.35">
      <c r="A18" s="135" t="s">
        <v>670</v>
      </c>
      <c r="B18" s="108" t="s">
        <v>198</v>
      </c>
      <c r="C18" s="134">
        <v>53980</v>
      </c>
      <c r="D18" s="134">
        <v>-5240</v>
      </c>
      <c r="E18" s="134">
        <v>0</v>
      </c>
      <c r="F18" s="134">
        <v>0</v>
      </c>
      <c r="G18" s="134">
        <v>0</v>
      </c>
      <c r="H18" s="134">
        <f t="shared" si="0"/>
        <v>48740</v>
      </c>
      <c r="I18" s="134">
        <v>-48740</v>
      </c>
      <c r="J18" s="134">
        <f t="shared" si="1"/>
        <v>0</v>
      </c>
      <c r="K18" s="134">
        <v>0</v>
      </c>
      <c r="L18" s="134">
        <v>0</v>
      </c>
      <c r="M18" s="134">
        <f t="shared" si="2"/>
        <v>0</v>
      </c>
      <c r="N18" s="134">
        <f t="shared" si="3"/>
        <v>0</v>
      </c>
    </row>
    <row r="19" spans="1:14" s="125" customFormat="1" outlineLevel="2" x14ac:dyDescent="0.35">
      <c r="A19" s="135" t="s">
        <v>670</v>
      </c>
      <c r="B19" s="108" t="s">
        <v>197</v>
      </c>
      <c r="C19" s="134">
        <v>50058</v>
      </c>
      <c r="D19" s="134">
        <v>-4943</v>
      </c>
      <c r="E19" s="134">
        <v>0</v>
      </c>
      <c r="F19" s="134">
        <v>0</v>
      </c>
      <c r="G19" s="134">
        <v>0</v>
      </c>
      <c r="H19" s="134">
        <f t="shared" si="0"/>
        <v>45115</v>
      </c>
      <c r="I19" s="134">
        <v>-45115</v>
      </c>
      <c r="J19" s="134">
        <f t="shared" si="1"/>
        <v>0</v>
      </c>
      <c r="K19" s="134">
        <v>0</v>
      </c>
      <c r="L19" s="134">
        <v>0</v>
      </c>
      <c r="M19" s="134">
        <f t="shared" si="2"/>
        <v>0</v>
      </c>
      <c r="N19" s="134">
        <f t="shared" si="3"/>
        <v>0</v>
      </c>
    </row>
    <row r="20" spans="1:14" s="136" customFormat="1" outlineLevel="1" x14ac:dyDescent="0.35">
      <c r="A20" s="135" t="s">
        <v>670</v>
      </c>
      <c r="B20" s="108" t="s">
        <v>196</v>
      </c>
      <c r="C20" s="134">
        <v>15787</v>
      </c>
      <c r="D20" s="134">
        <v>-1404</v>
      </c>
      <c r="E20" s="134">
        <v>0</v>
      </c>
      <c r="F20" s="134">
        <v>0</v>
      </c>
      <c r="G20" s="134">
        <v>0</v>
      </c>
      <c r="H20" s="134">
        <f t="shared" si="0"/>
        <v>14383</v>
      </c>
      <c r="I20" s="134">
        <v>-14383</v>
      </c>
      <c r="J20" s="134">
        <f t="shared" si="1"/>
        <v>0</v>
      </c>
      <c r="K20" s="134">
        <v>0</v>
      </c>
      <c r="L20" s="134">
        <v>0</v>
      </c>
      <c r="M20" s="134">
        <f t="shared" si="2"/>
        <v>0</v>
      </c>
      <c r="N20" s="134">
        <f t="shared" si="3"/>
        <v>0</v>
      </c>
    </row>
    <row r="21" spans="1:14" s="125" customFormat="1" ht="16" outlineLevel="1" thickBot="1" x14ac:dyDescent="0.4">
      <c r="A21" s="105" t="s">
        <v>635</v>
      </c>
      <c r="B21" s="133" t="s">
        <v>12</v>
      </c>
      <c r="C21" s="78">
        <f>SUBTOTAL(109,Program270[(C)
Program
Costs])</f>
        <v>650768</v>
      </c>
      <c r="D21" s="78">
        <f>SUBTOTAL(109,Program270[(D)
Prior Period Adjustments])</f>
        <v>-35315</v>
      </c>
      <c r="E21" s="78">
        <f>SUBTOTAL(109,Program270[(E)
Current Period Desk 
Reviews])</f>
        <v>0</v>
      </c>
      <c r="F21" s="78">
        <f>SUBTOTAL(109,Program270[(F)
Current Period 
Final 
Audits])</f>
        <v>0</v>
      </c>
      <c r="G21" s="78">
        <f>SUBTOTAL(109,Program270[(G)
Current Period 
Other Adjustments])</f>
        <v>0</v>
      </c>
      <c r="H21" s="78">
        <f>SUBTOTAL(109,Program270[(H)
Net Program Costs
Sum (C through G)])</f>
        <v>615453</v>
      </c>
      <c r="I21" s="78">
        <f>SUBTOTAL(109,Program270[(I)
Payments
 and Offsets])</f>
        <v>-611027</v>
      </c>
      <c r="J21" s="78">
        <f>SUBTOTAL(109,Program270[(J)
Accounts Payable Balance
(H + I)])</f>
        <v>4426</v>
      </c>
      <c r="K21" s="78">
        <f>SUBTOTAL(109,Program270[(K)
Established 
Accounts Receivable])</f>
        <v>0</v>
      </c>
      <c r="L21" s="78">
        <f>SUBTOTAL(109,Program270[(L)
Recovered
 Accounts Receivable])</f>
        <v>0</v>
      </c>
      <c r="M21" s="78">
        <f>SUBTOTAL(109,Program270[(M)
Accounts Receivable Balance
(K + L)])</f>
        <v>0</v>
      </c>
      <c r="N21" s="78">
        <f>SUBTOTAL(109,Program270[(N)
Net Balance
(J minus M)])</f>
        <v>4426</v>
      </c>
    </row>
    <row r="22" spans="1:14" s="125" customFormat="1" outlineLevel="2" x14ac:dyDescent="0.35">
      <c r="A22" s="116" t="s">
        <v>33</v>
      </c>
      <c r="B22" s="115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</row>
    <row r="23" spans="1:14" s="125" customFormat="1" ht="77.5" outlineLevel="2" x14ac:dyDescent="0.35">
      <c r="A23" s="60" t="s">
        <v>185</v>
      </c>
      <c r="B23" s="59" t="s">
        <v>184</v>
      </c>
      <c r="C23" s="58" t="s">
        <v>183</v>
      </c>
      <c r="D23" s="58" t="s">
        <v>182</v>
      </c>
      <c r="E23" s="56" t="s">
        <v>181</v>
      </c>
      <c r="F23" s="56" t="s">
        <v>180</v>
      </c>
      <c r="G23" s="56" t="s">
        <v>179</v>
      </c>
      <c r="H23" s="57" t="s">
        <v>674</v>
      </c>
      <c r="I23" s="55" t="s">
        <v>178</v>
      </c>
      <c r="J23" s="55" t="s">
        <v>177</v>
      </c>
      <c r="K23" s="56" t="s">
        <v>176</v>
      </c>
      <c r="L23" s="55" t="s">
        <v>175</v>
      </c>
      <c r="M23" s="55" t="s">
        <v>174</v>
      </c>
      <c r="N23" s="54" t="s">
        <v>173</v>
      </c>
    </row>
    <row r="24" spans="1:14" s="125" customFormat="1" outlineLevel="2" x14ac:dyDescent="0.35">
      <c r="A24" s="135" t="s">
        <v>669</v>
      </c>
      <c r="B24" s="108" t="s">
        <v>208</v>
      </c>
      <c r="C24" s="134">
        <v>14216</v>
      </c>
      <c r="D24" s="134">
        <v>-971</v>
      </c>
      <c r="E24" s="134">
        <v>0</v>
      </c>
      <c r="F24" s="134">
        <v>0</v>
      </c>
      <c r="G24" s="134">
        <v>0</v>
      </c>
      <c r="H24" s="134">
        <f t="shared" ref="H24:H34" si="4">SUM(C24:G24)</f>
        <v>13245</v>
      </c>
      <c r="I24" s="134">
        <v>-13245</v>
      </c>
      <c r="J24" s="134">
        <f t="shared" ref="J24:J34" si="5">H24+I24</f>
        <v>0</v>
      </c>
      <c r="K24" s="134">
        <v>0</v>
      </c>
      <c r="L24" s="134">
        <v>0</v>
      </c>
      <c r="M24" s="134">
        <f t="shared" ref="M24:M34" si="6">K24+L24</f>
        <v>0</v>
      </c>
      <c r="N24" s="134">
        <f t="shared" ref="N24:N34" si="7">J24-M24</f>
        <v>0</v>
      </c>
    </row>
    <row r="25" spans="1:14" s="125" customFormat="1" outlineLevel="2" x14ac:dyDescent="0.35">
      <c r="A25" s="135" t="s">
        <v>669</v>
      </c>
      <c r="B25" s="108" t="s">
        <v>206</v>
      </c>
      <c r="C25" s="134">
        <v>16592</v>
      </c>
      <c r="D25" s="134">
        <v>-444</v>
      </c>
      <c r="E25" s="134">
        <v>0</v>
      </c>
      <c r="F25" s="134">
        <v>0</v>
      </c>
      <c r="G25" s="134">
        <v>0</v>
      </c>
      <c r="H25" s="134">
        <f t="shared" si="4"/>
        <v>16148</v>
      </c>
      <c r="I25" s="134">
        <v>-16148</v>
      </c>
      <c r="J25" s="134">
        <f t="shared" si="5"/>
        <v>0</v>
      </c>
      <c r="K25" s="134">
        <v>0</v>
      </c>
      <c r="L25" s="134">
        <v>0</v>
      </c>
      <c r="M25" s="134">
        <f t="shared" si="6"/>
        <v>0</v>
      </c>
      <c r="N25" s="134">
        <f t="shared" si="7"/>
        <v>0</v>
      </c>
    </row>
    <row r="26" spans="1:14" s="125" customFormat="1" outlineLevel="2" x14ac:dyDescent="0.35">
      <c r="A26" s="135" t="s">
        <v>669</v>
      </c>
      <c r="B26" s="108" t="s">
        <v>205</v>
      </c>
      <c r="C26" s="134">
        <v>21339</v>
      </c>
      <c r="D26" s="134">
        <v>-703</v>
      </c>
      <c r="E26" s="134">
        <v>0</v>
      </c>
      <c r="F26" s="134">
        <v>0</v>
      </c>
      <c r="G26" s="134">
        <v>0</v>
      </c>
      <c r="H26" s="134">
        <f t="shared" si="4"/>
        <v>20636</v>
      </c>
      <c r="I26" s="134">
        <v>-20636</v>
      </c>
      <c r="J26" s="134">
        <f t="shared" si="5"/>
        <v>0</v>
      </c>
      <c r="K26" s="134">
        <v>0</v>
      </c>
      <c r="L26" s="134">
        <v>0</v>
      </c>
      <c r="M26" s="134">
        <f t="shared" si="6"/>
        <v>0</v>
      </c>
      <c r="N26" s="134">
        <f t="shared" si="7"/>
        <v>0</v>
      </c>
    </row>
    <row r="27" spans="1:14" s="125" customFormat="1" outlineLevel="2" x14ac:dyDescent="0.35">
      <c r="A27" s="135" t="s">
        <v>669</v>
      </c>
      <c r="B27" s="108" t="s">
        <v>204</v>
      </c>
      <c r="C27" s="134">
        <v>25762</v>
      </c>
      <c r="D27" s="134">
        <v>-2207</v>
      </c>
      <c r="E27" s="134">
        <v>0</v>
      </c>
      <c r="F27" s="134">
        <v>0</v>
      </c>
      <c r="G27" s="134">
        <v>0</v>
      </c>
      <c r="H27" s="134">
        <f t="shared" si="4"/>
        <v>23555</v>
      </c>
      <c r="I27" s="134">
        <v>-21884</v>
      </c>
      <c r="J27" s="134">
        <f t="shared" si="5"/>
        <v>1671</v>
      </c>
      <c r="K27" s="134">
        <v>0</v>
      </c>
      <c r="L27" s="134">
        <v>0</v>
      </c>
      <c r="M27" s="134">
        <f t="shared" si="6"/>
        <v>0</v>
      </c>
      <c r="N27" s="134">
        <f t="shared" si="7"/>
        <v>1671</v>
      </c>
    </row>
    <row r="28" spans="1:14" s="125" customFormat="1" outlineLevel="2" x14ac:dyDescent="0.35">
      <c r="A28" s="135" t="s">
        <v>669</v>
      </c>
      <c r="B28" s="108" t="s">
        <v>203</v>
      </c>
      <c r="C28" s="134">
        <v>26063</v>
      </c>
      <c r="D28" s="134">
        <v>-2219</v>
      </c>
      <c r="E28" s="134">
        <v>0</v>
      </c>
      <c r="F28" s="134">
        <v>0</v>
      </c>
      <c r="G28" s="134">
        <v>0</v>
      </c>
      <c r="H28" s="134">
        <f t="shared" si="4"/>
        <v>23844</v>
      </c>
      <c r="I28" s="134">
        <v>-22129</v>
      </c>
      <c r="J28" s="134">
        <f t="shared" si="5"/>
        <v>1715</v>
      </c>
      <c r="K28" s="134">
        <v>0</v>
      </c>
      <c r="L28" s="134">
        <v>0</v>
      </c>
      <c r="M28" s="134">
        <f t="shared" si="6"/>
        <v>0</v>
      </c>
      <c r="N28" s="134">
        <f t="shared" si="7"/>
        <v>1715</v>
      </c>
    </row>
    <row r="29" spans="1:14" s="125" customFormat="1" outlineLevel="2" x14ac:dyDescent="0.35">
      <c r="A29" s="135" t="s">
        <v>669</v>
      </c>
      <c r="B29" s="108" t="s">
        <v>202</v>
      </c>
      <c r="C29" s="134">
        <v>23638</v>
      </c>
      <c r="D29" s="134">
        <v>-2056</v>
      </c>
      <c r="E29" s="134">
        <v>0</v>
      </c>
      <c r="F29" s="134">
        <v>0</v>
      </c>
      <c r="G29" s="134">
        <v>0</v>
      </c>
      <c r="H29" s="134">
        <f t="shared" si="4"/>
        <v>21582</v>
      </c>
      <c r="I29" s="134">
        <v>-19807</v>
      </c>
      <c r="J29" s="134">
        <f t="shared" si="5"/>
        <v>1775</v>
      </c>
      <c r="K29" s="134">
        <v>0</v>
      </c>
      <c r="L29" s="134">
        <v>0</v>
      </c>
      <c r="M29" s="134">
        <f t="shared" si="6"/>
        <v>0</v>
      </c>
      <c r="N29" s="134">
        <f t="shared" si="7"/>
        <v>1775</v>
      </c>
    </row>
    <row r="30" spans="1:14" s="125" customFormat="1" outlineLevel="2" x14ac:dyDescent="0.35">
      <c r="A30" s="135" t="s">
        <v>669</v>
      </c>
      <c r="B30" s="108" t="s">
        <v>201</v>
      </c>
      <c r="C30" s="134">
        <v>22542</v>
      </c>
      <c r="D30" s="134">
        <v>-1925</v>
      </c>
      <c r="E30" s="134">
        <v>0</v>
      </c>
      <c r="F30" s="134">
        <v>0</v>
      </c>
      <c r="G30" s="134">
        <v>0</v>
      </c>
      <c r="H30" s="134">
        <f t="shared" si="4"/>
        <v>20617</v>
      </c>
      <c r="I30" s="134">
        <v>-20617</v>
      </c>
      <c r="J30" s="134">
        <f t="shared" si="5"/>
        <v>0</v>
      </c>
      <c r="K30" s="134">
        <v>0</v>
      </c>
      <c r="L30" s="134">
        <v>0</v>
      </c>
      <c r="M30" s="134">
        <f t="shared" si="6"/>
        <v>0</v>
      </c>
      <c r="N30" s="134">
        <f t="shared" si="7"/>
        <v>0</v>
      </c>
    </row>
    <row r="31" spans="1:14" s="125" customFormat="1" outlineLevel="2" x14ac:dyDescent="0.35">
      <c r="A31" s="135" t="s">
        <v>669</v>
      </c>
      <c r="B31" s="108" t="s">
        <v>200</v>
      </c>
      <c r="C31" s="134">
        <v>20072</v>
      </c>
      <c r="D31" s="134">
        <v>-1692</v>
      </c>
      <c r="E31" s="134">
        <v>0</v>
      </c>
      <c r="F31" s="134">
        <v>0</v>
      </c>
      <c r="G31" s="134">
        <v>0</v>
      </c>
      <c r="H31" s="134">
        <f t="shared" si="4"/>
        <v>18380</v>
      </c>
      <c r="I31" s="134">
        <v>-18380</v>
      </c>
      <c r="J31" s="134">
        <f t="shared" si="5"/>
        <v>0</v>
      </c>
      <c r="K31" s="134">
        <v>0</v>
      </c>
      <c r="L31" s="134">
        <v>0</v>
      </c>
      <c r="M31" s="134">
        <f t="shared" si="6"/>
        <v>0</v>
      </c>
      <c r="N31" s="134">
        <f t="shared" si="7"/>
        <v>0</v>
      </c>
    </row>
    <row r="32" spans="1:14" s="125" customFormat="1" outlineLevel="2" x14ac:dyDescent="0.35">
      <c r="A32" s="135" t="s">
        <v>669</v>
      </c>
      <c r="B32" s="108" t="s">
        <v>199</v>
      </c>
      <c r="C32" s="134">
        <v>23783</v>
      </c>
      <c r="D32" s="134">
        <v>-1317</v>
      </c>
      <c r="E32" s="134">
        <v>0</v>
      </c>
      <c r="F32" s="134">
        <v>0</v>
      </c>
      <c r="G32" s="134">
        <v>0</v>
      </c>
      <c r="H32" s="134">
        <f t="shared" si="4"/>
        <v>22466</v>
      </c>
      <c r="I32" s="134">
        <v>-22466</v>
      </c>
      <c r="J32" s="134">
        <f t="shared" si="5"/>
        <v>0</v>
      </c>
      <c r="K32" s="134">
        <v>0</v>
      </c>
      <c r="L32" s="134">
        <v>0</v>
      </c>
      <c r="M32" s="134">
        <f t="shared" si="6"/>
        <v>0</v>
      </c>
      <c r="N32" s="134">
        <f t="shared" si="7"/>
        <v>0</v>
      </c>
    </row>
    <row r="33" spans="1:14" s="136" customFormat="1" outlineLevel="1" x14ac:dyDescent="0.35">
      <c r="A33" s="135" t="s">
        <v>669</v>
      </c>
      <c r="B33" s="108" t="s">
        <v>198</v>
      </c>
      <c r="C33" s="134">
        <v>24018</v>
      </c>
      <c r="D33" s="134">
        <v>-1379</v>
      </c>
      <c r="E33" s="134">
        <v>0</v>
      </c>
      <c r="F33" s="134">
        <v>0</v>
      </c>
      <c r="G33" s="134">
        <v>0</v>
      </c>
      <c r="H33" s="134">
        <f t="shared" si="4"/>
        <v>22639</v>
      </c>
      <c r="I33" s="134">
        <v>-22639</v>
      </c>
      <c r="J33" s="134">
        <f t="shared" si="5"/>
        <v>0</v>
      </c>
      <c r="K33" s="134">
        <v>0</v>
      </c>
      <c r="L33" s="134">
        <v>0</v>
      </c>
      <c r="M33" s="134">
        <f t="shared" si="6"/>
        <v>0</v>
      </c>
      <c r="N33" s="134">
        <f t="shared" si="7"/>
        <v>0</v>
      </c>
    </row>
    <row r="34" spans="1:14" s="100" customFormat="1" ht="15" customHeight="1" outlineLevel="1" x14ac:dyDescent="0.35">
      <c r="A34" s="135" t="s">
        <v>669</v>
      </c>
      <c r="B34" s="108" t="s">
        <v>197</v>
      </c>
      <c r="C34" s="134">
        <v>15033</v>
      </c>
      <c r="D34" s="134">
        <v>-665</v>
      </c>
      <c r="E34" s="134">
        <v>0</v>
      </c>
      <c r="F34" s="134">
        <v>0</v>
      </c>
      <c r="G34" s="134">
        <v>0</v>
      </c>
      <c r="H34" s="134">
        <f t="shared" si="4"/>
        <v>14368</v>
      </c>
      <c r="I34" s="134">
        <v>-14368</v>
      </c>
      <c r="J34" s="134">
        <f t="shared" si="5"/>
        <v>0</v>
      </c>
      <c r="K34" s="134">
        <v>0</v>
      </c>
      <c r="L34" s="134">
        <v>0</v>
      </c>
      <c r="M34" s="134">
        <f t="shared" si="6"/>
        <v>0</v>
      </c>
      <c r="N34" s="134">
        <f t="shared" si="7"/>
        <v>0</v>
      </c>
    </row>
    <row r="35" spans="1:14" s="125" customFormat="1" ht="16" outlineLevel="2" thickBot="1" x14ac:dyDescent="0.4">
      <c r="A35" s="105" t="s">
        <v>634</v>
      </c>
      <c r="B35" s="133" t="s">
        <v>12</v>
      </c>
      <c r="C35" s="78">
        <f>SUBTOTAL(109,Program302[(C)
Program
Costs])</f>
        <v>233058</v>
      </c>
      <c r="D35" s="78">
        <f>SUBTOTAL(109,Program302[(D)
Prior Period Adjustments])</f>
        <v>-15578</v>
      </c>
      <c r="E35" s="78">
        <f>SUBTOTAL(109,Program302[(E)
Current Period Desk 
Reviews])</f>
        <v>0</v>
      </c>
      <c r="F35" s="78">
        <f>SUBTOTAL(109,Program302[(F)
Current Period 
Final 
Audits])</f>
        <v>0</v>
      </c>
      <c r="G35" s="78">
        <f>SUBTOTAL(109,Program302[(G)
Current Period 
Other Adjustments])</f>
        <v>0</v>
      </c>
      <c r="H35" s="78">
        <f>SUBTOTAL(109,Program302[(H)
Net Program Costs
Sum (C through G)])</f>
        <v>217480</v>
      </c>
      <c r="I35" s="78">
        <f>SUBTOTAL(109,Program302[(I)
Payments
 and Offsets])</f>
        <v>-212319</v>
      </c>
      <c r="J35" s="78">
        <f>SUBTOTAL(109,Program302[(J)
Accounts Payable Balance
(H + I)])</f>
        <v>5161</v>
      </c>
      <c r="K35" s="78">
        <f>SUBTOTAL(109,Program302[(K)
Established 
Accounts Receivable])</f>
        <v>0</v>
      </c>
      <c r="L35" s="78">
        <f>SUBTOTAL(109,Program302[(L)
Recovered
 Accounts Receivable])</f>
        <v>0</v>
      </c>
      <c r="M35" s="78">
        <f>SUBTOTAL(109,Program302[(M)
Accounts Receivable Balance
(K + L)])</f>
        <v>0</v>
      </c>
      <c r="N35" s="78">
        <f>SUBTOTAL(109,Program302[(N)
Net Balance
(J minus M)])</f>
        <v>5161</v>
      </c>
    </row>
    <row r="36" spans="1:14" s="125" customFormat="1" outlineLevel="2" x14ac:dyDescent="0.35">
      <c r="A36" s="116" t="s">
        <v>33</v>
      </c>
      <c r="B36" s="115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</row>
    <row r="37" spans="1:14" s="125" customFormat="1" ht="77.5" outlineLevel="2" x14ac:dyDescent="0.35">
      <c r="A37" s="60" t="s">
        <v>185</v>
      </c>
      <c r="B37" s="59" t="s">
        <v>184</v>
      </c>
      <c r="C37" s="58" t="s">
        <v>183</v>
      </c>
      <c r="D37" s="58" t="s">
        <v>182</v>
      </c>
      <c r="E37" s="56" t="s">
        <v>181</v>
      </c>
      <c r="F37" s="56" t="s">
        <v>180</v>
      </c>
      <c r="G37" s="56" t="s">
        <v>179</v>
      </c>
      <c r="H37" s="57" t="s">
        <v>674</v>
      </c>
      <c r="I37" s="55" t="s">
        <v>178</v>
      </c>
      <c r="J37" s="55" t="s">
        <v>177</v>
      </c>
      <c r="K37" s="56" t="s">
        <v>176</v>
      </c>
      <c r="L37" s="55" t="s">
        <v>175</v>
      </c>
      <c r="M37" s="55" t="s">
        <v>174</v>
      </c>
      <c r="N37" s="54" t="s">
        <v>173</v>
      </c>
    </row>
    <row r="38" spans="1:14" s="125" customFormat="1" outlineLevel="2" x14ac:dyDescent="0.35">
      <c r="A38" s="135" t="s">
        <v>668</v>
      </c>
      <c r="B38" s="108" t="s">
        <v>218</v>
      </c>
      <c r="C38" s="134">
        <v>71187</v>
      </c>
      <c r="D38" s="134">
        <v>-3242</v>
      </c>
      <c r="E38" s="134">
        <v>0</v>
      </c>
      <c r="F38" s="134">
        <v>0</v>
      </c>
      <c r="G38" s="134">
        <v>0</v>
      </c>
      <c r="H38" s="134">
        <f t="shared" ref="H38:H43" si="8">SUM(C38:G38)</f>
        <v>67945</v>
      </c>
      <c r="I38" s="134">
        <v>-38765</v>
      </c>
      <c r="J38" s="134">
        <f t="shared" ref="J38:J43" si="9">H38+I38</f>
        <v>29180</v>
      </c>
      <c r="K38" s="134">
        <v>0</v>
      </c>
      <c r="L38" s="134">
        <v>0</v>
      </c>
      <c r="M38" s="134">
        <f t="shared" ref="M38:M43" si="10">K38+L38</f>
        <v>0</v>
      </c>
      <c r="N38" s="134">
        <f t="shared" ref="N38:N43" si="11">J38-M38</f>
        <v>29180</v>
      </c>
    </row>
    <row r="39" spans="1:14" s="125" customFormat="1" outlineLevel="2" x14ac:dyDescent="0.35">
      <c r="A39" s="135" t="s">
        <v>668</v>
      </c>
      <c r="B39" s="108" t="s">
        <v>209</v>
      </c>
      <c r="C39" s="134">
        <v>37109</v>
      </c>
      <c r="D39" s="134">
        <v>-3279</v>
      </c>
      <c r="E39" s="134">
        <v>0</v>
      </c>
      <c r="F39" s="134">
        <v>0</v>
      </c>
      <c r="G39" s="134">
        <v>0</v>
      </c>
      <c r="H39" s="134">
        <f t="shared" si="8"/>
        <v>33830</v>
      </c>
      <c r="I39" s="134">
        <v>-15629</v>
      </c>
      <c r="J39" s="134">
        <f t="shared" si="9"/>
        <v>18201</v>
      </c>
      <c r="K39" s="134">
        <v>0</v>
      </c>
      <c r="L39" s="134">
        <v>0</v>
      </c>
      <c r="M39" s="134">
        <f t="shared" si="10"/>
        <v>0</v>
      </c>
      <c r="N39" s="134">
        <f t="shared" si="11"/>
        <v>18201</v>
      </c>
    </row>
    <row r="40" spans="1:14" s="125" customFormat="1" outlineLevel="2" x14ac:dyDescent="0.35">
      <c r="A40" s="135" t="s">
        <v>668</v>
      </c>
      <c r="B40" s="108" t="s">
        <v>208</v>
      </c>
      <c r="C40" s="134">
        <v>65572</v>
      </c>
      <c r="D40" s="134">
        <v>-4419</v>
      </c>
      <c r="E40" s="134">
        <v>0</v>
      </c>
      <c r="F40" s="134">
        <v>0</v>
      </c>
      <c r="G40" s="134">
        <v>0</v>
      </c>
      <c r="H40" s="134">
        <f t="shared" si="8"/>
        <v>61153</v>
      </c>
      <c r="I40" s="134">
        <v>-42166</v>
      </c>
      <c r="J40" s="134">
        <f t="shared" si="9"/>
        <v>18987</v>
      </c>
      <c r="K40" s="134">
        <v>0</v>
      </c>
      <c r="L40" s="134">
        <v>0</v>
      </c>
      <c r="M40" s="134">
        <f t="shared" si="10"/>
        <v>0</v>
      </c>
      <c r="N40" s="134">
        <f t="shared" si="11"/>
        <v>18987</v>
      </c>
    </row>
    <row r="41" spans="1:14" s="136" customFormat="1" outlineLevel="1" x14ac:dyDescent="0.35">
      <c r="A41" s="135" t="s">
        <v>668</v>
      </c>
      <c r="B41" s="108" t="s">
        <v>206</v>
      </c>
      <c r="C41" s="134">
        <v>11498</v>
      </c>
      <c r="D41" s="134">
        <v>-1150</v>
      </c>
      <c r="E41" s="134">
        <v>0</v>
      </c>
      <c r="F41" s="134">
        <v>0</v>
      </c>
      <c r="G41" s="134">
        <v>0</v>
      </c>
      <c r="H41" s="134">
        <f t="shared" si="8"/>
        <v>10348</v>
      </c>
      <c r="I41" s="134">
        <v>-7533</v>
      </c>
      <c r="J41" s="134">
        <f t="shared" si="9"/>
        <v>2815</v>
      </c>
      <c r="K41" s="134">
        <v>0</v>
      </c>
      <c r="L41" s="134">
        <v>0</v>
      </c>
      <c r="M41" s="134">
        <f t="shared" si="10"/>
        <v>0</v>
      </c>
      <c r="N41" s="134">
        <f t="shared" si="11"/>
        <v>2815</v>
      </c>
    </row>
    <row r="42" spans="1:14" s="100" customFormat="1" ht="15" customHeight="1" outlineLevel="1" x14ac:dyDescent="0.35">
      <c r="A42" s="135" t="s">
        <v>668</v>
      </c>
      <c r="B42" s="108" t="s">
        <v>203</v>
      </c>
      <c r="C42" s="134">
        <v>2382</v>
      </c>
      <c r="D42" s="134">
        <v>-238</v>
      </c>
      <c r="E42" s="134">
        <v>0</v>
      </c>
      <c r="F42" s="134">
        <v>0</v>
      </c>
      <c r="G42" s="134">
        <v>0</v>
      </c>
      <c r="H42" s="134">
        <f t="shared" si="8"/>
        <v>2144</v>
      </c>
      <c r="I42" s="134">
        <v>0</v>
      </c>
      <c r="J42" s="134">
        <f t="shared" si="9"/>
        <v>2144</v>
      </c>
      <c r="K42" s="134">
        <v>0</v>
      </c>
      <c r="L42" s="134">
        <v>0</v>
      </c>
      <c r="M42" s="134">
        <f t="shared" si="10"/>
        <v>0</v>
      </c>
      <c r="N42" s="134">
        <f t="shared" si="11"/>
        <v>2144</v>
      </c>
    </row>
    <row r="43" spans="1:14" s="125" customFormat="1" outlineLevel="1" x14ac:dyDescent="0.35">
      <c r="A43" s="135" t="s">
        <v>668</v>
      </c>
      <c r="B43" s="108" t="s">
        <v>198</v>
      </c>
      <c r="C43" s="134">
        <v>3231</v>
      </c>
      <c r="D43" s="134">
        <v>-323</v>
      </c>
      <c r="E43" s="134">
        <v>0</v>
      </c>
      <c r="F43" s="134">
        <v>0</v>
      </c>
      <c r="G43" s="134">
        <v>0</v>
      </c>
      <c r="H43" s="134">
        <f t="shared" si="8"/>
        <v>2908</v>
      </c>
      <c r="I43" s="134">
        <v>-2908</v>
      </c>
      <c r="J43" s="134">
        <f t="shared" si="9"/>
        <v>0</v>
      </c>
      <c r="K43" s="134">
        <v>0</v>
      </c>
      <c r="L43" s="134">
        <v>0</v>
      </c>
      <c r="M43" s="134">
        <f t="shared" si="10"/>
        <v>0</v>
      </c>
      <c r="N43" s="134">
        <f t="shared" si="11"/>
        <v>0</v>
      </c>
    </row>
    <row r="44" spans="1:14" s="125" customFormat="1" ht="16" outlineLevel="2" thickBot="1" x14ac:dyDescent="0.4">
      <c r="A44" s="105" t="s">
        <v>633</v>
      </c>
      <c r="B44" s="133" t="s">
        <v>12</v>
      </c>
      <c r="C44" s="78">
        <f>SUBTOTAL(109,Program355[(C)
Program
Costs])</f>
        <v>190979</v>
      </c>
      <c r="D44" s="78">
        <f>SUBTOTAL(109,Program355[(D)
Prior Period Adjustments])</f>
        <v>-12651</v>
      </c>
      <c r="E44" s="78">
        <f>SUBTOTAL(109,Program355[(E)
Current Period Desk 
Reviews])</f>
        <v>0</v>
      </c>
      <c r="F44" s="78">
        <f>SUBTOTAL(109,Program355[(F)
Current Period 
Final 
Audits])</f>
        <v>0</v>
      </c>
      <c r="G44" s="78">
        <f>SUBTOTAL(109,Program355[(G)
Current Period 
Other Adjustments])</f>
        <v>0</v>
      </c>
      <c r="H44" s="78">
        <f>SUBTOTAL(109,Program355[(H)
Net Program Costs
Sum (C through G)])</f>
        <v>178328</v>
      </c>
      <c r="I44" s="78">
        <f>SUBTOTAL(109,Program355[(I)
Payments
 and Offsets])</f>
        <v>-107001</v>
      </c>
      <c r="J44" s="78">
        <f>SUBTOTAL(109,Program355[(J)
Accounts Payable Balance
(H + I)])</f>
        <v>71327</v>
      </c>
      <c r="K44" s="78">
        <f>SUBTOTAL(109,Program355[(K)
Established 
Accounts Receivable])</f>
        <v>0</v>
      </c>
      <c r="L44" s="78">
        <f>SUBTOTAL(109,Program355[(L)
Recovered
 Accounts Receivable])</f>
        <v>0</v>
      </c>
      <c r="M44" s="78">
        <f>SUBTOTAL(109,Program355[(M)
Accounts Receivable Balance
(K + L)])</f>
        <v>0</v>
      </c>
      <c r="N44" s="78">
        <f>SUBTOTAL(109,Program355[(N)
Net Balance
(J minus M)])</f>
        <v>71327</v>
      </c>
    </row>
    <row r="45" spans="1:14" s="125" customFormat="1" outlineLevel="2" x14ac:dyDescent="0.35">
      <c r="A45" s="116" t="s">
        <v>33</v>
      </c>
      <c r="B45" s="115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</row>
    <row r="46" spans="1:14" s="125" customFormat="1" ht="77.5" outlineLevel="2" x14ac:dyDescent="0.35">
      <c r="A46" s="60" t="s">
        <v>185</v>
      </c>
      <c r="B46" s="59" t="s">
        <v>184</v>
      </c>
      <c r="C46" s="58" t="s">
        <v>183</v>
      </c>
      <c r="D46" s="58" t="s">
        <v>182</v>
      </c>
      <c r="E46" s="56" t="s">
        <v>181</v>
      </c>
      <c r="F46" s="56" t="s">
        <v>180</v>
      </c>
      <c r="G46" s="56" t="s">
        <v>179</v>
      </c>
      <c r="H46" s="57" t="s">
        <v>674</v>
      </c>
      <c r="I46" s="55" t="s">
        <v>178</v>
      </c>
      <c r="J46" s="55" t="s">
        <v>177</v>
      </c>
      <c r="K46" s="56" t="s">
        <v>176</v>
      </c>
      <c r="L46" s="55" t="s">
        <v>175</v>
      </c>
      <c r="M46" s="55" t="s">
        <v>174</v>
      </c>
      <c r="N46" s="54" t="s">
        <v>173</v>
      </c>
    </row>
    <row r="47" spans="1:14" s="125" customFormat="1" ht="31" outlineLevel="2" x14ac:dyDescent="0.35">
      <c r="A47" s="141" t="s">
        <v>667</v>
      </c>
      <c r="B47" s="108" t="s">
        <v>208</v>
      </c>
      <c r="C47" s="134">
        <v>32039</v>
      </c>
      <c r="D47" s="134">
        <v>-1310</v>
      </c>
      <c r="E47" s="134">
        <v>0</v>
      </c>
      <c r="F47" s="134">
        <v>0</v>
      </c>
      <c r="G47" s="134">
        <v>0</v>
      </c>
      <c r="H47" s="134">
        <f t="shared" ref="H47:H57" si="12">SUM(C47:G47)</f>
        <v>30729</v>
      </c>
      <c r="I47" s="134">
        <v>-27607</v>
      </c>
      <c r="J47" s="134">
        <f t="shared" ref="J47:J57" si="13">H47+I47</f>
        <v>3122</v>
      </c>
      <c r="K47" s="134">
        <v>0</v>
      </c>
      <c r="L47" s="134">
        <v>0</v>
      </c>
      <c r="M47" s="134">
        <f t="shared" ref="M47:M57" si="14">K47+L47</f>
        <v>0</v>
      </c>
      <c r="N47" s="134">
        <f t="shared" ref="N47:N57" si="15">J47-M47</f>
        <v>3122</v>
      </c>
    </row>
    <row r="48" spans="1:14" s="125" customFormat="1" ht="31" outlineLevel="2" x14ac:dyDescent="0.35">
      <c r="A48" s="141" t="s">
        <v>667</v>
      </c>
      <c r="B48" s="108" t="s">
        <v>206</v>
      </c>
      <c r="C48" s="134">
        <v>41326</v>
      </c>
      <c r="D48" s="134">
        <v>-476</v>
      </c>
      <c r="E48" s="134">
        <v>0</v>
      </c>
      <c r="F48" s="134">
        <v>0</v>
      </c>
      <c r="G48" s="134">
        <v>0</v>
      </c>
      <c r="H48" s="134">
        <f t="shared" si="12"/>
        <v>40850</v>
      </c>
      <c r="I48" s="134">
        <v>-38469</v>
      </c>
      <c r="J48" s="134">
        <f t="shared" si="13"/>
        <v>2381</v>
      </c>
      <c r="K48" s="134">
        <v>0</v>
      </c>
      <c r="L48" s="134">
        <v>0</v>
      </c>
      <c r="M48" s="134">
        <f t="shared" si="14"/>
        <v>0</v>
      </c>
      <c r="N48" s="134">
        <f t="shared" si="15"/>
        <v>2381</v>
      </c>
    </row>
    <row r="49" spans="1:14" s="125" customFormat="1" ht="31" outlineLevel="2" x14ac:dyDescent="0.35">
      <c r="A49" s="141" t="s">
        <v>667</v>
      </c>
      <c r="B49" s="108" t="s">
        <v>205</v>
      </c>
      <c r="C49" s="134">
        <v>26681</v>
      </c>
      <c r="D49" s="134">
        <v>0</v>
      </c>
      <c r="E49" s="134">
        <v>0</v>
      </c>
      <c r="F49" s="134">
        <v>0</v>
      </c>
      <c r="G49" s="134">
        <v>0</v>
      </c>
      <c r="H49" s="134">
        <f t="shared" si="12"/>
        <v>26681</v>
      </c>
      <c r="I49" s="134">
        <v>-26681</v>
      </c>
      <c r="J49" s="134">
        <f t="shared" si="13"/>
        <v>0</v>
      </c>
      <c r="K49" s="134">
        <v>0</v>
      </c>
      <c r="L49" s="134">
        <v>0</v>
      </c>
      <c r="M49" s="134">
        <f t="shared" si="14"/>
        <v>0</v>
      </c>
      <c r="N49" s="134">
        <f t="shared" si="15"/>
        <v>0</v>
      </c>
    </row>
    <row r="50" spans="1:14" s="125" customFormat="1" ht="31" outlineLevel="2" x14ac:dyDescent="0.35">
      <c r="A50" s="141" t="s">
        <v>667</v>
      </c>
      <c r="B50" s="108" t="s">
        <v>204</v>
      </c>
      <c r="C50" s="134">
        <v>115826</v>
      </c>
      <c r="D50" s="134">
        <v>0</v>
      </c>
      <c r="E50" s="134">
        <v>0</v>
      </c>
      <c r="F50" s="134">
        <v>0</v>
      </c>
      <c r="G50" s="134">
        <v>0</v>
      </c>
      <c r="H50" s="134">
        <f t="shared" si="12"/>
        <v>115826</v>
      </c>
      <c r="I50" s="134">
        <v>-115826</v>
      </c>
      <c r="J50" s="134">
        <f t="shared" si="13"/>
        <v>0</v>
      </c>
      <c r="K50" s="134">
        <v>0</v>
      </c>
      <c r="L50" s="134">
        <v>0</v>
      </c>
      <c r="M50" s="134">
        <f t="shared" si="14"/>
        <v>0</v>
      </c>
      <c r="N50" s="134">
        <f t="shared" si="15"/>
        <v>0</v>
      </c>
    </row>
    <row r="51" spans="1:14" s="125" customFormat="1" ht="31" outlineLevel="2" x14ac:dyDescent="0.35">
      <c r="A51" s="141" t="s">
        <v>667</v>
      </c>
      <c r="B51" s="108" t="s">
        <v>203</v>
      </c>
      <c r="C51" s="134">
        <v>66588</v>
      </c>
      <c r="D51" s="134">
        <v>-1084</v>
      </c>
      <c r="E51" s="134">
        <v>0</v>
      </c>
      <c r="F51" s="134">
        <v>0</v>
      </c>
      <c r="G51" s="134">
        <v>0</v>
      </c>
      <c r="H51" s="134">
        <f t="shared" si="12"/>
        <v>65504</v>
      </c>
      <c r="I51" s="134">
        <v>-63745</v>
      </c>
      <c r="J51" s="134">
        <f t="shared" si="13"/>
        <v>1759</v>
      </c>
      <c r="K51" s="134">
        <v>0</v>
      </c>
      <c r="L51" s="134">
        <v>0</v>
      </c>
      <c r="M51" s="134">
        <f t="shared" si="14"/>
        <v>0</v>
      </c>
      <c r="N51" s="134">
        <f t="shared" si="15"/>
        <v>1759</v>
      </c>
    </row>
    <row r="52" spans="1:14" s="125" customFormat="1" ht="31" outlineLevel="2" x14ac:dyDescent="0.35">
      <c r="A52" s="141" t="s">
        <v>667</v>
      </c>
      <c r="B52" s="108" t="s">
        <v>202</v>
      </c>
      <c r="C52" s="134">
        <v>58915</v>
      </c>
      <c r="D52" s="134">
        <v>-1018</v>
      </c>
      <c r="E52" s="134">
        <v>0</v>
      </c>
      <c r="F52" s="134">
        <v>0</v>
      </c>
      <c r="G52" s="134">
        <v>0</v>
      </c>
      <c r="H52" s="134">
        <f t="shared" si="12"/>
        <v>57897</v>
      </c>
      <c r="I52" s="134">
        <v>-56416</v>
      </c>
      <c r="J52" s="134">
        <f t="shared" si="13"/>
        <v>1481</v>
      </c>
      <c r="K52" s="134">
        <v>0</v>
      </c>
      <c r="L52" s="134">
        <v>0</v>
      </c>
      <c r="M52" s="134">
        <f t="shared" si="14"/>
        <v>0</v>
      </c>
      <c r="N52" s="134">
        <f t="shared" si="15"/>
        <v>1481</v>
      </c>
    </row>
    <row r="53" spans="1:14" s="125" customFormat="1" ht="31" outlineLevel="2" x14ac:dyDescent="0.35">
      <c r="A53" s="141" t="s">
        <v>667</v>
      </c>
      <c r="B53" s="108" t="s">
        <v>201</v>
      </c>
      <c r="C53" s="134">
        <v>56328</v>
      </c>
      <c r="D53" s="134">
        <v>-958</v>
      </c>
      <c r="E53" s="134">
        <v>0</v>
      </c>
      <c r="F53" s="134">
        <v>0</v>
      </c>
      <c r="G53" s="134">
        <v>0</v>
      </c>
      <c r="H53" s="134">
        <f t="shared" si="12"/>
        <v>55370</v>
      </c>
      <c r="I53" s="134">
        <v>-55370</v>
      </c>
      <c r="J53" s="134">
        <f t="shared" si="13"/>
        <v>0</v>
      </c>
      <c r="K53" s="134">
        <v>0</v>
      </c>
      <c r="L53" s="134">
        <v>0</v>
      </c>
      <c r="M53" s="134">
        <f t="shared" si="14"/>
        <v>0</v>
      </c>
      <c r="N53" s="134">
        <f t="shared" si="15"/>
        <v>0</v>
      </c>
    </row>
    <row r="54" spans="1:14" s="136" customFormat="1" ht="31" outlineLevel="1" x14ac:dyDescent="0.35">
      <c r="A54" s="141" t="s">
        <v>667</v>
      </c>
      <c r="B54" s="108" t="s">
        <v>200</v>
      </c>
      <c r="C54" s="134">
        <v>45632</v>
      </c>
      <c r="D54" s="134">
        <v>-806</v>
      </c>
      <c r="E54" s="134">
        <v>0</v>
      </c>
      <c r="F54" s="134">
        <v>0</v>
      </c>
      <c r="G54" s="134">
        <v>0</v>
      </c>
      <c r="H54" s="134">
        <f t="shared" si="12"/>
        <v>44826</v>
      </c>
      <c r="I54" s="134">
        <v>-44826</v>
      </c>
      <c r="J54" s="134">
        <f t="shared" si="13"/>
        <v>0</v>
      </c>
      <c r="K54" s="134">
        <v>0</v>
      </c>
      <c r="L54" s="134">
        <v>0</v>
      </c>
      <c r="M54" s="134">
        <f t="shared" si="14"/>
        <v>0</v>
      </c>
      <c r="N54" s="134">
        <f t="shared" si="15"/>
        <v>0</v>
      </c>
    </row>
    <row r="55" spans="1:14" s="100" customFormat="1" ht="30" customHeight="1" outlineLevel="1" x14ac:dyDescent="0.35">
      <c r="A55" s="141" t="s">
        <v>667</v>
      </c>
      <c r="B55" s="108" t="s">
        <v>199</v>
      </c>
      <c r="C55" s="134">
        <v>42224</v>
      </c>
      <c r="D55" s="134">
        <v>-679</v>
      </c>
      <c r="E55" s="134">
        <v>0</v>
      </c>
      <c r="F55" s="134">
        <v>0</v>
      </c>
      <c r="G55" s="134">
        <v>0</v>
      </c>
      <c r="H55" s="134">
        <f t="shared" si="12"/>
        <v>41545</v>
      </c>
      <c r="I55" s="134">
        <v>-41545</v>
      </c>
      <c r="J55" s="134">
        <f t="shared" si="13"/>
        <v>0</v>
      </c>
      <c r="K55" s="134">
        <v>0</v>
      </c>
      <c r="L55" s="134">
        <v>0</v>
      </c>
      <c r="M55" s="134">
        <f t="shared" si="14"/>
        <v>0</v>
      </c>
      <c r="N55" s="134">
        <f t="shared" si="15"/>
        <v>0</v>
      </c>
    </row>
    <row r="56" spans="1:14" s="125" customFormat="1" ht="31" outlineLevel="1" x14ac:dyDescent="0.35">
      <c r="A56" s="141" t="s">
        <v>667</v>
      </c>
      <c r="B56" s="108" t="s">
        <v>198</v>
      </c>
      <c r="C56" s="134">
        <v>61337</v>
      </c>
      <c r="D56" s="134">
        <v>-1060</v>
      </c>
      <c r="E56" s="134">
        <v>0</v>
      </c>
      <c r="F56" s="134">
        <v>0</v>
      </c>
      <c r="G56" s="134">
        <v>0</v>
      </c>
      <c r="H56" s="134">
        <f t="shared" si="12"/>
        <v>60277</v>
      </c>
      <c r="I56" s="134">
        <v>-60277</v>
      </c>
      <c r="J56" s="134">
        <f t="shared" si="13"/>
        <v>0</v>
      </c>
      <c r="K56" s="134">
        <v>0</v>
      </c>
      <c r="L56" s="134">
        <v>0</v>
      </c>
      <c r="M56" s="134">
        <f t="shared" si="14"/>
        <v>0</v>
      </c>
      <c r="N56" s="134">
        <f t="shared" si="15"/>
        <v>0</v>
      </c>
    </row>
    <row r="57" spans="1:14" s="125" customFormat="1" ht="31" outlineLevel="2" x14ac:dyDescent="0.35">
      <c r="A57" s="141" t="s">
        <v>667</v>
      </c>
      <c r="B57" s="108" t="s">
        <v>197</v>
      </c>
      <c r="C57" s="134">
        <v>44506</v>
      </c>
      <c r="D57" s="134">
        <v>-1159</v>
      </c>
      <c r="E57" s="134">
        <v>0</v>
      </c>
      <c r="F57" s="134">
        <v>0</v>
      </c>
      <c r="G57" s="134">
        <v>0</v>
      </c>
      <c r="H57" s="134">
        <f t="shared" si="12"/>
        <v>43347</v>
      </c>
      <c r="I57" s="134">
        <v>-43347</v>
      </c>
      <c r="J57" s="134">
        <f t="shared" si="13"/>
        <v>0</v>
      </c>
      <c r="K57" s="134">
        <v>0</v>
      </c>
      <c r="L57" s="134">
        <v>0</v>
      </c>
      <c r="M57" s="134">
        <f t="shared" si="14"/>
        <v>0</v>
      </c>
      <c r="N57" s="134">
        <f t="shared" si="15"/>
        <v>0</v>
      </c>
    </row>
    <row r="58" spans="1:14" s="125" customFormat="1" ht="16" outlineLevel="2" thickBot="1" x14ac:dyDescent="0.4">
      <c r="A58" s="105" t="s">
        <v>632</v>
      </c>
      <c r="B58" s="133" t="s">
        <v>12</v>
      </c>
      <c r="C58" s="78">
        <f>SUBTOTAL(109,Program287[(C)
Program
Costs])</f>
        <v>591402</v>
      </c>
      <c r="D58" s="78">
        <f>SUBTOTAL(109,Program287[(D)
Prior Period Adjustments])</f>
        <v>-8550</v>
      </c>
      <c r="E58" s="78">
        <f>SUBTOTAL(109,Program287[(E)
Current Period Desk 
Reviews])</f>
        <v>0</v>
      </c>
      <c r="F58" s="78">
        <f>SUBTOTAL(109,Program287[(F)
Current Period 
Final 
Audits])</f>
        <v>0</v>
      </c>
      <c r="G58" s="78">
        <f>SUBTOTAL(109,Program287[(G)
Current Period 
Other Adjustments])</f>
        <v>0</v>
      </c>
      <c r="H58" s="78">
        <f>SUBTOTAL(109,Program287[(H)
Net Program Costs
Sum (C through G)])</f>
        <v>582852</v>
      </c>
      <c r="I58" s="78">
        <f>SUBTOTAL(109,Program287[(I)
Payments
 and Offsets])</f>
        <v>-574109</v>
      </c>
      <c r="J58" s="78">
        <f>SUBTOTAL(109,Program287[(J)
Accounts Payable Balance
(H + I)])</f>
        <v>8743</v>
      </c>
      <c r="K58" s="78">
        <f>SUBTOTAL(109,Program287[(K)
Established 
Accounts Receivable])</f>
        <v>0</v>
      </c>
      <c r="L58" s="78">
        <f>SUBTOTAL(109,Program287[(L)
Recovered
 Accounts Receivable])</f>
        <v>0</v>
      </c>
      <c r="M58" s="78">
        <f>SUBTOTAL(109,Program287[(M)
Accounts Receivable Balance
(K + L)])</f>
        <v>0</v>
      </c>
      <c r="N58" s="78">
        <f>SUBTOTAL(109,Program287[(N)
Net Balance
(J minus M)])</f>
        <v>8743</v>
      </c>
    </row>
    <row r="59" spans="1:14" s="125" customFormat="1" outlineLevel="2" x14ac:dyDescent="0.35">
      <c r="A59" s="116" t="s">
        <v>33</v>
      </c>
      <c r="B59" s="115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</row>
    <row r="60" spans="1:14" s="125" customFormat="1" ht="77.5" outlineLevel="2" x14ac:dyDescent="0.35">
      <c r="A60" s="60" t="s">
        <v>185</v>
      </c>
      <c r="B60" s="59" t="s">
        <v>184</v>
      </c>
      <c r="C60" s="58" t="s">
        <v>183</v>
      </c>
      <c r="D60" s="58" t="s">
        <v>182</v>
      </c>
      <c r="E60" s="56" t="s">
        <v>181</v>
      </c>
      <c r="F60" s="56" t="s">
        <v>180</v>
      </c>
      <c r="G60" s="56" t="s">
        <v>179</v>
      </c>
      <c r="H60" s="57" t="s">
        <v>674</v>
      </c>
      <c r="I60" s="55" t="s">
        <v>178</v>
      </c>
      <c r="J60" s="55" t="s">
        <v>177</v>
      </c>
      <c r="K60" s="56" t="s">
        <v>176</v>
      </c>
      <c r="L60" s="55" t="s">
        <v>175</v>
      </c>
      <c r="M60" s="55" t="s">
        <v>174</v>
      </c>
      <c r="N60" s="54" t="s">
        <v>173</v>
      </c>
    </row>
    <row r="61" spans="1:14" s="125" customFormat="1" ht="31" outlineLevel="2" x14ac:dyDescent="0.35">
      <c r="A61" s="141" t="s">
        <v>666</v>
      </c>
      <c r="B61" s="108" t="s">
        <v>219</v>
      </c>
      <c r="C61" s="134">
        <v>55538</v>
      </c>
      <c r="D61" s="134">
        <v>-817</v>
      </c>
      <c r="E61" s="134">
        <v>0</v>
      </c>
      <c r="F61" s="134">
        <v>0</v>
      </c>
      <c r="G61" s="134">
        <v>0</v>
      </c>
      <c r="H61" s="134">
        <f t="shared" ref="H61:H81" si="16">SUM(C61:G61)</f>
        <v>54721</v>
      </c>
      <c r="I61" s="134">
        <v>-8356</v>
      </c>
      <c r="J61" s="134">
        <f t="shared" ref="J61:J81" si="17">H61+I61</f>
        <v>46365</v>
      </c>
      <c r="K61" s="134">
        <v>0</v>
      </c>
      <c r="L61" s="134">
        <v>0</v>
      </c>
      <c r="M61" s="134">
        <f t="shared" ref="M61:M81" si="18">K61+L61</f>
        <v>0</v>
      </c>
      <c r="N61" s="134">
        <f t="shared" ref="N61:N81" si="19">J61-M61</f>
        <v>46365</v>
      </c>
    </row>
    <row r="62" spans="1:14" s="125" customFormat="1" ht="31" outlineLevel="2" x14ac:dyDescent="0.35">
      <c r="A62" s="141" t="s">
        <v>666</v>
      </c>
      <c r="B62" s="108" t="s">
        <v>218</v>
      </c>
      <c r="C62" s="134">
        <v>499939</v>
      </c>
      <c r="D62" s="134">
        <v>-10998</v>
      </c>
      <c r="E62" s="134">
        <v>0</v>
      </c>
      <c r="F62" s="134">
        <v>0</v>
      </c>
      <c r="G62" s="134">
        <v>0</v>
      </c>
      <c r="H62" s="134">
        <f t="shared" si="16"/>
        <v>488941</v>
      </c>
      <c r="I62" s="134">
        <v>-439154</v>
      </c>
      <c r="J62" s="134">
        <f t="shared" si="17"/>
        <v>49787</v>
      </c>
      <c r="K62" s="134">
        <v>0</v>
      </c>
      <c r="L62" s="134">
        <v>0</v>
      </c>
      <c r="M62" s="134">
        <f t="shared" si="18"/>
        <v>0</v>
      </c>
      <c r="N62" s="134">
        <f t="shared" si="19"/>
        <v>49787</v>
      </c>
    </row>
    <row r="63" spans="1:14" s="125" customFormat="1" ht="31" outlineLevel="2" x14ac:dyDescent="0.35">
      <c r="A63" s="141" t="s">
        <v>666</v>
      </c>
      <c r="B63" s="108" t="s">
        <v>209</v>
      </c>
      <c r="C63" s="134">
        <v>389697</v>
      </c>
      <c r="D63" s="134">
        <v>-156544</v>
      </c>
      <c r="E63" s="134">
        <v>0</v>
      </c>
      <c r="F63" s="134">
        <v>0</v>
      </c>
      <c r="G63" s="134">
        <v>0</v>
      </c>
      <c r="H63" s="134">
        <f t="shared" si="16"/>
        <v>233153</v>
      </c>
      <c r="I63" s="134">
        <v>-161629</v>
      </c>
      <c r="J63" s="134">
        <f t="shared" si="17"/>
        <v>71524</v>
      </c>
      <c r="K63" s="134">
        <v>0</v>
      </c>
      <c r="L63" s="134">
        <v>0</v>
      </c>
      <c r="M63" s="134">
        <f t="shared" si="18"/>
        <v>0</v>
      </c>
      <c r="N63" s="134">
        <f t="shared" si="19"/>
        <v>71524</v>
      </c>
    </row>
    <row r="64" spans="1:14" s="125" customFormat="1" ht="31" outlineLevel="2" x14ac:dyDescent="0.35">
      <c r="A64" s="141" t="s">
        <v>666</v>
      </c>
      <c r="B64" s="108" t="s">
        <v>208</v>
      </c>
      <c r="C64" s="134">
        <v>3701922</v>
      </c>
      <c r="D64" s="134">
        <v>-57572</v>
      </c>
      <c r="E64" s="134">
        <v>0</v>
      </c>
      <c r="F64" s="134">
        <v>0</v>
      </c>
      <c r="G64" s="134">
        <v>0</v>
      </c>
      <c r="H64" s="134">
        <f t="shared" si="16"/>
        <v>3644350</v>
      </c>
      <c r="I64" s="134">
        <v>-3393229</v>
      </c>
      <c r="J64" s="134">
        <f t="shared" si="17"/>
        <v>251121</v>
      </c>
      <c r="K64" s="134">
        <v>0</v>
      </c>
      <c r="L64" s="134">
        <v>0</v>
      </c>
      <c r="M64" s="134">
        <f t="shared" si="18"/>
        <v>0</v>
      </c>
      <c r="N64" s="134">
        <f t="shared" si="19"/>
        <v>251121</v>
      </c>
    </row>
    <row r="65" spans="1:14" s="125" customFormat="1" ht="31" outlineLevel="2" x14ac:dyDescent="0.35">
      <c r="A65" s="141" t="s">
        <v>666</v>
      </c>
      <c r="B65" s="108" t="s">
        <v>206</v>
      </c>
      <c r="C65" s="134">
        <v>4306698</v>
      </c>
      <c r="D65" s="134">
        <v>-502459</v>
      </c>
      <c r="E65" s="134">
        <v>0</v>
      </c>
      <c r="F65" s="134">
        <v>0</v>
      </c>
      <c r="G65" s="134">
        <v>0</v>
      </c>
      <c r="H65" s="134">
        <f t="shared" si="16"/>
        <v>3804239</v>
      </c>
      <c r="I65" s="134">
        <v>-3628460</v>
      </c>
      <c r="J65" s="134">
        <f t="shared" si="17"/>
        <v>175779</v>
      </c>
      <c r="K65" s="134">
        <v>0</v>
      </c>
      <c r="L65" s="134">
        <v>0</v>
      </c>
      <c r="M65" s="134">
        <f t="shared" si="18"/>
        <v>0</v>
      </c>
      <c r="N65" s="134">
        <f t="shared" si="19"/>
        <v>175779</v>
      </c>
    </row>
    <row r="66" spans="1:14" s="125" customFormat="1" ht="31" outlineLevel="2" x14ac:dyDescent="0.35">
      <c r="A66" s="141" t="s">
        <v>666</v>
      </c>
      <c r="B66" s="108" t="s">
        <v>205</v>
      </c>
      <c r="C66" s="134">
        <v>5746296</v>
      </c>
      <c r="D66" s="134">
        <v>-1178490</v>
      </c>
      <c r="E66" s="134">
        <v>0</v>
      </c>
      <c r="F66" s="134">
        <v>0</v>
      </c>
      <c r="G66" s="134">
        <v>0</v>
      </c>
      <c r="H66" s="134">
        <f t="shared" si="16"/>
        <v>4567806</v>
      </c>
      <c r="I66" s="134">
        <v>-4329618</v>
      </c>
      <c r="J66" s="134">
        <f t="shared" si="17"/>
        <v>238188</v>
      </c>
      <c r="K66" s="134">
        <v>4602</v>
      </c>
      <c r="L66" s="134">
        <v>0</v>
      </c>
      <c r="M66" s="134">
        <f t="shared" si="18"/>
        <v>4602</v>
      </c>
      <c r="N66" s="134">
        <f t="shared" si="19"/>
        <v>233586</v>
      </c>
    </row>
    <row r="67" spans="1:14" s="125" customFormat="1" ht="31" outlineLevel="2" x14ac:dyDescent="0.35">
      <c r="A67" s="141" t="s">
        <v>666</v>
      </c>
      <c r="B67" s="108" t="s">
        <v>204</v>
      </c>
      <c r="C67" s="134">
        <v>5478620</v>
      </c>
      <c r="D67" s="134">
        <v>-635387</v>
      </c>
      <c r="E67" s="134">
        <v>0</v>
      </c>
      <c r="F67" s="134">
        <v>0</v>
      </c>
      <c r="G67" s="134">
        <v>0</v>
      </c>
      <c r="H67" s="134">
        <f t="shared" si="16"/>
        <v>4843233</v>
      </c>
      <c r="I67" s="134">
        <v>-4456303</v>
      </c>
      <c r="J67" s="134">
        <f t="shared" si="17"/>
        <v>386930</v>
      </c>
      <c r="K67" s="134">
        <v>0</v>
      </c>
      <c r="L67" s="134">
        <v>0</v>
      </c>
      <c r="M67" s="134">
        <f t="shared" si="18"/>
        <v>0</v>
      </c>
      <c r="N67" s="134">
        <f t="shared" si="19"/>
        <v>386930</v>
      </c>
    </row>
    <row r="68" spans="1:14" s="125" customFormat="1" ht="31" outlineLevel="2" x14ac:dyDescent="0.35">
      <c r="A68" s="141" t="s">
        <v>666</v>
      </c>
      <c r="B68" s="108" t="s">
        <v>203</v>
      </c>
      <c r="C68" s="134">
        <v>6523744</v>
      </c>
      <c r="D68" s="134">
        <v>-958997</v>
      </c>
      <c r="E68" s="134">
        <v>0</v>
      </c>
      <c r="F68" s="134">
        <v>0</v>
      </c>
      <c r="G68" s="134">
        <v>0</v>
      </c>
      <c r="H68" s="134">
        <f t="shared" si="16"/>
        <v>5564747</v>
      </c>
      <c r="I68" s="134">
        <v>-5268364</v>
      </c>
      <c r="J68" s="134">
        <f t="shared" si="17"/>
        <v>296383</v>
      </c>
      <c r="K68" s="134">
        <v>87483</v>
      </c>
      <c r="L68" s="134">
        <v>-87483</v>
      </c>
      <c r="M68" s="134">
        <f t="shared" si="18"/>
        <v>0</v>
      </c>
      <c r="N68" s="134">
        <f t="shared" si="19"/>
        <v>296383</v>
      </c>
    </row>
    <row r="69" spans="1:14" s="125" customFormat="1" ht="31" outlineLevel="2" x14ac:dyDescent="0.35">
      <c r="A69" s="141" t="s">
        <v>666</v>
      </c>
      <c r="B69" s="108" t="s">
        <v>202</v>
      </c>
      <c r="C69" s="134">
        <v>6306735</v>
      </c>
      <c r="D69" s="134">
        <v>-642433</v>
      </c>
      <c r="E69" s="134">
        <v>0</v>
      </c>
      <c r="F69" s="134">
        <v>0</v>
      </c>
      <c r="G69" s="134">
        <v>0</v>
      </c>
      <c r="H69" s="134">
        <f t="shared" si="16"/>
        <v>5664302</v>
      </c>
      <c r="I69" s="134">
        <v>-5664302</v>
      </c>
      <c r="J69" s="134">
        <f t="shared" si="17"/>
        <v>0</v>
      </c>
      <c r="K69" s="134">
        <v>36197</v>
      </c>
      <c r="L69" s="134">
        <v>-36197</v>
      </c>
      <c r="M69" s="134">
        <f t="shared" si="18"/>
        <v>0</v>
      </c>
      <c r="N69" s="134">
        <f t="shared" si="19"/>
        <v>0</v>
      </c>
    </row>
    <row r="70" spans="1:14" s="125" customFormat="1" ht="31" outlineLevel="2" x14ac:dyDescent="0.35">
      <c r="A70" s="141" t="s">
        <v>666</v>
      </c>
      <c r="B70" s="108" t="s">
        <v>201</v>
      </c>
      <c r="C70" s="134">
        <v>6212694</v>
      </c>
      <c r="D70" s="134">
        <v>-1264113</v>
      </c>
      <c r="E70" s="134">
        <v>0</v>
      </c>
      <c r="F70" s="134">
        <v>0</v>
      </c>
      <c r="G70" s="134">
        <v>0</v>
      </c>
      <c r="H70" s="134">
        <f t="shared" si="16"/>
        <v>4948581</v>
      </c>
      <c r="I70" s="134">
        <v>-4948581</v>
      </c>
      <c r="J70" s="134">
        <f t="shared" si="17"/>
        <v>0</v>
      </c>
      <c r="K70" s="134">
        <v>10557</v>
      </c>
      <c r="L70" s="134">
        <v>-10557</v>
      </c>
      <c r="M70" s="134">
        <f t="shared" si="18"/>
        <v>0</v>
      </c>
      <c r="N70" s="134">
        <f t="shared" si="19"/>
        <v>0</v>
      </c>
    </row>
    <row r="71" spans="1:14" s="125" customFormat="1" ht="31" outlineLevel="2" x14ac:dyDescent="0.35">
      <c r="A71" s="141" t="s">
        <v>666</v>
      </c>
      <c r="B71" s="108" t="s">
        <v>200</v>
      </c>
      <c r="C71" s="134">
        <v>7806456</v>
      </c>
      <c r="D71" s="134">
        <v>-529197</v>
      </c>
      <c r="E71" s="134">
        <v>0</v>
      </c>
      <c r="F71" s="134">
        <v>0</v>
      </c>
      <c r="G71" s="134">
        <v>0</v>
      </c>
      <c r="H71" s="134">
        <f t="shared" si="16"/>
        <v>7277259</v>
      </c>
      <c r="I71" s="134">
        <v>-7277259</v>
      </c>
      <c r="J71" s="134">
        <f t="shared" si="17"/>
        <v>0</v>
      </c>
      <c r="K71" s="134">
        <v>0</v>
      </c>
      <c r="L71" s="134">
        <v>0</v>
      </c>
      <c r="M71" s="134">
        <f t="shared" si="18"/>
        <v>0</v>
      </c>
      <c r="N71" s="134">
        <f t="shared" si="19"/>
        <v>0</v>
      </c>
    </row>
    <row r="72" spans="1:14" s="125" customFormat="1" ht="31" outlineLevel="2" x14ac:dyDescent="0.35">
      <c r="A72" s="141" t="s">
        <v>666</v>
      </c>
      <c r="B72" s="108" t="s">
        <v>199</v>
      </c>
      <c r="C72" s="134">
        <v>8081212</v>
      </c>
      <c r="D72" s="134">
        <v>-609955</v>
      </c>
      <c r="E72" s="134">
        <v>0</v>
      </c>
      <c r="F72" s="134">
        <v>0</v>
      </c>
      <c r="G72" s="134">
        <v>0</v>
      </c>
      <c r="H72" s="134">
        <f t="shared" si="16"/>
        <v>7471257</v>
      </c>
      <c r="I72" s="134">
        <v>-7471257</v>
      </c>
      <c r="J72" s="134">
        <f t="shared" si="17"/>
        <v>0</v>
      </c>
      <c r="K72" s="134">
        <v>0</v>
      </c>
      <c r="L72" s="134">
        <v>0</v>
      </c>
      <c r="M72" s="134">
        <f t="shared" si="18"/>
        <v>0</v>
      </c>
      <c r="N72" s="134">
        <f t="shared" si="19"/>
        <v>0</v>
      </c>
    </row>
    <row r="73" spans="1:14" s="125" customFormat="1" ht="31" outlineLevel="2" x14ac:dyDescent="0.35">
      <c r="A73" s="141" t="s">
        <v>666</v>
      </c>
      <c r="B73" s="108" t="s">
        <v>198</v>
      </c>
      <c r="C73" s="134">
        <v>8297802</v>
      </c>
      <c r="D73" s="134">
        <v>-456633</v>
      </c>
      <c r="E73" s="134">
        <v>0</v>
      </c>
      <c r="F73" s="134">
        <v>0</v>
      </c>
      <c r="G73" s="134">
        <v>0</v>
      </c>
      <c r="H73" s="134">
        <f t="shared" si="16"/>
        <v>7841169</v>
      </c>
      <c r="I73" s="134">
        <v>-7841169</v>
      </c>
      <c r="J73" s="134">
        <f t="shared" si="17"/>
        <v>0</v>
      </c>
      <c r="K73" s="134">
        <v>595489</v>
      </c>
      <c r="L73" s="134">
        <v>-371172</v>
      </c>
      <c r="M73" s="134">
        <f t="shared" si="18"/>
        <v>224317</v>
      </c>
      <c r="N73" s="134">
        <f t="shared" si="19"/>
        <v>-224317</v>
      </c>
    </row>
    <row r="74" spans="1:14" s="125" customFormat="1" ht="31" outlineLevel="2" x14ac:dyDescent="0.35">
      <c r="A74" s="141" t="s">
        <v>666</v>
      </c>
      <c r="B74" s="108" t="s">
        <v>197</v>
      </c>
      <c r="C74" s="134">
        <v>9289780</v>
      </c>
      <c r="D74" s="134">
        <v>-178225</v>
      </c>
      <c r="E74" s="134">
        <v>0</v>
      </c>
      <c r="F74" s="134">
        <v>0</v>
      </c>
      <c r="G74" s="134">
        <v>0</v>
      </c>
      <c r="H74" s="134">
        <f t="shared" si="16"/>
        <v>9111555</v>
      </c>
      <c r="I74" s="134">
        <v>-9111555</v>
      </c>
      <c r="J74" s="134">
        <f t="shared" si="17"/>
        <v>0</v>
      </c>
      <c r="K74" s="134">
        <v>974170</v>
      </c>
      <c r="L74" s="134">
        <v>-940305</v>
      </c>
      <c r="M74" s="134">
        <f t="shared" si="18"/>
        <v>33865</v>
      </c>
      <c r="N74" s="134">
        <f t="shared" si="19"/>
        <v>-33865</v>
      </c>
    </row>
    <row r="75" spans="1:14" s="125" customFormat="1" ht="31" outlineLevel="2" x14ac:dyDescent="0.35">
      <c r="A75" s="141" t="s">
        <v>666</v>
      </c>
      <c r="B75" s="108" t="s">
        <v>196</v>
      </c>
      <c r="C75" s="134">
        <v>8631354</v>
      </c>
      <c r="D75" s="134">
        <v>-242680</v>
      </c>
      <c r="E75" s="134">
        <v>0</v>
      </c>
      <c r="F75" s="134">
        <v>0</v>
      </c>
      <c r="G75" s="134">
        <v>0</v>
      </c>
      <c r="H75" s="134">
        <f t="shared" si="16"/>
        <v>8388674</v>
      </c>
      <c r="I75" s="134">
        <v>-8388674</v>
      </c>
      <c r="J75" s="134">
        <f t="shared" si="17"/>
        <v>0</v>
      </c>
      <c r="K75" s="134">
        <v>381699</v>
      </c>
      <c r="L75" s="134">
        <v>-381699</v>
      </c>
      <c r="M75" s="134">
        <f t="shared" si="18"/>
        <v>0</v>
      </c>
      <c r="N75" s="134">
        <f t="shared" si="19"/>
        <v>0</v>
      </c>
    </row>
    <row r="76" spans="1:14" s="125" customFormat="1" ht="31" outlineLevel="2" x14ac:dyDescent="0.35">
      <c r="A76" s="141" t="s">
        <v>666</v>
      </c>
      <c r="B76" s="108" t="s">
        <v>195</v>
      </c>
      <c r="C76" s="134">
        <v>8033652</v>
      </c>
      <c r="D76" s="134">
        <v>-65339</v>
      </c>
      <c r="E76" s="134">
        <v>0</v>
      </c>
      <c r="F76" s="134">
        <v>0</v>
      </c>
      <c r="G76" s="134">
        <v>0</v>
      </c>
      <c r="H76" s="134">
        <f t="shared" si="16"/>
        <v>7968313</v>
      </c>
      <c r="I76" s="134">
        <v>-7968313</v>
      </c>
      <c r="J76" s="134">
        <f t="shared" si="17"/>
        <v>0</v>
      </c>
      <c r="K76" s="134">
        <v>380799</v>
      </c>
      <c r="L76" s="134">
        <v>-380799</v>
      </c>
      <c r="M76" s="134">
        <f t="shared" si="18"/>
        <v>0</v>
      </c>
      <c r="N76" s="134">
        <f t="shared" si="19"/>
        <v>0</v>
      </c>
    </row>
    <row r="77" spans="1:14" s="136" customFormat="1" ht="31" outlineLevel="1" x14ac:dyDescent="0.35">
      <c r="A77" s="141" t="s">
        <v>666</v>
      </c>
      <c r="B77" s="108" t="s">
        <v>194</v>
      </c>
      <c r="C77" s="134">
        <v>1392741</v>
      </c>
      <c r="D77" s="134">
        <v>-63495</v>
      </c>
      <c r="E77" s="134">
        <v>0</v>
      </c>
      <c r="F77" s="134">
        <v>0</v>
      </c>
      <c r="G77" s="134">
        <v>0</v>
      </c>
      <c r="H77" s="134">
        <f t="shared" si="16"/>
        <v>1329246</v>
      </c>
      <c r="I77" s="134">
        <v>-1329246</v>
      </c>
      <c r="J77" s="134">
        <f t="shared" si="17"/>
        <v>0</v>
      </c>
      <c r="K77" s="134">
        <v>63495</v>
      </c>
      <c r="L77" s="134">
        <v>-63495</v>
      </c>
      <c r="M77" s="134">
        <f t="shared" si="18"/>
        <v>0</v>
      </c>
      <c r="N77" s="134">
        <f t="shared" si="19"/>
        <v>0</v>
      </c>
    </row>
    <row r="78" spans="1:14" s="100" customFormat="1" ht="30" customHeight="1" outlineLevel="1" x14ac:dyDescent="0.35">
      <c r="A78" s="141" t="s">
        <v>666</v>
      </c>
      <c r="B78" s="108" t="s">
        <v>193</v>
      </c>
      <c r="C78" s="134">
        <v>2133308</v>
      </c>
      <c r="D78" s="134">
        <v>-680391</v>
      </c>
      <c r="E78" s="134">
        <v>0</v>
      </c>
      <c r="F78" s="134">
        <v>0</v>
      </c>
      <c r="G78" s="134">
        <v>0</v>
      </c>
      <c r="H78" s="134">
        <f t="shared" si="16"/>
        <v>1452917</v>
      </c>
      <c r="I78" s="134">
        <v>-1452917</v>
      </c>
      <c r="J78" s="134">
        <f t="shared" si="17"/>
        <v>0</v>
      </c>
      <c r="K78" s="134">
        <v>550342</v>
      </c>
      <c r="L78" s="134">
        <v>-550342</v>
      </c>
      <c r="M78" s="134">
        <f t="shared" si="18"/>
        <v>0</v>
      </c>
      <c r="N78" s="134">
        <f t="shared" si="19"/>
        <v>0</v>
      </c>
    </row>
    <row r="79" spans="1:14" s="125" customFormat="1" ht="31" outlineLevel="1" x14ac:dyDescent="0.35">
      <c r="A79" s="141" t="s">
        <v>666</v>
      </c>
      <c r="B79" s="108" t="s">
        <v>192</v>
      </c>
      <c r="C79" s="134">
        <v>539049</v>
      </c>
      <c r="D79" s="134">
        <v>-347737</v>
      </c>
      <c r="E79" s="134">
        <v>0</v>
      </c>
      <c r="F79" s="134">
        <v>0</v>
      </c>
      <c r="G79" s="134">
        <v>0</v>
      </c>
      <c r="H79" s="134">
        <f t="shared" si="16"/>
        <v>191312</v>
      </c>
      <c r="I79" s="134">
        <v>-191312</v>
      </c>
      <c r="J79" s="134">
        <f t="shared" si="17"/>
        <v>0</v>
      </c>
      <c r="K79" s="134">
        <v>0</v>
      </c>
      <c r="L79" s="134">
        <v>0</v>
      </c>
      <c r="M79" s="134">
        <f t="shared" si="18"/>
        <v>0</v>
      </c>
      <c r="N79" s="134">
        <f t="shared" si="19"/>
        <v>0</v>
      </c>
    </row>
    <row r="80" spans="1:14" s="125" customFormat="1" ht="31" outlineLevel="2" x14ac:dyDescent="0.35">
      <c r="A80" s="141" t="s">
        <v>666</v>
      </c>
      <c r="B80" s="108" t="s">
        <v>191</v>
      </c>
      <c r="C80" s="134">
        <v>1372430</v>
      </c>
      <c r="D80" s="134">
        <v>-200414</v>
      </c>
      <c r="E80" s="134">
        <v>0</v>
      </c>
      <c r="F80" s="134">
        <v>0</v>
      </c>
      <c r="G80" s="134">
        <v>0</v>
      </c>
      <c r="H80" s="134">
        <f t="shared" si="16"/>
        <v>1172016</v>
      </c>
      <c r="I80" s="134">
        <v>-1172016</v>
      </c>
      <c r="J80" s="134">
        <f t="shared" si="17"/>
        <v>0</v>
      </c>
      <c r="K80" s="134">
        <v>6719</v>
      </c>
      <c r="L80" s="134">
        <v>-6719</v>
      </c>
      <c r="M80" s="134">
        <f t="shared" si="18"/>
        <v>0</v>
      </c>
      <c r="N80" s="134">
        <f t="shared" si="19"/>
        <v>0</v>
      </c>
    </row>
    <row r="81" spans="1:14" s="125" customFormat="1" ht="31" outlineLevel="2" x14ac:dyDescent="0.35">
      <c r="A81" s="141" t="s">
        <v>666</v>
      </c>
      <c r="B81" s="108" t="s">
        <v>190</v>
      </c>
      <c r="C81" s="134">
        <v>4447317</v>
      </c>
      <c r="D81" s="134">
        <v>0</v>
      </c>
      <c r="E81" s="134">
        <v>0</v>
      </c>
      <c r="F81" s="134">
        <v>0</v>
      </c>
      <c r="G81" s="134">
        <v>0</v>
      </c>
      <c r="H81" s="134">
        <f t="shared" si="16"/>
        <v>4447317</v>
      </c>
      <c r="I81" s="134">
        <v>-4447317</v>
      </c>
      <c r="J81" s="134">
        <f t="shared" si="17"/>
        <v>0</v>
      </c>
      <c r="K81" s="134">
        <v>282560</v>
      </c>
      <c r="L81" s="134">
        <v>-282560</v>
      </c>
      <c r="M81" s="134">
        <f t="shared" si="18"/>
        <v>0</v>
      </c>
      <c r="N81" s="134">
        <f t="shared" si="19"/>
        <v>0</v>
      </c>
    </row>
    <row r="82" spans="1:14" s="125" customFormat="1" ht="16" outlineLevel="2" thickBot="1" x14ac:dyDescent="0.4">
      <c r="A82" s="105" t="s">
        <v>631</v>
      </c>
      <c r="B82" s="133" t="s">
        <v>12</v>
      </c>
      <c r="C82" s="78">
        <f>SUBTOTAL(109,Program232[(C)
Program
Costs])</f>
        <v>99246984</v>
      </c>
      <c r="D82" s="78">
        <f>SUBTOTAL(109,Program232[(D)
Prior Period Adjustments])</f>
        <v>-8781876</v>
      </c>
      <c r="E82" s="78">
        <f>SUBTOTAL(109,Program232[(E)
Current Period Desk 
Reviews])</f>
        <v>0</v>
      </c>
      <c r="F82" s="78">
        <f>SUBTOTAL(109,Program232[(F)
Current Period 
Final 
Audits])</f>
        <v>0</v>
      </c>
      <c r="G82" s="78">
        <f>SUBTOTAL(109,Program232[(G)
Current Period 
Other Adjustments])</f>
        <v>0</v>
      </c>
      <c r="H82" s="78">
        <f>SUBTOTAL(109,Program232[(H)
Net Program Costs
Sum (C through G)])</f>
        <v>90465108</v>
      </c>
      <c r="I82" s="78">
        <f>SUBTOTAL(109,Program232[(I)
Payments
 and Offsets])</f>
        <v>-88949031</v>
      </c>
      <c r="J82" s="78">
        <f>SUBTOTAL(109,Program232[(J)
Accounts Payable Balance
(H + I)])</f>
        <v>1516077</v>
      </c>
      <c r="K82" s="78">
        <f>SUBTOTAL(109,Program232[(K)
Established 
Accounts Receivable])</f>
        <v>3374112</v>
      </c>
      <c r="L82" s="78">
        <f>SUBTOTAL(109,Program232[(L)
Recovered
 Accounts Receivable])</f>
        <v>-3111328</v>
      </c>
      <c r="M82" s="78">
        <f>SUBTOTAL(109,Program232[(M)
Accounts Receivable Balance
(K + L)])</f>
        <v>262784</v>
      </c>
      <c r="N82" s="78">
        <f>SUBTOTAL(109,Program232[(N)
Net Balance
(J minus M)])</f>
        <v>1253293</v>
      </c>
    </row>
    <row r="83" spans="1:14" s="125" customFormat="1" outlineLevel="2" x14ac:dyDescent="0.35">
      <c r="A83" s="116" t="s">
        <v>33</v>
      </c>
      <c r="B83" s="115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</row>
    <row r="84" spans="1:14" s="125" customFormat="1" ht="77.5" outlineLevel="2" x14ac:dyDescent="0.35">
      <c r="A84" s="60" t="s">
        <v>185</v>
      </c>
      <c r="B84" s="59" t="s">
        <v>184</v>
      </c>
      <c r="C84" s="58" t="s">
        <v>183</v>
      </c>
      <c r="D84" s="58" t="s">
        <v>182</v>
      </c>
      <c r="E84" s="56" t="s">
        <v>181</v>
      </c>
      <c r="F84" s="56" t="s">
        <v>180</v>
      </c>
      <c r="G84" s="56" t="s">
        <v>179</v>
      </c>
      <c r="H84" s="57" t="s">
        <v>674</v>
      </c>
      <c r="I84" s="55" t="s">
        <v>178</v>
      </c>
      <c r="J84" s="55" t="s">
        <v>177</v>
      </c>
      <c r="K84" s="56" t="s">
        <v>176</v>
      </c>
      <c r="L84" s="55" t="s">
        <v>175</v>
      </c>
      <c r="M84" s="55" t="s">
        <v>174</v>
      </c>
      <c r="N84" s="54" t="s">
        <v>173</v>
      </c>
    </row>
    <row r="85" spans="1:14" s="125" customFormat="1" outlineLevel="2" x14ac:dyDescent="0.35">
      <c r="A85" s="135" t="s">
        <v>665</v>
      </c>
      <c r="B85" s="108" t="s">
        <v>208</v>
      </c>
      <c r="C85" s="134">
        <v>147278</v>
      </c>
      <c r="D85" s="134">
        <v>-5308</v>
      </c>
      <c r="E85" s="134">
        <v>0</v>
      </c>
      <c r="F85" s="134">
        <v>0</v>
      </c>
      <c r="G85" s="134">
        <v>0</v>
      </c>
      <c r="H85" s="134">
        <f t="shared" ref="H85:H95" si="20">SUM(C85:G85)</f>
        <v>141970</v>
      </c>
      <c r="I85" s="134">
        <v>-64245</v>
      </c>
      <c r="J85" s="134">
        <f t="shared" ref="J85:J95" si="21">H85+I85</f>
        <v>77725</v>
      </c>
      <c r="K85" s="134">
        <v>0</v>
      </c>
      <c r="L85" s="134">
        <v>0</v>
      </c>
      <c r="M85" s="134">
        <f t="shared" ref="M85:M95" si="22">K85+L85</f>
        <v>0</v>
      </c>
      <c r="N85" s="134">
        <f t="shared" ref="N85:N95" si="23">J85-M85</f>
        <v>77725</v>
      </c>
    </row>
    <row r="86" spans="1:14" s="125" customFormat="1" outlineLevel="2" x14ac:dyDescent="0.35">
      <c r="A86" s="135" t="s">
        <v>665</v>
      </c>
      <c r="B86" s="108" t="s">
        <v>206</v>
      </c>
      <c r="C86" s="134">
        <v>84270</v>
      </c>
      <c r="D86" s="134">
        <v>-4572</v>
      </c>
      <c r="E86" s="134">
        <v>0</v>
      </c>
      <c r="F86" s="134">
        <v>0</v>
      </c>
      <c r="G86" s="134">
        <v>0</v>
      </c>
      <c r="H86" s="134">
        <f t="shared" si="20"/>
        <v>79698</v>
      </c>
      <c r="I86" s="134">
        <v>-46173</v>
      </c>
      <c r="J86" s="134">
        <f t="shared" si="21"/>
        <v>33525</v>
      </c>
      <c r="K86" s="134">
        <v>0</v>
      </c>
      <c r="L86" s="134">
        <v>0</v>
      </c>
      <c r="M86" s="134">
        <f t="shared" si="22"/>
        <v>0</v>
      </c>
      <c r="N86" s="134">
        <f t="shared" si="23"/>
        <v>33525</v>
      </c>
    </row>
    <row r="87" spans="1:14" s="125" customFormat="1" outlineLevel="2" x14ac:dyDescent="0.35">
      <c r="A87" s="135" t="s">
        <v>665</v>
      </c>
      <c r="B87" s="108" t="s">
        <v>205</v>
      </c>
      <c r="C87" s="134">
        <v>84907</v>
      </c>
      <c r="D87" s="134">
        <v>-4919</v>
      </c>
      <c r="E87" s="134">
        <v>0</v>
      </c>
      <c r="F87" s="134">
        <v>0</v>
      </c>
      <c r="G87" s="134">
        <v>0</v>
      </c>
      <c r="H87" s="134">
        <f t="shared" si="20"/>
        <v>79988</v>
      </c>
      <c r="I87" s="134">
        <v>-39713</v>
      </c>
      <c r="J87" s="134">
        <f t="shared" si="21"/>
        <v>40275</v>
      </c>
      <c r="K87" s="134">
        <v>0</v>
      </c>
      <c r="L87" s="134">
        <v>0</v>
      </c>
      <c r="M87" s="134">
        <f t="shared" si="22"/>
        <v>0</v>
      </c>
      <c r="N87" s="134">
        <f t="shared" si="23"/>
        <v>40275</v>
      </c>
    </row>
    <row r="88" spans="1:14" s="125" customFormat="1" outlineLevel="2" x14ac:dyDescent="0.35">
      <c r="A88" s="135" t="s">
        <v>665</v>
      </c>
      <c r="B88" s="108" t="s">
        <v>204</v>
      </c>
      <c r="C88" s="134">
        <v>95999</v>
      </c>
      <c r="D88" s="134">
        <v>-6191</v>
      </c>
      <c r="E88" s="134">
        <v>0</v>
      </c>
      <c r="F88" s="134">
        <v>0</v>
      </c>
      <c r="G88" s="134">
        <v>0</v>
      </c>
      <c r="H88" s="134">
        <f t="shared" si="20"/>
        <v>89808</v>
      </c>
      <c r="I88" s="134">
        <v>-61908</v>
      </c>
      <c r="J88" s="134">
        <f t="shared" si="21"/>
        <v>27900</v>
      </c>
      <c r="K88" s="134">
        <v>0</v>
      </c>
      <c r="L88" s="134">
        <v>0</v>
      </c>
      <c r="M88" s="134">
        <f t="shared" si="22"/>
        <v>0</v>
      </c>
      <c r="N88" s="134">
        <f t="shared" si="23"/>
        <v>27900</v>
      </c>
    </row>
    <row r="89" spans="1:14" s="125" customFormat="1" outlineLevel="2" x14ac:dyDescent="0.35">
      <c r="A89" s="135" t="s">
        <v>665</v>
      </c>
      <c r="B89" s="108" t="s">
        <v>203</v>
      </c>
      <c r="C89" s="134">
        <v>103604</v>
      </c>
      <c r="D89" s="134">
        <v>-7869</v>
      </c>
      <c r="E89" s="134">
        <v>0</v>
      </c>
      <c r="F89" s="134">
        <v>0</v>
      </c>
      <c r="G89" s="134">
        <v>0</v>
      </c>
      <c r="H89" s="134">
        <f t="shared" si="20"/>
        <v>95735</v>
      </c>
      <c r="I89" s="134">
        <v>-51635</v>
      </c>
      <c r="J89" s="134">
        <f t="shared" si="21"/>
        <v>44100</v>
      </c>
      <c r="K89" s="134">
        <v>0</v>
      </c>
      <c r="L89" s="134">
        <v>0</v>
      </c>
      <c r="M89" s="134">
        <f t="shared" si="22"/>
        <v>0</v>
      </c>
      <c r="N89" s="134">
        <f t="shared" si="23"/>
        <v>44100</v>
      </c>
    </row>
    <row r="90" spans="1:14" s="136" customFormat="1" outlineLevel="1" x14ac:dyDescent="0.35">
      <c r="A90" s="135" t="s">
        <v>665</v>
      </c>
      <c r="B90" s="108" t="s">
        <v>202</v>
      </c>
      <c r="C90" s="134">
        <v>47673</v>
      </c>
      <c r="D90" s="134">
        <v>-2388</v>
      </c>
      <c r="E90" s="134">
        <v>0</v>
      </c>
      <c r="F90" s="134">
        <v>0</v>
      </c>
      <c r="G90" s="134">
        <v>0</v>
      </c>
      <c r="H90" s="134">
        <f t="shared" si="20"/>
        <v>45285</v>
      </c>
      <c r="I90" s="134">
        <v>-45285</v>
      </c>
      <c r="J90" s="134">
        <f t="shared" si="21"/>
        <v>0</v>
      </c>
      <c r="K90" s="134">
        <v>0</v>
      </c>
      <c r="L90" s="134">
        <v>0</v>
      </c>
      <c r="M90" s="134">
        <f t="shared" si="22"/>
        <v>0</v>
      </c>
      <c r="N90" s="134">
        <f t="shared" si="23"/>
        <v>0</v>
      </c>
    </row>
    <row r="91" spans="1:14" s="100" customFormat="1" ht="15" customHeight="1" outlineLevel="1" x14ac:dyDescent="0.35">
      <c r="A91" s="135" t="s">
        <v>665</v>
      </c>
      <c r="B91" s="108" t="s">
        <v>201</v>
      </c>
      <c r="C91" s="134">
        <v>20425</v>
      </c>
      <c r="D91" s="134">
        <v>-354</v>
      </c>
      <c r="E91" s="134">
        <v>0</v>
      </c>
      <c r="F91" s="134">
        <v>0</v>
      </c>
      <c r="G91" s="134">
        <v>0</v>
      </c>
      <c r="H91" s="134">
        <f t="shared" si="20"/>
        <v>20071</v>
      </c>
      <c r="I91" s="134">
        <v>-20071</v>
      </c>
      <c r="J91" s="134">
        <f t="shared" si="21"/>
        <v>0</v>
      </c>
      <c r="K91" s="134">
        <v>0</v>
      </c>
      <c r="L91" s="134">
        <v>0</v>
      </c>
      <c r="M91" s="134">
        <f t="shared" si="22"/>
        <v>0</v>
      </c>
      <c r="N91" s="134">
        <f t="shared" si="23"/>
        <v>0</v>
      </c>
    </row>
    <row r="92" spans="1:14" s="125" customFormat="1" outlineLevel="1" x14ac:dyDescent="0.35">
      <c r="A92" s="135" t="s">
        <v>665</v>
      </c>
      <c r="B92" s="108" t="s">
        <v>200</v>
      </c>
      <c r="C92" s="134">
        <v>16835</v>
      </c>
      <c r="D92" s="134">
        <v>-878</v>
      </c>
      <c r="E92" s="134">
        <v>0</v>
      </c>
      <c r="F92" s="134">
        <v>0</v>
      </c>
      <c r="G92" s="134">
        <v>0</v>
      </c>
      <c r="H92" s="134">
        <f t="shared" si="20"/>
        <v>15957</v>
      </c>
      <c r="I92" s="134">
        <v>-15957</v>
      </c>
      <c r="J92" s="134">
        <f t="shared" si="21"/>
        <v>0</v>
      </c>
      <c r="K92" s="134">
        <v>0</v>
      </c>
      <c r="L92" s="134">
        <v>0</v>
      </c>
      <c r="M92" s="134">
        <f t="shared" si="22"/>
        <v>0</v>
      </c>
      <c r="N92" s="134">
        <f t="shared" si="23"/>
        <v>0</v>
      </c>
    </row>
    <row r="93" spans="1:14" s="125" customFormat="1" outlineLevel="2" x14ac:dyDescent="0.35">
      <c r="A93" s="135" t="s">
        <v>665</v>
      </c>
      <c r="B93" s="108" t="s">
        <v>199</v>
      </c>
      <c r="C93" s="134">
        <v>16653</v>
      </c>
      <c r="D93" s="134">
        <v>-870</v>
      </c>
      <c r="E93" s="134">
        <v>0</v>
      </c>
      <c r="F93" s="134">
        <v>0</v>
      </c>
      <c r="G93" s="134">
        <v>0</v>
      </c>
      <c r="H93" s="134">
        <f t="shared" si="20"/>
        <v>15783</v>
      </c>
      <c r="I93" s="134">
        <v>-15783</v>
      </c>
      <c r="J93" s="134">
        <f t="shared" si="21"/>
        <v>0</v>
      </c>
      <c r="K93" s="134">
        <v>0</v>
      </c>
      <c r="L93" s="134">
        <v>0</v>
      </c>
      <c r="M93" s="134">
        <f t="shared" si="22"/>
        <v>0</v>
      </c>
      <c r="N93" s="134">
        <f t="shared" si="23"/>
        <v>0</v>
      </c>
    </row>
    <row r="94" spans="1:14" s="136" customFormat="1" outlineLevel="1" x14ac:dyDescent="0.35">
      <c r="A94" s="135" t="s">
        <v>665</v>
      </c>
      <c r="B94" s="108" t="s">
        <v>198</v>
      </c>
      <c r="C94" s="134">
        <v>17334</v>
      </c>
      <c r="D94" s="134">
        <v>-809</v>
      </c>
      <c r="E94" s="134">
        <v>0</v>
      </c>
      <c r="F94" s="134">
        <v>0</v>
      </c>
      <c r="G94" s="134">
        <v>0</v>
      </c>
      <c r="H94" s="134">
        <f t="shared" si="20"/>
        <v>16525</v>
      </c>
      <c r="I94" s="134">
        <v>-16525</v>
      </c>
      <c r="J94" s="134">
        <f t="shared" si="21"/>
        <v>0</v>
      </c>
      <c r="K94" s="134">
        <v>0</v>
      </c>
      <c r="L94" s="134">
        <v>0</v>
      </c>
      <c r="M94" s="134">
        <f t="shared" si="22"/>
        <v>0</v>
      </c>
      <c r="N94" s="134">
        <f t="shared" si="23"/>
        <v>0</v>
      </c>
    </row>
    <row r="95" spans="1:14" s="100" customFormat="1" ht="15" customHeight="1" outlineLevel="1" x14ac:dyDescent="0.35">
      <c r="A95" s="135" t="s">
        <v>665</v>
      </c>
      <c r="B95" s="108" t="s">
        <v>197</v>
      </c>
      <c r="C95" s="134">
        <v>17134</v>
      </c>
      <c r="D95" s="134">
        <v>-661</v>
      </c>
      <c r="E95" s="134">
        <v>0</v>
      </c>
      <c r="F95" s="134">
        <v>0</v>
      </c>
      <c r="G95" s="134">
        <v>0</v>
      </c>
      <c r="H95" s="134">
        <f t="shared" si="20"/>
        <v>16473</v>
      </c>
      <c r="I95" s="134">
        <v>-16473</v>
      </c>
      <c r="J95" s="134">
        <f t="shared" si="21"/>
        <v>0</v>
      </c>
      <c r="K95" s="134">
        <v>0</v>
      </c>
      <c r="L95" s="134">
        <v>0</v>
      </c>
      <c r="M95" s="134">
        <f t="shared" si="22"/>
        <v>0</v>
      </c>
      <c r="N95" s="134">
        <f t="shared" si="23"/>
        <v>0</v>
      </c>
    </row>
    <row r="96" spans="1:14" s="125" customFormat="1" ht="16" outlineLevel="2" thickBot="1" x14ac:dyDescent="0.4">
      <c r="A96" s="105" t="s">
        <v>630</v>
      </c>
      <c r="B96" s="133" t="s">
        <v>12</v>
      </c>
      <c r="C96" s="78">
        <f>SUBTOTAL(109,Program332[(C)
Program
Costs])</f>
        <v>652112</v>
      </c>
      <c r="D96" s="78">
        <f>SUBTOTAL(109,Program332[(D)
Prior Period Adjustments])</f>
        <v>-34819</v>
      </c>
      <c r="E96" s="78">
        <f>SUBTOTAL(109,Program332[(E)
Current Period Desk 
Reviews])</f>
        <v>0</v>
      </c>
      <c r="F96" s="78">
        <f>SUBTOTAL(109,Program332[(F)
Current Period 
Final 
Audits])</f>
        <v>0</v>
      </c>
      <c r="G96" s="78">
        <f>SUBTOTAL(109,Program332[(G)
Current Period 
Other Adjustments])</f>
        <v>0</v>
      </c>
      <c r="H96" s="78">
        <f>SUBTOTAL(109,Program332[(H)
Net Program Costs
Sum (C through G)])</f>
        <v>617293</v>
      </c>
      <c r="I96" s="78">
        <f>SUBTOTAL(109,Program332[(I)
Payments
 and Offsets])</f>
        <v>-393768</v>
      </c>
      <c r="J96" s="78">
        <f>SUBTOTAL(109,Program332[(J)
Accounts Payable Balance
(H + I)])</f>
        <v>223525</v>
      </c>
      <c r="K96" s="78">
        <f>SUBTOTAL(109,Program332[(K)
Established 
Accounts Receivable])</f>
        <v>0</v>
      </c>
      <c r="L96" s="78">
        <f>SUBTOTAL(109,Program332[(L)
Recovered
 Accounts Receivable])</f>
        <v>0</v>
      </c>
      <c r="M96" s="78">
        <f>SUBTOTAL(109,Program332[(M)
Accounts Receivable Balance
(K + L)])</f>
        <v>0</v>
      </c>
      <c r="N96" s="78">
        <f>SUBTOTAL(109,Program332[(N)
Net Balance
(J minus M)])</f>
        <v>223525</v>
      </c>
    </row>
    <row r="97" spans="1:14" s="136" customFormat="1" outlineLevel="1" x14ac:dyDescent="0.35">
      <c r="A97" s="116" t="s">
        <v>33</v>
      </c>
      <c r="B97" s="115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</row>
    <row r="98" spans="1:14" s="100" customFormat="1" ht="78.75" customHeight="1" outlineLevel="1" x14ac:dyDescent="0.35">
      <c r="A98" s="60" t="s">
        <v>185</v>
      </c>
      <c r="B98" s="59" t="s">
        <v>184</v>
      </c>
      <c r="C98" s="58" t="s">
        <v>183</v>
      </c>
      <c r="D98" s="58" t="s">
        <v>182</v>
      </c>
      <c r="E98" s="56" t="s">
        <v>181</v>
      </c>
      <c r="F98" s="56" t="s">
        <v>180</v>
      </c>
      <c r="G98" s="56" t="s">
        <v>179</v>
      </c>
      <c r="H98" s="57" t="s">
        <v>674</v>
      </c>
      <c r="I98" s="55" t="s">
        <v>178</v>
      </c>
      <c r="J98" s="55" t="s">
        <v>177</v>
      </c>
      <c r="K98" s="56" t="s">
        <v>176</v>
      </c>
      <c r="L98" s="55" t="s">
        <v>175</v>
      </c>
      <c r="M98" s="55" t="s">
        <v>174</v>
      </c>
      <c r="N98" s="54" t="s">
        <v>173</v>
      </c>
    </row>
    <row r="99" spans="1:14" s="125" customFormat="1" ht="46.5" outlineLevel="1" x14ac:dyDescent="0.35">
      <c r="A99" s="141" t="s">
        <v>664</v>
      </c>
      <c r="B99" s="108" t="s">
        <v>197</v>
      </c>
      <c r="C99" s="134">
        <v>337813</v>
      </c>
      <c r="D99" s="134">
        <v>0</v>
      </c>
      <c r="E99" s="134">
        <v>0</v>
      </c>
      <c r="F99" s="134">
        <v>0</v>
      </c>
      <c r="G99" s="134">
        <v>0</v>
      </c>
      <c r="H99" s="134">
        <f>SUM(C99:G99)</f>
        <v>337813</v>
      </c>
      <c r="I99" s="134">
        <v>-337813</v>
      </c>
      <c r="J99" s="134">
        <f>H99+I99</f>
        <v>0</v>
      </c>
      <c r="K99" s="134">
        <v>0</v>
      </c>
      <c r="L99" s="134">
        <v>0</v>
      </c>
      <c r="M99" s="134">
        <f>K99+L99</f>
        <v>0</v>
      </c>
      <c r="N99" s="134">
        <f>J99-M99</f>
        <v>0</v>
      </c>
    </row>
    <row r="100" spans="1:14" s="125" customFormat="1" ht="16" outlineLevel="2" thickBot="1" x14ac:dyDescent="0.4">
      <c r="A100" s="105" t="s">
        <v>629</v>
      </c>
      <c r="B100" s="133" t="s">
        <v>12</v>
      </c>
      <c r="C100" s="48">
        <f>SUBTOTAL(109,Program338[(C)
Program
Costs])</f>
        <v>337813</v>
      </c>
      <c r="D100" s="48">
        <f>SUBTOTAL(109,Program338[(D)
Prior Period Adjustments])</f>
        <v>0</v>
      </c>
      <c r="E100" s="48">
        <f>SUBTOTAL(109,Program338[(E)
Current Period Desk 
Reviews])</f>
        <v>0</v>
      </c>
      <c r="F100" s="48">
        <f>SUBTOTAL(109,Program338[(F)
Current Period 
Final 
Audits])</f>
        <v>0</v>
      </c>
      <c r="G100" s="48">
        <f>SUBTOTAL(109,Program338[(G)
Current Period 
Other Adjustments])</f>
        <v>0</v>
      </c>
      <c r="H100" s="48">
        <f>SUBTOTAL(109,Program338[(H)
Net Program Costs
Sum (C through G)])</f>
        <v>337813</v>
      </c>
      <c r="I100" s="48">
        <f>SUBTOTAL(109,Program338[(I)
Payments
 and Offsets])</f>
        <v>-337813</v>
      </c>
      <c r="J100" s="48">
        <f>SUBTOTAL(109,Program338[(J)
Accounts Payable Balance
(H + I)])</f>
        <v>0</v>
      </c>
      <c r="K100" s="48">
        <f>SUBTOTAL(109,Program338[(K)
Established 
Accounts Receivable])</f>
        <v>0</v>
      </c>
      <c r="L100" s="48">
        <f>SUBTOTAL(109,Program338[(L)
Recovered
 Accounts Receivable])</f>
        <v>0</v>
      </c>
      <c r="M100" s="48">
        <f>SUBTOTAL(109,Program338[(M)
Accounts Receivable Balance
(K + L)])</f>
        <v>0</v>
      </c>
      <c r="N100" s="48">
        <f>SUBTOTAL(109,Program338[(N)
Net Balance
(J minus M)])</f>
        <v>0</v>
      </c>
    </row>
    <row r="101" spans="1:14" s="125" customFormat="1" outlineLevel="2" x14ac:dyDescent="0.35">
      <c r="A101" s="116" t="s">
        <v>33</v>
      </c>
      <c r="B101" s="115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</row>
    <row r="102" spans="1:14" s="125" customFormat="1" ht="77.5" outlineLevel="2" x14ac:dyDescent="0.35">
      <c r="A102" s="60" t="s">
        <v>185</v>
      </c>
      <c r="B102" s="59" t="s">
        <v>184</v>
      </c>
      <c r="C102" s="58" t="s">
        <v>183</v>
      </c>
      <c r="D102" s="58" t="s">
        <v>182</v>
      </c>
      <c r="E102" s="56" t="s">
        <v>181</v>
      </c>
      <c r="F102" s="56" t="s">
        <v>180</v>
      </c>
      <c r="G102" s="56" t="s">
        <v>179</v>
      </c>
      <c r="H102" s="57" t="s">
        <v>674</v>
      </c>
      <c r="I102" s="55" t="s">
        <v>178</v>
      </c>
      <c r="J102" s="55" t="s">
        <v>177</v>
      </c>
      <c r="K102" s="56" t="s">
        <v>176</v>
      </c>
      <c r="L102" s="55" t="s">
        <v>175</v>
      </c>
      <c r="M102" s="55" t="s">
        <v>174</v>
      </c>
      <c r="N102" s="54" t="s">
        <v>173</v>
      </c>
    </row>
    <row r="103" spans="1:14" s="125" customFormat="1" ht="46.5" outlineLevel="2" x14ac:dyDescent="0.35">
      <c r="A103" s="141" t="s">
        <v>663</v>
      </c>
      <c r="B103" s="108" t="s">
        <v>198</v>
      </c>
      <c r="C103" s="134">
        <v>359825</v>
      </c>
      <c r="D103" s="134">
        <v>0</v>
      </c>
      <c r="E103" s="134">
        <v>0</v>
      </c>
      <c r="F103" s="134">
        <v>0</v>
      </c>
      <c r="G103" s="134">
        <v>0</v>
      </c>
      <c r="H103" s="134">
        <v>359825</v>
      </c>
      <c r="I103" s="134">
        <v>-359825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</row>
    <row r="104" spans="1:14" s="125" customFormat="1" ht="16" outlineLevel="2" thickBot="1" x14ac:dyDescent="0.4">
      <c r="A104" s="105" t="s">
        <v>628</v>
      </c>
      <c r="B104" s="133" t="s">
        <v>12</v>
      </c>
      <c r="C104" s="48">
        <f>SUBTOTAL(109,Program339[(C)
Program
Costs])</f>
        <v>359825</v>
      </c>
      <c r="D104" s="48">
        <f>SUBTOTAL(109,Program339[(D)
Prior Period Adjustments])</f>
        <v>0</v>
      </c>
      <c r="E104" s="48">
        <f>SUBTOTAL(109,Program339[(E)
Current Period Desk 
Reviews])</f>
        <v>0</v>
      </c>
      <c r="F104" s="48">
        <f>SUBTOTAL(109,Program339[(F)
Current Period 
Final 
Audits])</f>
        <v>0</v>
      </c>
      <c r="G104" s="48">
        <f>SUBTOTAL(109,Program339[(G)
Current Period 
Other Adjustments])</f>
        <v>0</v>
      </c>
      <c r="H104" s="48">
        <f>SUBTOTAL(109,Program339[(H)
Net Program Costs
Sum (C through G)])</f>
        <v>359825</v>
      </c>
      <c r="I104" s="48">
        <f>SUBTOTAL(109,Program339[(I)
Payments
 and Offsets])</f>
        <v>-359825</v>
      </c>
      <c r="J104" s="48">
        <f>SUBTOTAL(109,Program339[(J)
Accounts Payable Balance
(H + I)])</f>
        <v>0</v>
      </c>
      <c r="K104" s="48">
        <f>SUBTOTAL(109,Program339[(K)
Established 
Accounts Receivable])</f>
        <v>0</v>
      </c>
      <c r="L104" s="48">
        <f>SUBTOTAL(109,Program339[(L)
Recovered
 Accounts Receivable])</f>
        <v>0</v>
      </c>
      <c r="M104" s="48">
        <f>SUBTOTAL(109,Program339[(M)
Accounts Receivable Balance
(K + L)])</f>
        <v>0</v>
      </c>
      <c r="N104" s="48">
        <f>SUBTOTAL(109,Program339[(N)
Net Balance
(J minus M)])</f>
        <v>0</v>
      </c>
    </row>
    <row r="105" spans="1:14" s="125" customFormat="1" outlineLevel="2" x14ac:dyDescent="0.35">
      <c r="A105" s="116" t="s">
        <v>33</v>
      </c>
      <c r="B105" s="115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</row>
    <row r="106" spans="1:14" s="125" customFormat="1" ht="77.5" outlineLevel="2" x14ac:dyDescent="0.35">
      <c r="A106" s="60" t="s">
        <v>185</v>
      </c>
      <c r="B106" s="59" t="s">
        <v>184</v>
      </c>
      <c r="C106" s="58" t="s">
        <v>183</v>
      </c>
      <c r="D106" s="58" t="s">
        <v>182</v>
      </c>
      <c r="E106" s="56" t="s">
        <v>181</v>
      </c>
      <c r="F106" s="56" t="s">
        <v>180</v>
      </c>
      <c r="G106" s="56" t="s">
        <v>179</v>
      </c>
      <c r="H106" s="57" t="s">
        <v>674</v>
      </c>
      <c r="I106" s="55" t="s">
        <v>178</v>
      </c>
      <c r="J106" s="55" t="s">
        <v>177</v>
      </c>
      <c r="K106" s="56" t="s">
        <v>176</v>
      </c>
      <c r="L106" s="55" t="s">
        <v>175</v>
      </c>
      <c r="M106" s="55" t="s">
        <v>174</v>
      </c>
      <c r="N106" s="54" t="s">
        <v>173</v>
      </c>
    </row>
    <row r="107" spans="1:14" s="136" customFormat="1" ht="46.5" outlineLevel="1" x14ac:dyDescent="0.35">
      <c r="A107" s="141" t="s">
        <v>662</v>
      </c>
      <c r="B107" s="108" t="s">
        <v>208</v>
      </c>
      <c r="C107" s="134">
        <v>713298</v>
      </c>
      <c r="D107" s="134">
        <v>0</v>
      </c>
      <c r="E107" s="134">
        <v>0</v>
      </c>
      <c r="F107" s="134">
        <v>0</v>
      </c>
      <c r="G107" s="134">
        <v>0</v>
      </c>
      <c r="H107" s="134">
        <f t="shared" ref="H107:H115" si="24">SUM(C107:G107)</f>
        <v>713298</v>
      </c>
      <c r="I107" s="134">
        <v>-377169</v>
      </c>
      <c r="J107" s="134">
        <f t="shared" ref="J107:J115" si="25">H107+I107</f>
        <v>336129</v>
      </c>
      <c r="K107" s="134">
        <v>0</v>
      </c>
      <c r="L107" s="134">
        <v>0</v>
      </c>
      <c r="M107" s="134">
        <f t="shared" ref="M107:M115" si="26">K107+L107</f>
        <v>0</v>
      </c>
      <c r="N107" s="134">
        <f t="shared" ref="N107:N115" si="27">J107-M107</f>
        <v>336129</v>
      </c>
    </row>
    <row r="108" spans="1:14" s="100" customFormat="1" ht="45" customHeight="1" outlineLevel="1" x14ac:dyDescent="0.35">
      <c r="A108" s="141" t="s">
        <v>662</v>
      </c>
      <c r="B108" s="108" t="s">
        <v>206</v>
      </c>
      <c r="C108" s="134">
        <v>543779</v>
      </c>
      <c r="D108" s="134">
        <v>0</v>
      </c>
      <c r="E108" s="134">
        <v>0</v>
      </c>
      <c r="F108" s="134">
        <v>0</v>
      </c>
      <c r="G108" s="134">
        <v>0</v>
      </c>
      <c r="H108" s="134">
        <f t="shared" si="24"/>
        <v>543779</v>
      </c>
      <c r="I108" s="134">
        <v>-325401</v>
      </c>
      <c r="J108" s="134">
        <f t="shared" si="25"/>
        <v>218378</v>
      </c>
      <c r="K108" s="134">
        <v>0</v>
      </c>
      <c r="L108" s="134">
        <v>0</v>
      </c>
      <c r="M108" s="134">
        <f t="shared" si="26"/>
        <v>0</v>
      </c>
      <c r="N108" s="134">
        <f t="shared" si="27"/>
        <v>218378</v>
      </c>
    </row>
    <row r="109" spans="1:14" s="125" customFormat="1" ht="46.5" outlineLevel="1" x14ac:dyDescent="0.35">
      <c r="A109" s="141" t="s">
        <v>662</v>
      </c>
      <c r="B109" s="108" t="s">
        <v>205</v>
      </c>
      <c r="C109" s="134">
        <v>631179</v>
      </c>
      <c r="D109" s="134">
        <v>0</v>
      </c>
      <c r="E109" s="134">
        <v>0</v>
      </c>
      <c r="F109" s="134">
        <v>0</v>
      </c>
      <c r="G109" s="134">
        <v>0</v>
      </c>
      <c r="H109" s="134">
        <f t="shared" si="24"/>
        <v>631179</v>
      </c>
      <c r="I109" s="134">
        <v>-359567</v>
      </c>
      <c r="J109" s="134">
        <f t="shared" si="25"/>
        <v>271612</v>
      </c>
      <c r="K109" s="134">
        <v>0</v>
      </c>
      <c r="L109" s="134">
        <v>0</v>
      </c>
      <c r="M109" s="134">
        <f t="shared" si="26"/>
        <v>0</v>
      </c>
      <c r="N109" s="134">
        <f t="shared" si="27"/>
        <v>271612</v>
      </c>
    </row>
    <row r="110" spans="1:14" s="125" customFormat="1" ht="46.5" outlineLevel="2" x14ac:dyDescent="0.35">
      <c r="A110" s="141" t="s">
        <v>662</v>
      </c>
      <c r="B110" s="108" t="s">
        <v>204</v>
      </c>
      <c r="C110" s="134">
        <v>670349</v>
      </c>
      <c r="D110" s="134">
        <v>0</v>
      </c>
      <c r="E110" s="134">
        <v>0</v>
      </c>
      <c r="F110" s="134">
        <v>0</v>
      </c>
      <c r="G110" s="134">
        <v>0</v>
      </c>
      <c r="H110" s="134">
        <f t="shared" si="24"/>
        <v>670349</v>
      </c>
      <c r="I110" s="134">
        <v>-425366</v>
      </c>
      <c r="J110" s="134">
        <f t="shared" si="25"/>
        <v>244983</v>
      </c>
      <c r="K110" s="134">
        <v>0</v>
      </c>
      <c r="L110" s="134">
        <v>0</v>
      </c>
      <c r="M110" s="134">
        <f t="shared" si="26"/>
        <v>0</v>
      </c>
      <c r="N110" s="134">
        <f t="shared" si="27"/>
        <v>244983</v>
      </c>
    </row>
    <row r="111" spans="1:14" s="136" customFormat="1" ht="46.5" outlineLevel="1" x14ac:dyDescent="0.35">
      <c r="A111" s="141" t="s">
        <v>662</v>
      </c>
      <c r="B111" s="108" t="s">
        <v>203</v>
      </c>
      <c r="C111" s="134">
        <v>767662</v>
      </c>
      <c r="D111" s="134">
        <v>0</v>
      </c>
      <c r="E111" s="134">
        <v>0</v>
      </c>
      <c r="F111" s="134">
        <v>0</v>
      </c>
      <c r="G111" s="134">
        <v>0</v>
      </c>
      <c r="H111" s="134">
        <f t="shared" si="24"/>
        <v>767662</v>
      </c>
      <c r="I111" s="134">
        <v>-490496</v>
      </c>
      <c r="J111" s="134">
        <f t="shared" si="25"/>
        <v>277166</v>
      </c>
      <c r="K111" s="134">
        <v>0</v>
      </c>
      <c r="L111" s="134">
        <v>0</v>
      </c>
      <c r="M111" s="134">
        <f t="shared" si="26"/>
        <v>0</v>
      </c>
      <c r="N111" s="134">
        <f t="shared" si="27"/>
        <v>277166</v>
      </c>
    </row>
    <row r="112" spans="1:14" s="100" customFormat="1" ht="45" customHeight="1" outlineLevel="1" x14ac:dyDescent="0.35">
      <c r="A112" s="141" t="s">
        <v>662</v>
      </c>
      <c r="B112" s="108" t="s">
        <v>202</v>
      </c>
      <c r="C112" s="134">
        <v>608266</v>
      </c>
      <c r="D112" s="134">
        <v>0</v>
      </c>
      <c r="E112" s="134">
        <v>0</v>
      </c>
      <c r="F112" s="134">
        <v>0</v>
      </c>
      <c r="G112" s="134">
        <v>0</v>
      </c>
      <c r="H112" s="134">
        <f t="shared" si="24"/>
        <v>608266</v>
      </c>
      <c r="I112" s="134">
        <v>-608266</v>
      </c>
      <c r="J112" s="134">
        <f t="shared" si="25"/>
        <v>0</v>
      </c>
      <c r="K112" s="134">
        <v>0</v>
      </c>
      <c r="L112" s="134">
        <v>0</v>
      </c>
      <c r="M112" s="134">
        <f t="shared" si="26"/>
        <v>0</v>
      </c>
      <c r="N112" s="134">
        <f t="shared" si="27"/>
        <v>0</v>
      </c>
    </row>
    <row r="113" spans="1:14" s="125" customFormat="1" ht="46.5" outlineLevel="1" x14ac:dyDescent="0.35">
      <c r="A113" s="141" t="s">
        <v>662</v>
      </c>
      <c r="B113" s="108" t="s">
        <v>201</v>
      </c>
      <c r="C113" s="134">
        <v>520883</v>
      </c>
      <c r="D113" s="134">
        <v>0</v>
      </c>
      <c r="E113" s="134">
        <v>0</v>
      </c>
      <c r="F113" s="134">
        <v>0</v>
      </c>
      <c r="G113" s="134">
        <v>0</v>
      </c>
      <c r="H113" s="134">
        <f t="shared" si="24"/>
        <v>520883</v>
      </c>
      <c r="I113" s="134">
        <v>-520883</v>
      </c>
      <c r="J113" s="134">
        <f t="shared" si="25"/>
        <v>0</v>
      </c>
      <c r="K113" s="134">
        <v>0</v>
      </c>
      <c r="L113" s="134">
        <v>0</v>
      </c>
      <c r="M113" s="134">
        <f t="shared" si="26"/>
        <v>0</v>
      </c>
      <c r="N113" s="134">
        <f t="shared" si="27"/>
        <v>0</v>
      </c>
    </row>
    <row r="114" spans="1:14" s="125" customFormat="1" ht="46.5" outlineLevel="2" x14ac:dyDescent="0.35">
      <c r="A114" s="141" t="s">
        <v>662</v>
      </c>
      <c r="B114" s="108" t="s">
        <v>200</v>
      </c>
      <c r="C114" s="134">
        <v>428683</v>
      </c>
      <c r="D114" s="134">
        <v>0</v>
      </c>
      <c r="E114" s="134">
        <v>0</v>
      </c>
      <c r="F114" s="134">
        <v>0</v>
      </c>
      <c r="G114" s="134">
        <v>0</v>
      </c>
      <c r="H114" s="134">
        <f t="shared" si="24"/>
        <v>428683</v>
      </c>
      <c r="I114" s="134">
        <v>-428683</v>
      </c>
      <c r="J114" s="134">
        <f t="shared" si="25"/>
        <v>0</v>
      </c>
      <c r="K114" s="134">
        <v>0</v>
      </c>
      <c r="L114" s="134">
        <v>0</v>
      </c>
      <c r="M114" s="134">
        <f t="shared" si="26"/>
        <v>0</v>
      </c>
      <c r="N114" s="134">
        <f t="shared" si="27"/>
        <v>0</v>
      </c>
    </row>
    <row r="115" spans="1:14" s="125" customFormat="1" ht="46.5" outlineLevel="2" x14ac:dyDescent="0.35">
      <c r="A115" s="141" t="s">
        <v>662</v>
      </c>
      <c r="B115" s="108" t="s">
        <v>199</v>
      </c>
      <c r="C115" s="134">
        <v>465471</v>
      </c>
      <c r="D115" s="134">
        <v>0</v>
      </c>
      <c r="E115" s="134">
        <v>0</v>
      </c>
      <c r="F115" s="134">
        <v>0</v>
      </c>
      <c r="G115" s="134">
        <v>0</v>
      </c>
      <c r="H115" s="134">
        <f t="shared" si="24"/>
        <v>465471</v>
      </c>
      <c r="I115" s="134">
        <v>-465471</v>
      </c>
      <c r="J115" s="134">
        <f t="shared" si="25"/>
        <v>0</v>
      </c>
      <c r="K115" s="134">
        <v>0</v>
      </c>
      <c r="L115" s="134">
        <v>0</v>
      </c>
      <c r="M115" s="134">
        <f t="shared" si="26"/>
        <v>0</v>
      </c>
      <c r="N115" s="134">
        <f t="shared" si="27"/>
        <v>0</v>
      </c>
    </row>
    <row r="116" spans="1:14" s="125" customFormat="1" ht="16" outlineLevel="2" thickBot="1" x14ac:dyDescent="0.4">
      <c r="A116" s="105" t="s">
        <v>627</v>
      </c>
      <c r="B116" s="133" t="s">
        <v>12</v>
      </c>
      <c r="C116" s="78">
        <f>SUBTOTAL(109,Program340[(C)
Program
Costs])</f>
        <v>5349570</v>
      </c>
      <c r="D116" s="78">
        <f>SUBTOTAL(109,Program340[(D)
Prior Period Adjustments])</f>
        <v>0</v>
      </c>
      <c r="E116" s="78">
        <f>SUBTOTAL(109,Program340[(E)
Current Period Desk 
Reviews])</f>
        <v>0</v>
      </c>
      <c r="F116" s="78">
        <f>SUBTOTAL(109,Program340[(F)
Current Period 
Final 
Audits])</f>
        <v>0</v>
      </c>
      <c r="G116" s="78">
        <f>SUBTOTAL(109,Program340[(G)
Current Period 
Other Adjustments])</f>
        <v>0</v>
      </c>
      <c r="H116" s="78">
        <f>SUBTOTAL(109,Program340[(H)
Net Program Costs
Sum (C through G)])</f>
        <v>5349570</v>
      </c>
      <c r="I116" s="78">
        <f>SUBTOTAL(109,Program340[(I)
Payments
 and Offsets])</f>
        <v>-4001302</v>
      </c>
      <c r="J116" s="78">
        <f>SUBTOTAL(109,Program340[(J)
Accounts Payable Balance
(H + I)])</f>
        <v>1348268</v>
      </c>
      <c r="K116" s="78">
        <f>SUBTOTAL(109,Program340[(K)
Established 
Accounts Receivable])</f>
        <v>0</v>
      </c>
      <c r="L116" s="78">
        <f>SUBTOTAL(109,Program340[(L)
Recovered
 Accounts Receivable])</f>
        <v>0</v>
      </c>
      <c r="M116" s="78">
        <f>SUBTOTAL(109,Program340[(M)
Accounts Receivable Balance
(K + L)])</f>
        <v>0</v>
      </c>
      <c r="N116" s="78">
        <f>SUBTOTAL(109,Program340[(N)
Net Balance
(J minus M)])</f>
        <v>1348268</v>
      </c>
    </row>
    <row r="117" spans="1:14" s="125" customFormat="1" outlineLevel="2" x14ac:dyDescent="0.35">
      <c r="A117" s="116" t="s">
        <v>33</v>
      </c>
      <c r="B117" s="115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</row>
    <row r="118" spans="1:14" s="125" customFormat="1" ht="77.5" outlineLevel="2" x14ac:dyDescent="0.35">
      <c r="A118" s="60" t="s">
        <v>185</v>
      </c>
      <c r="B118" s="59" t="s">
        <v>184</v>
      </c>
      <c r="C118" s="58" t="s">
        <v>183</v>
      </c>
      <c r="D118" s="58" t="s">
        <v>182</v>
      </c>
      <c r="E118" s="56" t="s">
        <v>181</v>
      </c>
      <c r="F118" s="56" t="s">
        <v>180</v>
      </c>
      <c r="G118" s="56" t="s">
        <v>179</v>
      </c>
      <c r="H118" s="57" t="s">
        <v>674</v>
      </c>
      <c r="I118" s="55" t="s">
        <v>178</v>
      </c>
      <c r="J118" s="55" t="s">
        <v>177</v>
      </c>
      <c r="K118" s="56" t="s">
        <v>176</v>
      </c>
      <c r="L118" s="55" t="s">
        <v>175</v>
      </c>
      <c r="M118" s="55" t="s">
        <v>174</v>
      </c>
      <c r="N118" s="54" t="s">
        <v>173</v>
      </c>
    </row>
    <row r="119" spans="1:14" s="125" customFormat="1" ht="31" outlineLevel="2" x14ac:dyDescent="0.35">
      <c r="A119" s="141" t="s">
        <v>661</v>
      </c>
      <c r="B119" s="108" t="s">
        <v>197</v>
      </c>
      <c r="C119" s="134">
        <v>59447</v>
      </c>
      <c r="D119" s="134">
        <v>0</v>
      </c>
      <c r="E119" s="134">
        <v>0</v>
      </c>
      <c r="F119" s="134">
        <v>0</v>
      </c>
      <c r="G119" s="134">
        <v>0</v>
      </c>
      <c r="H119" s="134">
        <f>SUM(C119:G119)</f>
        <v>59447</v>
      </c>
      <c r="I119" s="134">
        <v>-59447</v>
      </c>
      <c r="J119" s="134">
        <f>H119+I119</f>
        <v>0</v>
      </c>
      <c r="K119" s="134">
        <v>0</v>
      </c>
      <c r="L119" s="134">
        <v>0</v>
      </c>
      <c r="M119" s="134">
        <f>K119+L119</f>
        <v>0</v>
      </c>
      <c r="N119" s="134">
        <f>J119-M119</f>
        <v>0</v>
      </c>
    </row>
    <row r="120" spans="1:14" s="125" customFormat="1" ht="16" outlineLevel="2" thickBot="1" x14ac:dyDescent="0.4">
      <c r="A120" s="105" t="s">
        <v>626</v>
      </c>
      <c r="B120" s="133" t="s">
        <v>12</v>
      </c>
      <c r="C120" s="48">
        <f>SUBTOTAL(109,Program343[(C)
Program
Costs])</f>
        <v>59447</v>
      </c>
      <c r="D120" s="48">
        <f>SUBTOTAL(109,Program343[(D)
Prior Period Adjustments])</f>
        <v>0</v>
      </c>
      <c r="E120" s="48">
        <f>SUBTOTAL(109,Program343[(E)
Current Period Desk 
Reviews])</f>
        <v>0</v>
      </c>
      <c r="F120" s="48">
        <f>SUBTOTAL(109,Program343[(F)
Current Period 
Final 
Audits])</f>
        <v>0</v>
      </c>
      <c r="G120" s="48">
        <f>SUBTOTAL(109,Program343[(G)
Current Period 
Other Adjustments])</f>
        <v>0</v>
      </c>
      <c r="H120" s="48">
        <f>SUBTOTAL(109,Program343[(H)
Net Program Costs
Sum (C through G)])</f>
        <v>59447</v>
      </c>
      <c r="I120" s="48">
        <f>SUBTOTAL(109,Program343[(I)
Payments
 and Offsets])</f>
        <v>-59447</v>
      </c>
      <c r="J120" s="48">
        <f>SUBTOTAL(109,Program343[(J)
Accounts Payable Balance
(H + I)])</f>
        <v>0</v>
      </c>
      <c r="K120" s="48">
        <f>SUBTOTAL(109,Program343[(K)
Established 
Accounts Receivable])</f>
        <v>0</v>
      </c>
      <c r="L120" s="48">
        <f>SUBTOTAL(109,Program343[(L)
Recovered
 Accounts Receivable])</f>
        <v>0</v>
      </c>
      <c r="M120" s="48">
        <f>SUBTOTAL(109,Program343[(M)
Accounts Receivable Balance
(K + L)])</f>
        <v>0</v>
      </c>
      <c r="N120" s="48">
        <f>SUBTOTAL(109,Program343[(N)
Net Balance
(J minus M)])</f>
        <v>0</v>
      </c>
    </row>
    <row r="121" spans="1:14" s="125" customFormat="1" outlineLevel="2" x14ac:dyDescent="0.35">
      <c r="A121" s="116" t="s">
        <v>33</v>
      </c>
      <c r="B121" s="115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</row>
    <row r="122" spans="1:14" s="136" customFormat="1" ht="77.5" outlineLevel="1" x14ac:dyDescent="0.35">
      <c r="A122" s="60" t="s">
        <v>185</v>
      </c>
      <c r="B122" s="59" t="s">
        <v>184</v>
      </c>
      <c r="C122" s="58" t="s">
        <v>183</v>
      </c>
      <c r="D122" s="58" t="s">
        <v>182</v>
      </c>
      <c r="E122" s="56" t="s">
        <v>181</v>
      </c>
      <c r="F122" s="56" t="s">
        <v>180</v>
      </c>
      <c r="G122" s="56" t="s">
        <v>179</v>
      </c>
      <c r="H122" s="57" t="s">
        <v>674</v>
      </c>
      <c r="I122" s="55" t="s">
        <v>178</v>
      </c>
      <c r="J122" s="55" t="s">
        <v>177</v>
      </c>
      <c r="K122" s="56" t="s">
        <v>176</v>
      </c>
      <c r="L122" s="55" t="s">
        <v>175</v>
      </c>
      <c r="M122" s="55" t="s">
        <v>174</v>
      </c>
      <c r="N122" s="54" t="s">
        <v>173</v>
      </c>
    </row>
    <row r="123" spans="1:14" s="100" customFormat="1" ht="30" customHeight="1" outlineLevel="1" x14ac:dyDescent="0.35">
      <c r="A123" s="141" t="s">
        <v>660</v>
      </c>
      <c r="B123" s="108" t="s">
        <v>208</v>
      </c>
      <c r="C123" s="134">
        <v>738982</v>
      </c>
      <c r="D123" s="134">
        <v>0</v>
      </c>
      <c r="E123" s="134">
        <v>0</v>
      </c>
      <c r="F123" s="134">
        <v>0</v>
      </c>
      <c r="G123" s="134">
        <v>0</v>
      </c>
      <c r="H123" s="134">
        <f t="shared" ref="H123:H132" si="28">SUM(C123:G123)</f>
        <v>738982</v>
      </c>
      <c r="I123" s="134">
        <v>-738982</v>
      </c>
      <c r="J123" s="134">
        <f t="shared" ref="J123:J132" si="29">H123+I123</f>
        <v>0</v>
      </c>
      <c r="K123" s="134">
        <v>0</v>
      </c>
      <c r="L123" s="134">
        <v>0</v>
      </c>
      <c r="M123" s="134">
        <f t="shared" ref="M123:M132" si="30">K123+L123</f>
        <v>0</v>
      </c>
      <c r="N123" s="134">
        <f t="shared" ref="N123:N132" si="31">J123-M123</f>
        <v>0</v>
      </c>
    </row>
    <row r="124" spans="1:14" s="125" customFormat="1" ht="31" outlineLevel="1" x14ac:dyDescent="0.35">
      <c r="A124" s="141" t="s">
        <v>660</v>
      </c>
      <c r="B124" s="108" t="s">
        <v>206</v>
      </c>
      <c r="C124" s="134">
        <v>521888</v>
      </c>
      <c r="D124" s="134">
        <v>0</v>
      </c>
      <c r="E124" s="134">
        <v>0</v>
      </c>
      <c r="F124" s="134">
        <v>0</v>
      </c>
      <c r="G124" s="134">
        <v>0</v>
      </c>
      <c r="H124" s="134">
        <f t="shared" si="28"/>
        <v>521888</v>
      </c>
      <c r="I124" s="134">
        <v>-521888</v>
      </c>
      <c r="J124" s="134">
        <f t="shared" si="29"/>
        <v>0</v>
      </c>
      <c r="K124" s="134">
        <v>0</v>
      </c>
      <c r="L124" s="134">
        <v>0</v>
      </c>
      <c r="M124" s="134">
        <f t="shared" si="30"/>
        <v>0</v>
      </c>
      <c r="N124" s="134">
        <f t="shared" si="31"/>
        <v>0</v>
      </c>
    </row>
    <row r="125" spans="1:14" s="125" customFormat="1" ht="31" outlineLevel="2" x14ac:dyDescent="0.35">
      <c r="A125" s="141" t="s">
        <v>660</v>
      </c>
      <c r="B125" s="108" t="s">
        <v>205</v>
      </c>
      <c r="C125" s="134">
        <v>303687</v>
      </c>
      <c r="D125" s="134">
        <v>0</v>
      </c>
      <c r="E125" s="134">
        <v>0</v>
      </c>
      <c r="F125" s="134">
        <v>0</v>
      </c>
      <c r="G125" s="134">
        <v>0</v>
      </c>
      <c r="H125" s="134">
        <f t="shared" si="28"/>
        <v>303687</v>
      </c>
      <c r="I125" s="134">
        <v>-303687</v>
      </c>
      <c r="J125" s="134">
        <f t="shared" si="29"/>
        <v>0</v>
      </c>
      <c r="K125" s="134">
        <v>0</v>
      </c>
      <c r="L125" s="134">
        <v>0</v>
      </c>
      <c r="M125" s="134">
        <f t="shared" si="30"/>
        <v>0</v>
      </c>
      <c r="N125" s="134">
        <f t="shared" si="31"/>
        <v>0</v>
      </c>
    </row>
    <row r="126" spans="1:14" s="125" customFormat="1" ht="31" outlineLevel="2" x14ac:dyDescent="0.35">
      <c r="A126" s="141" t="s">
        <v>660</v>
      </c>
      <c r="B126" s="108" t="s">
        <v>204</v>
      </c>
      <c r="C126" s="134">
        <v>282236</v>
      </c>
      <c r="D126" s="134">
        <v>0</v>
      </c>
      <c r="E126" s="134">
        <v>0</v>
      </c>
      <c r="F126" s="134">
        <v>0</v>
      </c>
      <c r="G126" s="134">
        <v>0</v>
      </c>
      <c r="H126" s="134">
        <f t="shared" si="28"/>
        <v>282236</v>
      </c>
      <c r="I126" s="134">
        <v>-282236</v>
      </c>
      <c r="J126" s="134">
        <f t="shared" si="29"/>
        <v>0</v>
      </c>
      <c r="K126" s="134">
        <v>0</v>
      </c>
      <c r="L126" s="134">
        <v>0</v>
      </c>
      <c r="M126" s="134">
        <f t="shared" si="30"/>
        <v>0</v>
      </c>
      <c r="N126" s="134">
        <f t="shared" si="31"/>
        <v>0</v>
      </c>
    </row>
    <row r="127" spans="1:14" s="125" customFormat="1" ht="31" outlineLevel="2" x14ac:dyDescent="0.35">
      <c r="A127" s="141" t="s">
        <v>660</v>
      </c>
      <c r="B127" s="108" t="s">
        <v>203</v>
      </c>
      <c r="C127" s="134">
        <v>234687</v>
      </c>
      <c r="D127" s="134">
        <v>0</v>
      </c>
      <c r="E127" s="134">
        <v>0</v>
      </c>
      <c r="F127" s="134">
        <v>0</v>
      </c>
      <c r="G127" s="134">
        <v>0</v>
      </c>
      <c r="H127" s="134">
        <f t="shared" si="28"/>
        <v>234687</v>
      </c>
      <c r="I127" s="134">
        <v>-234687</v>
      </c>
      <c r="J127" s="134">
        <f t="shared" si="29"/>
        <v>0</v>
      </c>
      <c r="K127" s="134">
        <v>0</v>
      </c>
      <c r="L127" s="134">
        <v>0</v>
      </c>
      <c r="M127" s="134">
        <f t="shared" si="30"/>
        <v>0</v>
      </c>
      <c r="N127" s="134">
        <f t="shared" si="31"/>
        <v>0</v>
      </c>
    </row>
    <row r="128" spans="1:14" s="125" customFormat="1" ht="31" outlineLevel="2" x14ac:dyDescent="0.35">
      <c r="A128" s="141" t="s">
        <v>660</v>
      </c>
      <c r="B128" s="108" t="s">
        <v>202</v>
      </c>
      <c r="C128" s="134">
        <v>148442</v>
      </c>
      <c r="D128" s="134">
        <v>0</v>
      </c>
      <c r="E128" s="134">
        <v>0</v>
      </c>
      <c r="F128" s="134">
        <v>0</v>
      </c>
      <c r="G128" s="134">
        <v>0</v>
      </c>
      <c r="H128" s="134">
        <f t="shared" si="28"/>
        <v>148442</v>
      </c>
      <c r="I128" s="134">
        <v>-148442</v>
      </c>
      <c r="J128" s="134">
        <f t="shared" si="29"/>
        <v>0</v>
      </c>
      <c r="K128" s="134">
        <v>0</v>
      </c>
      <c r="L128" s="134">
        <v>0</v>
      </c>
      <c r="M128" s="134">
        <f t="shared" si="30"/>
        <v>0</v>
      </c>
      <c r="N128" s="134">
        <f t="shared" si="31"/>
        <v>0</v>
      </c>
    </row>
    <row r="129" spans="1:14" s="125" customFormat="1" ht="31" outlineLevel="2" x14ac:dyDescent="0.35">
      <c r="A129" s="141" t="s">
        <v>660</v>
      </c>
      <c r="B129" s="108" t="s">
        <v>201</v>
      </c>
      <c r="C129" s="134">
        <v>151470</v>
      </c>
      <c r="D129" s="134">
        <v>0</v>
      </c>
      <c r="E129" s="134">
        <v>0</v>
      </c>
      <c r="F129" s="134">
        <v>0</v>
      </c>
      <c r="G129" s="134">
        <v>0</v>
      </c>
      <c r="H129" s="134">
        <f t="shared" si="28"/>
        <v>151470</v>
      </c>
      <c r="I129" s="134">
        <v>-151470</v>
      </c>
      <c r="J129" s="134">
        <f t="shared" si="29"/>
        <v>0</v>
      </c>
      <c r="K129" s="134">
        <v>0</v>
      </c>
      <c r="L129" s="134">
        <v>0</v>
      </c>
      <c r="M129" s="134">
        <f t="shared" si="30"/>
        <v>0</v>
      </c>
      <c r="N129" s="134">
        <f t="shared" si="31"/>
        <v>0</v>
      </c>
    </row>
    <row r="130" spans="1:14" s="125" customFormat="1" ht="31" outlineLevel="2" x14ac:dyDescent="0.35">
      <c r="A130" s="141" t="s">
        <v>660</v>
      </c>
      <c r="B130" s="108" t="s">
        <v>200</v>
      </c>
      <c r="C130" s="134">
        <v>177070</v>
      </c>
      <c r="D130" s="134">
        <v>0</v>
      </c>
      <c r="E130" s="134">
        <v>0</v>
      </c>
      <c r="F130" s="134">
        <v>0</v>
      </c>
      <c r="G130" s="134">
        <v>0</v>
      </c>
      <c r="H130" s="134">
        <f t="shared" si="28"/>
        <v>177070</v>
      </c>
      <c r="I130" s="134">
        <v>-177070</v>
      </c>
      <c r="J130" s="134">
        <f t="shared" si="29"/>
        <v>0</v>
      </c>
      <c r="K130" s="134">
        <v>0</v>
      </c>
      <c r="L130" s="134">
        <v>0</v>
      </c>
      <c r="M130" s="134">
        <f t="shared" si="30"/>
        <v>0</v>
      </c>
      <c r="N130" s="134">
        <f t="shared" si="31"/>
        <v>0</v>
      </c>
    </row>
    <row r="131" spans="1:14" s="125" customFormat="1" ht="31" outlineLevel="2" x14ac:dyDescent="0.35">
      <c r="A131" s="141" t="s">
        <v>660</v>
      </c>
      <c r="B131" s="108" t="s">
        <v>199</v>
      </c>
      <c r="C131" s="134">
        <v>25065</v>
      </c>
      <c r="D131" s="134">
        <v>0</v>
      </c>
      <c r="E131" s="134">
        <v>0</v>
      </c>
      <c r="F131" s="134">
        <v>0</v>
      </c>
      <c r="G131" s="134">
        <v>0</v>
      </c>
      <c r="H131" s="134">
        <f t="shared" si="28"/>
        <v>25065</v>
      </c>
      <c r="I131" s="134">
        <v>-25065</v>
      </c>
      <c r="J131" s="134">
        <f t="shared" si="29"/>
        <v>0</v>
      </c>
      <c r="K131" s="134">
        <v>0</v>
      </c>
      <c r="L131" s="134">
        <v>0</v>
      </c>
      <c r="M131" s="134">
        <f t="shared" si="30"/>
        <v>0</v>
      </c>
      <c r="N131" s="134">
        <f t="shared" si="31"/>
        <v>0</v>
      </c>
    </row>
    <row r="132" spans="1:14" s="125" customFormat="1" ht="31" outlineLevel="2" x14ac:dyDescent="0.35">
      <c r="A132" s="141" t="s">
        <v>660</v>
      </c>
      <c r="B132" s="108" t="s">
        <v>198</v>
      </c>
      <c r="C132" s="134">
        <v>130582</v>
      </c>
      <c r="D132" s="134">
        <v>0</v>
      </c>
      <c r="E132" s="134">
        <v>0</v>
      </c>
      <c r="F132" s="134">
        <v>0</v>
      </c>
      <c r="G132" s="134">
        <v>0</v>
      </c>
      <c r="H132" s="134">
        <f t="shared" si="28"/>
        <v>130582</v>
      </c>
      <c r="I132" s="134">
        <v>-130582</v>
      </c>
      <c r="J132" s="134">
        <f t="shared" si="29"/>
        <v>0</v>
      </c>
      <c r="K132" s="134">
        <v>0</v>
      </c>
      <c r="L132" s="134">
        <v>0</v>
      </c>
      <c r="M132" s="134">
        <f t="shared" si="30"/>
        <v>0</v>
      </c>
      <c r="N132" s="134">
        <f t="shared" si="31"/>
        <v>0</v>
      </c>
    </row>
    <row r="133" spans="1:14" s="125" customFormat="1" ht="16" outlineLevel="2" thickBot="1" x14ac:dyDescent="0.4">
      <c r="A133" s="148" t="s">
        <v>625</v>
      </c>
      <c r="B133" s="151" t="s">
        <v>12</v>
      </c>
      <c r="C133" s="152">
        <f>SUBTOTAL(109,Program344[(C)
Program
Costs])</f>
        <v>2714109</v>
      </c>
      <c r="D133" s="152">
        <f>SUBTOTAL(109,Program344[(D)
Prior Period Adjustments])</f>
        <v>0</v>
      </c>
      <c r="E133" s="152">
        <f>SUBTOTAL(109,Program344[(E)
Current Period Desk 
Reviews])</f>
        <v>0</v>
      </c>
      <c r="F133" s="152">
        <f>SUBTOTAL(109,Program344[(F)
Current Period 
Final 
Audits])</f>
        <v>0</v>
      </c>
      <c r="G133" s="152">
        <f>SUBTOTAL(109,Program344[(G)
Current Period 
Other Adjustments])</f>
        <v>0</v>
      </c>
      <c r="H133" s="152">
        <f>SUBTOTAL(109,Program344[(H)
Net Program Costs
Sum (C through G)])</f>
        <v>2714109</v>
      </c>
      <c r="I133" s="152">
        <f>SUBTOTAL(109,Program344[(I)
Payments
 and Offsets])</f>
        <v>-2714109</v>
      </c>
      <c r="J133" s="152">
        <f>SUBTOTAL(109,Program344[(J)
Accounts Payable Balance
(H + I)])</f>
        <v>0</v>
      </c>
      <c r="K133" s="152">
        <f>SUBTOTAL(109,Program344[(K)
Established 
Accounts Receivable])</f>
        <v>0</v>
      </c>
      <c r="L133" s="152">
        <f>SUBTOTAL(109,Program344[(L)
Recovered
 Accounts Receivable])</f>
        <v>0</v>
      </c>
      <c r="M133" s="152">
        <f>SUBTOTAL(109,Program344[(M)
Accounts Receivable Balance
(K + L)])</f>
        <v>0</v>
      </c>
      <c r="N133" s="152">
        <f>SUBTOTAL(109,Program344[(N)
Net Balance
(J minus M)])</f>
        <v>0</v>
      </c>
    </row>
    <row r="134" spans="1:14" s="125" customFormat="1" outlineLevel="2" x14ac:dyDescent="0.35">
      <c r="A134" s="116" t="s">
        <v>33</v>
      </c>
      <c r="B134" s="115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</row>
    <row r="135" spans="1:14" s="125" customFormat="1" ht="77.5" outlineLevel="2" x14ac:dyDescent="0.35">
      <c r="A135" s="60" t="s">
        <v>185</v>
      </c>
      <c r="B135" s="59" t="s">
        <v>184</v>
      </c>
      <c r="C135" s="58" t="s">
        <v>183</v>
      </c>
      <c r="D135" s="58" t="s">
        <v>182</v>
      </c>
      <c r="E135" s="56" t="s">
        <v>181</v>
      </c>
      <c r="F135" s="56" t="s">
        <v>180</v>
      </c>
      <c r="G135" s="56" t="s">
        <v>179</v>
      </c>
      <c r="H135" s="57" t="s">
        <v>674</v>
      </c>
      <c r="I135" s="55" t="s">
        <v>178</v>
      </c>
      <c r="J135" s="55" t="s">
        <v>177</v>
      </c>
      <c r="K135" s="56" t="s">
        <v>176</v>
      </c>
      <c r="L135" s="55" t="s">
        <v>175</v>
      </c>
      <c r="M135" s="55" t="s">
        <v>174</v>
      </c>
      <c r="N135" s="54" t="s">
        <v>173</v>
      </c>
    </row>
    <row r="136" spans="1:14" s="125" customFormat="1" outlineLevel="2" x14ac:dyDescent="0.35">
      <c r="A136" s="135" t="s">
        <v>659</v>
      </c>
      <c r="B136" s="108" t="s">
        <v>219</v>
      </c>
      <c r="C136" s="134">
        <v>331143</v>
      </c>
      <c r="D136" s="134">
        <v>-10000</v>
      </c>
      <c r="E136" s="134">
        <v>0</v>
      </c>
      <c r="F136" s="134">
        <v>0</v>
      </c>
      <c r="G136" s="134">
        <v>0</v>
      </c>
      <c r="H136" s="134">
        <f t="shared" ref="H136:H152" si="32">SUM(C136:G136)</f>
        <v>321143</v>
      </c>
      <c r="I136" s="134">
        <v>-121251</v>
      </c>
      <c r="J136" s="134">
        <f t="shared" ref="J136:J152" si="33">H136+I136</f>
        <v>199892</v>
      </c>
      <c r="K136" s="134">
        <v>0</v>
      </c>
      <c r="L136" s="134">
        <v>0</v>
      </c>
      <c r="M136" s="134">
        <f t="shared" ref="M136:M152" si="34">K136+L136</f>
        <v>0</v>
      </c>
      <c r="N136" s="134">
        <f t="shared" ref="N136:N152" si="35">J136-M136</f>
        <v>199892</v>
      </c>
    </row>
    <row r="137" spans="1:14" s="125" customFormat="1" outlineLevel="2" x14ac:dyDescent="0.35">
      <c r="A137" s="135" t="s">
        <v>659</v>
      </c>
      <c r="B137" s="108" t="s">
        <v>218</v>
      </c>
      <c r="C137" s="134">
        <v>510065</v>
      </c>
      <c r="D137" s="134">
        <v>-119529</v>
      </c>
      <c r="E137" s="134">
        <v>0</v>
      </c>
      <c r="F137" s="134">
        <v>0</v>
      </c>
      <c r="G137" s="134">
        <v>0</v>
      </c>
      <c r="H137" s="134">
        <f t="shared" si="32"/>
        <v>390536</v>
      </c>
      <c r="I137" s="134">
        <v>-241191</v>
      </c>
      <c r="J137" s="134">
        <f t="shared" si="33"/>
        <v>149345</v>
      </c>
      <c r="K137" s="134">
        <v>0</v>
      </c>
      <c r="L137" s="134">
        <v>0</v>
      </c>
      <c r="M137" s="134">
        <f t="shared" si="34"/>
        <v>0</v>
      </c>
      <c r="N137" s="134">
        <f t="shared" si="35"/>
        <v>149345</v>
      </c>
    </row>
    <row r="138" spans="1:14" s="125" customFormat="1" outlineLevel="2" x14ac:dyDescent="0.35">
      <c r="A138" s="135" t="s">
        <v>659</v>
      </c>
      <c r="B138" s="108" t="s">
        <v>209</v>
      </c>
      <c r="C138" s="134">
        <v>536777</v>
      </c>
      <c r="D138" s="134">
        <v>0</v>
      </c>
      <c r="E138" s="134">
        <v>0</v>
      </c>
      <c r="F138" s="134">
        <v>0</v>
      </c>
      <c r="G138" s="134">
        <v>0</v>
      </c>
      <c r="H138" s="134">
        <f t="shared" si="32"/>
        <v>536777</v>
      </c>
      <c r="I138" s="134">
        <v>-237059</v>
      </c>
      <c r="J138" s="134">
        <f t="shared" si="33"/>
        <v>299718</v>
      </c>
      <c r="K138" s="134">
        <v>0</v>
      </c>
      <c r="L138" s="134">
        <v>0</v>
      </c>
      <c r="M138" s="134">
        <f t="shared" si="34"/>
        <v>0</v>
      </c>
      <c r="N138" s="134">
        <f t="shared" si="35"/>
        <v>299718</v>
      </c>
    </row>
    <row r="139" spans="1:14" s="125" customFormat="1" outlineLevel="2" x14ac:dyDescent="0.35">
      <c r="A139" s="135" t="s">
        <v>659</v>
      </c>
      <c r="B139" s="108" t="s">
        <v>208</v>
      </c>
      <c r="C139" s="134">
        <v>5089165</v>
      </c>
      <c r="D139" s="134">
        <v>-1864365</v>
      </c>
      <c r="E139" s="134">
        <v>0</v>
      </c>
      <c r="F139" s="134">
        <v>0</v>
      </c>
      <c r="G139" s="134">
        <v>0</v>
      </c>
      <c r="H139" s="134">
        <f t="shared" si="32"/>
        <v>3224800</v>
      </c>
      <c r="I139" s="134">
        <v>-2788812</v>
      </c>
      <c r="J139" s="134">
        <f t="shared" si="33"/>
        <v>435988</v>
      </c>
      <c r="K139" s="134">
        <v>0</v>
      </c>
      <c r="L139" s="134">
        <v>0</v>
      </c>
      <c r="M139" s="134">
        <f t="shared" si="34"/>
        <v>0</v>
      </c>
      <c r="N139" s="134">
        <f t="shared" si="35"/>
        <v>435988</v>
      </c>
    </row>
    <row r="140" spans="1:14" s="125" customFormat="1" outlineLevel="2" x14ac:dyDescent="0.35">
      <c r="A140" s="135" t="s">
        <v>659</v>
      </c>
      <c r="B140" s="108" t="s">
        <v>206</v>
      </c>
      <c r="C140" s="134">
        <v>16823236</v>
      </c>
      <c r="D140" s="134">
        <v>-11301204</v>
      </c>
      <c r="E140" s="134">
        <v>0</v>
      </c>
      <c r="F140" s="134">
        <v>0</v>
      </c>
      <c r="G140" s="134">
        <v>0</v>
      </c>
      <c r="H140" s="134">
        <f t="shared" si="32"/>
        <v>5522032</v>
      </c>
      <c r="I140" s="134">
        <v>-4634414</v>
      </c>
      <c r="J140" s="134">
        <f t="shared" si="33"/>
        <v>887618</v>
      </c>
      <c r="K140" s="134">
        <v>0</v>
      </c>
      <c r="L140" s="134">
        <v>0</v>
      </c>
      <c r="M140" s="134">
        <f t="shared" si="34"/>
        <v>0</v>
      </c>
      <c r="N140" s="134">
        <f t="shared" si="35"/>
        <v>887618</v>
      </c>
    </row>
    <row r="141" spans="1:14" s="136" customFormat="1" outlineLevel="1" x14ac:dyDescent="0.35">
      <c r="A141" s="135" t="s">
        <v>659</v>
      </c>
      <c r="B141" s="108" t="s">
        <v>205</v>
      </c>
      <c r="C141" s="134">
        <v>21490595</v>
      </c>
      <c r="D141" s="134">
        <v>-14195739</v>
      </c>
      <c r="E141" s="134">
        <v>0</v>
      </c>
      <c r="F141" s="134">
        <v>0</v>
      </c>
      <c r="G141" s="134">
        <v>0</v>
      </c>
      <c r="H141" s="134">
        <f t="shared" si="32"/>
        <v>7294856</v>
      </c>
      <c r="I141" s="134">
        <v>-6212480</v>
      </c>
      <c r="J141" s="134">
        <f t="shared" si="33"/>
        <v>1082376</v>
      </c>
      <c r="K141" s="134">
        <v>1598277</v>
      </c>
      <c r="L141" s="134">
        <v>0</v>
      </c>
      <c r="M141" s="134">
        <f t="shared" si="34"/>
        <v>1598277</v>
      </c>
      <c r="N141" s="134">
        <f t="shared" si="35"/>
        <v>-515901</v>
      </c>
    </row>
    <row r="142" spans="1:14" s="100" customFormat="1" ht="15" customHeight="1" outlineLevel="1" x14ac:dyDescent="0.35">
      <c r="A142" s="135" t="s">
        <v>659</v>
      </c>
      <c r="B142" s="108" t="s">
        <v>204</v>
      </c>
      <c r="C142" s="134">
        <v>29214710</v>
      </c>
      <c r="D142" s="134">
        <v>-20192611</v>
      </c>
      <c r="E142" s="134">
        <v>0</v>
      </c>
      <c r="F142" s="134">
        <v>0</v>
      </c>
      <c r="G142" s="134">
        <v>0</v>
      </c>
      <c r="H142" s="134">
        <f t="shared" si="32"/>
        <v>9022099</v>
      </c>
      <c r="I142" s="134">
        <v>-7892605</v>
      </c>
      <c r="J142" s="134">
        <f t="shared" si="33"/>
        <v>1129494</v>
      </c>
      <c r="K142" s="134">
        <v>1993995</v>
      </c>
      <c r="L142" s="134">
        <v>0</v>
      </c>
      <c r="M142" s="134">
        <f t="shared" si="34"/>
        <v>1993995</v>
      </c>
      <c r="N142" s="134">
        <f t="shared" si="35"/>
        <v>-864501</v>
      </c>
    </row>
    <row r="143" spans="1:14" s="125" customFormat="1" outlineLevel="1" x14ac:dyDescent="0.35">
      <c r="A143" s="135" t="s">
        <v>659</v>
      </c>
      <c r="B143" s="108" t="s">
        <v>203</v>
      </c>
      <c r="C143" s="134">
        <v>25861614</v>
      </c>
      <c r="D143" s="134">
        <v>-18880506</v>
      </c>
      <c r="E143" s="134">
        <v>0</v>
      </c>
      <c r="F143" s="134">
        <v>0</v>
      </c>
      <c r="G143" s="134">
        <v>0</v>
      </c>
      <c r="H143" s="134">
        <f t="shared" si="32"/>
        <v>6981108</v>
      </c>
      <c r="I143" s="134">
        <v>-5974151</v>
      </c>
      <c r="J143" s="134">
        <f t="shared" si="33"/>
        <v>1006957</v>
      </c>
      <c r="K143" s="134">
        <v>0</v>
      </c>
      <c r="L143" s="134">
        <v>0</v>
      </c>
      <c r="M143" s="134">
        <f t="shared" si="34"/>
        <v>0</v>
      </c>
      <c r="N143" s="134">
        <f t="shared" si="35"/>
        <v>1006957</v>
      </c>
    </row>
    <row r="144" spans="1:14" s="125" customFormat="1" outlineLevel="2" x14ac:dyDescent="0.35">
      <c r="A144" s="135" t="s">
        <v>659</v>
      </c>
      <c r="B144" s="108" t="s">
        <v>202</v>
      </c>
      <c r="C144" s="134">
        <v>18174399</v>
      </c>
      <c r="D144" s="134">
        <v>-13925899</v>
      </c>
      <c r="E144" s="134">
        <v>0</v>
      </c>
      <c r="F144" s="134">
        <v>0</v>
      </c>
      <c r="G144" s="134">
        <v>0</v>
      </c>
      <c r="H144" s="134">
        <f t="shared" si="32"/>
        <v>4248500</v>
      </c>
      <c r="I144" s="134">
        <v>-3796742</v>
      </c>
      <c r="J144" s="134">
        <f t="shared" si="33"/>
        <v>451758</v>
      </c>
      <c r="K144" s="134">
        <v>0</v>
      </c>
      <c r="L144" s="134">
        <v>0</v>
      </c>
      <c r="M144" s="134">
        <f t="shared" si="34"/>
        <v>0</v>
      </c>
      <c r="N144" s="134">
        <f t="shared" si="35"/>
        <v>451758</v>
      </c>
    </row>
    <row r="145" spans="1:14" s="125" customFormat="1" outlineLevel="2" x14ac:dyDescent="0.35">
      <c r="A145" s="135" t="s">
        <v>659</v>
      </c>
      <c r="B145" s="108" t="s">
        <v>201</v>
      </c>
      <c r="C145" s="134">
        <v>20403643</v>
      </c>
      <c r="D145" s="134">
        <v>-14616191</v>
      </c>
      <c r="E145" s="134">
        <v>0</v>
      </c>
      <c r="F145" s="134">
        <v>0</v>
      </c>
      <c r="G145" s="134">
        <v>0</v>
      </c>
      <c r="H145" s="134">
        <f t="shared" si="32"/>
        <v>5787452</v>
      </c>
      <c r="I145" s="134">
        <v>-5787452</v>
      </c>
      <c r="J145" s="134">
        <f t="shared" si="33"/>
        <v>0</v>
      </c>
      <c r="K145" s="134">
        <v>0</v>
      </c>
      <c r="L145" s="134">
        <v>0</v>
      </c>
      <c r="M145" s="134">
        <f t="shared" si="34"/>
        <v>0</v>
      </c>
      <c r="N145" s="134">
        <f t="shared" si="35"/>
        <v>0</v>
      </c>
    </row>
    <row r="146" spans="1:14" s="125" customFormat="1" outlineLevel="2" x14ac:dyDescent="0.35">
      <c r="A146" s="135" t="s">
        <v>659</v>
      </c>
      <c r="B146" s="108" t="s">
        <v>200</v>
      </c>
      <c r="C146" s="134">
        <v>19628117</v>
      </c>
      <c r="D146" s="134">
        <v>-14082003</v>
      </c>
      <c r="E146" s="134">
        <v>0</v>
      </c>
      <c r="F146" s="134">
        <v>0</v>
      </c>
      <c r="G146" s="134">
        <v>0</v>
      </c>
      <c r="H146" s="134">
        <f t="shared" si="32"/>
        <v>5546114</v>
      </c>
      <c r="I146" s="134">
        <v>-5546114</v>
      </c>
      <c r="J146" s="134">
        <f t="shared" si="33"/>
        <v>0</v>
      </c>
      <c r="K146" s="134">
        <v>0</v>
      </c>
      <c r="L146" s="134">
        <v>0</v>
      </c>
      <c r="M146" s="134">
        <f t="shared" si="34"/>
        <v>0</v>
      </c>
      <c r="N146" s="134">
        <f t="shared" si="35"/>
        <v>0</v>
      </c>
    </row>
    <row r="147" spans="1:14" s="125" customFormat="1" outlineLevel="2" x14ac:dyDescent="0.35">
      <c r="A147" s="135" t="s">
        <v>659</v>
      </c>
      <c r="B147" s="108" t="s">
        <v>199</v>
      </c>
      <c r="C147" s="134">
        <v>19981734</v>
      </c>
      <c r="D147" s="134">
        <v>-14199532</v>
      </c>
      <c r="E147" s="134">
        <v>0</v>
      </c>
      <c r="F147" s="134">
        <v>0</v>
      </c>
      <c r="G147" s="134">
        <v>0</v>
      </c>
      <c r="H147" s="134">
        <f t="shared" si="32"/>
        <v>5782202</v>
      </c>
      <c r="I147" s="134">
        <v>-5782202</v>
      </c>
      <c r="J147" s="134">
        <f t="shared" si="33"/>
        <v>0</v>
      </c>
      <c r="K147" s="134">
        <v>0</v>
      </c>
      <c r="L147" s="134">
        <v>0</v>
      </c>
      <c r="M147" s="134">
        <f t="shared" si="34"/>
        <v>0</v>
      </c>
      <c r="N147" s="134">
        <f t="shared" si="35"/>
        <v>0</v>
      </c>
    </row>
    <row r="148" spans="1:14" s="136" customFormat="1" outlineLevel="1" x14ac:dyDescent="0.35">
      <c r="A148" s="135" t="s">
        <v>659</v>
      </c>
      <c r="B148" s="108" t="s">
        <v>198</v>
      </c>
      <c r="C148" s="134">
        <v>21772841</v>
      </c>
      <c r="D148" s="134">
        <v>-14884156</v>
      </c>
      <c r="E148" s="134">
        <v>0</v>
      </c>
      <c r="F148" s="134">
        <v>0</v>
      </c>
      <c r="G148" s="134">
        <v>0</v>
      </c>
      <c r="H148" s="134">
        <f t="shared" si="32"/>
        <v>6888685</v>
      </c>
      <c r="I148" s="134">
        <v>-6888685</v>
      </c>
      <c r="J148" s="134">
        <f t="shared" si="33"/>
        <v>0</v>
      </c>
      <c r="K148" s="134">
        <v>858809</v>
      </c>
      <c r="L148" s="134">
        <v>-858809</v>
      </c>
      <c r="M148" s="134">
        <f t="shared" si="34"/>
        <v>0</v>
      </c>
      <c r="N148" s="134">
        <f t="shared" si="35"/>
        <v>0</v>
      </c>
    </row>
    <row r="149" spans="1:14" s="100" customFormat="1" ht="15" customHeight="1" outlineLevel="1" x14ac:dyDescent="0.35">
      <c r="A149" s="135" t="s">
        <v>659</v>
      </c>
      <c r="B149" s="108" t="s">
        <v>197</v>
      </c>
      <c r="C149" s="134">
        <v>20305630</v>
      </c>
      <c r="D149" s="134">
        <v>-14144217</v>
      </c>
      <c r="E149" s="134">
        <v>0</v>
      </c>
      <c r="F149" s="134">
        <v>0</v>
      </c>
      <c r="G149" s="134">
        <v>0</v>
      </c>
      <c r="H149" s="134">
        <f t="shared" si="32"/>
        <v>6161413</v>
      </c>
      <c r="I149" s="134">
        <v>-6161413</v>
      </c>
      <c r="J149" s="134">
        <f t="shared" si="33"/>
        <v>0</v>
      </c>
      <c r="K149" s="134">
        <v>370613</v>
      </c>
      <c r="L149" s="134">
        <v>-370613</v>
      </c>
      <c r="M149" s="134">
        <f t="shared" si="34"/>
        <v>0</v>
      </c>
      <c r="N149" s="134">
        <f t="shared" si="35"/>
        <v>0</v>
      </c>
    </row>
    <row r="150" spans="1:14" s="125" customFormat="1" outlineLevel="1" x14ac:dyDescent="0.35">
      <c r="A150" s="135" t="s">
        <v>659</v>
      </c>
      <c r="B150" s="108" t="s">
        <v>196</v>
      </c>
      <c r="C150" s="134">
        <v>18341342</v>
      </c>
      <c r="D150" s="134">
        <v>-12765244</v>
      </c>
      <c r="E150" s="134">
        <v>0</v>
      </c>
      <c r="F150" s="134">
        <v>0</v>
      </c>
      <c r="G150" s="134">
        <v>0</v>
      </c>
      <c r="H150" s="134">
        <f t="shared" si="32"/>
        <v>5576098</v>
      </c>
      <c r="I150" s="134">
        <v>-5576098</v>
      </c>
      <c r="J150" s="134">
        <f t="shared" si="33"/>
        <v>0</v>
      </c>
      <c r="K150" s="134">
        <v>377292</v>
      </c>
      <c r="L150" s="134">
        <v>-377292</v>
      </c>
      <c r="M150" s="134">
        <f t="shared" si="34"/>
        <v>0</v>
      </c>
      <c r="N150" s="134">
        <f t="shared" si="35"/>
        <v>0</v>
      </c>
    </row>
    <row r="151" spans="1:14" s="125" customFormat="1" outlineLevel="2" x14ac:dyDescent="0.35">
      <c r="A151" s="135" t="s">
        <v>659</v>
      </c>
      <c r="B151" s="108" t="s">
        <v>195</v>
      </c>
      <c r="C151" s="134">
        <v>16334148</v>
      </c>
      <c r="D151" s="134">
        <v>-11319736</v>
      </c>
      <c r="E151" s="134">
        <v>0</v>
      </c>
      <c r="F151" s="134">
        <v>0</v>
      </c>
      <c r="G151" s="134">
        <v>0</v>
      </c>
      <c r="H151" s="134">
        <f t="shared" si="32"/>
        <v>5014412</v>
      </c>
      <c r="I151" s="134">
        <v>-5014412</v>
      </c>
      <c r="J151" s="134">
        <f t="shared" si="33"/>
        <v>0</v>
      </c>
      <c r="K151" s="134">
        <v>1149825</v>
      </c>
      <c r="L151" s="134">
        <v>-1149825</v>
      </c>
      <c r="M151" s="134">
        <f t="shared" si="34"/>
        <v>0</v>
      </c>
      <c r="N151" s="134">
        <f t="shared" si="35"/>
        <v>0</v>
      </c>
    </row>
    <row r="152" spans="1:14" s="125" customFormat="1" outlineLevel="2" x14ac:dyDescent="0.35">
      <c r="A152" s="135" t="s">
        <v>659</v>
      </c>
      <c r="B152" s="108" t="s">
        <v>194</v>
      </c>
      <c r="C152" s="134">
        <v>12050951</v>
      </c>
      <c r="D152" s="134">
        <v>-8603579</v>
      </c>
      <c r="E152" s="134">
        <v>0</v>
      </c>
      <c r="F152" s="134">
        <v>0</v>
      </c>
      <c r="G152" s="134">
        <v>0</v>
      </c>
      <c r="H152" s="134">
        <f t="shared" si="32"/>
        <v>3447372</v>
      </c>
      <c r="I152" s="134">
        <v>-3447372</v>
      </c>
      <c r="J152" s="134">
        <f t="shared" si="33"/>
        <v>0</v>
      </c>
      <c r="K152" s="134">
        <v>2446054</v>
      </c>
      <c r="L152" s="134">
        <v>-1758445</v>
      </c>
      <c r="M152" s="134">
        <f t="shared" si="34"/>
        <v>687609</v>
      </c>
      <c r="N152" s="134">
        <f t="shared" si="35"/>
        <v>-687609</v>
      </c>
    </row>
    <row r="153" spans="1:14" s="125" customFormat="1" ht="16" outlineLevel="2" thickBot="1" x14ac:dyDescent="0.4">
      <c r="A153" s="105" t="s">
        <v>624</v>
      </c>
      <c r="B153" s="133" t="s">
        <v>12</v>
      </c>
      <c r="C153" s="78">
        <f>SUBTOTAL(109,Program267[(C)
Program
Costs])</f>
        <v>266850110</v>
      </c>
      <c r="D153" s="78">
        <f>SUBTOTAL(109,Program267[(D)
Prior Period Adjustments])</f>
        <v>-185104511</v>
      </c>
      <c r="E153" s="78">
        <f>SUBTOTAL(109,Program267[(E)
Current Period Desk 
Reviews])</f>
        <v>0</v>
      </c>
      <c r="F153" s="78">
        <f>SUBTOTAL(109,Program267[(F)
Current Period 
Final 
Audits])</f>
        <v>0</v>
      </c>
      <c r="G153" s="78">
        <f>SUBTOTAL(109,Program267[(G)
Current Period 
Other Adjustments])</f>
        <v>0</v>
      </c>
      <c r="H153" s="78">
        <f>SUBTOTAL(109,Program267[(H)
Net Program Costs
Sum (C through G)])</f>
        <v>81745599</v>
      </c>
      <c r="I153" s="78">
        <f>SUBTOTAL(109,Program267[(I)
Payments
 and Offsets])</f>
        <v>-76102453</v>
      </c>
      <c r="J153" s="78">
        <f>SUBTOTAL(109,Program267[(J)
Accounts Payable Balance
(H + I)])</f>
        <v>5643146</v>
      </c>
      <c r="K153" s="78">
        <f>SUBTOTAL(109,Program267[(K)
Established 
Accounts Receivable])</f>
        <v>8794865</v>
      </c>
      <c r="L153" s="78">
        <f>SUBTOTAL(109,Program267[(L)
Recovered
 Accounts Receivable])</f>
        <v>-4514984</v>
      </c>
      <c r="M153" s="78">
        <f>SUBTOTAL(109,Program267[(M)
Accounts Receivable Balance
(K + L)])</f>
        <v>4279881</v>
      </c>
      <c r="N153" s="78">
        <f>SUBTOTAL(109,Program267[(N)
Net Balance
(J minus M)])</f>
        <v>1363265</v>
      </c>
    </row>
    <row r="154" spans="1:14" s="136" customFormat="1" outlineLevel="1" x14ac:dyDescent="0.35">
      <c r="A154" s="116" t="s">
        <v>33</v>
      </c>
      <c r="B154" s="115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</row>
    <row r="155" spans="1:14" s="100" customFormat="1" ht="78.75" customHeight="1" outlineLevel="1" x14ac:dyDescent="0.35">
      <c r="A155" s="60" t="s">
        <v>185</v>
      </c>
      <c r="B155" s="59" t="s">
        <v>184</v>
      </c>
      <c r="C155" s="58" t="s">
        <v>183</v>
      </c>
      <c r="D155" s="58" t="s">
        <v>182</v>
      </c>
      <c r="E155" s="56" t="s">
        <v>181</v>
      </c>
      <c r="F155" s="56" t="s">
        <v>180</v>
      </c>
      <c r="G155" s="56" t="s">
        <v>179</v>
      </c>
      <c r="H155" s="57" t="s">
        <v>674</v>
      </c>
      <c r="I155" s="55" t="s">
        <v>178</v>
      </c>
      <c r="J155" s="55" t="s">
        <v>177</v>
      </c>
      <c r="K155" s="56" t="s">
        <v>176</v>
      </c>
      <c r="L155" s="55" t="s">
        <v>175</v>
      </c>
      <c r="M155" s="55" t="s">
        <v>174</v>
      </c>
      <c r="N155" s="54" t="s">
        <v>173</v>
      </c>
    </row>
    <row r="156" spans="1:14" s="125" customFormat="1" outlineLevel="1" x14ac:dyDescent="0.35">
      <c r="A156" s="135" t="s">
        <v>658</v>
      </c>
      <c r="B156" s="108" t="s">
        <v>199</v>
      </c>
      <c r="C156" s="134">
        <v>4739</v>
      </c>
      <c r="D156" s="134">
        <v>0</v>
      </c>
      <c r="E156" s="134">
        <v>0</v>
      </c>
      <c r="F156" s="134">
        <v>0</v>
      </c>
      <c r="G156" s="134">
        <v>0</v>
      </c>
      <c r="H156" s="134">
        <f>SUM(C156:G156)</f>
        <v>4739</v>
      </c>
      <c r="I156" s="134">
        <v>-4739</v>
      </c>
      <c r="J156" s="134">
        <f>H156+I156</f>
        <v>0</v>
      </c>
      <c r="K156" s="134">
        <v>0</v>
      </c>
      <c r="L156" s="134">
        <v>0</v>
      </c>
      <c r="M156" s="134">
        <f>K156+L156</f>
        <v>0</v>
      </c>
      <c r="N156" s="134">
        <f>J156-M156</f>
        <v>0</v>
      </c>
    </row>
    <row r="157" spans="1:14" s="125" customFormat="1" outlineLevel="2" x14ac:dyDescent="0.35">
      <c r="A157" s="135" t="s">
        <v>658</v>
      </c>
      <c r="B157" s="108" t="s">
        <v>198</v>
      </c>
      <c r="C157" s="134">
        <v>1383</v>
      </c>
      <c r="D157" s="134">
        <v>0</v>
      </c>
      <c r="E157" s="134">
        <v>0</v>
      </c>
      <c r="F157" s="134">
        <v>0</v>
      </c>
      <c r="G157" s="134">
        <v>0</v>
      </c>
      <c r="H157" s="134">
        <f>SUM(C157:G157)</f>
        <v>1383</v>
      </c>
      <c r="I157" s="134">
        <v>-1383</v>
      </c>
      <c r="J157" s="134">
        <f>H157+I157</f>
        <v>0</v>
      </c>
      <c r="K157" s="134">
        <v>0</v>
      </c>
      <c r="L157" s="134">
        <v>0</v>
      </c>
      <c r="M157" s="134">
        <f>K157+L157</f>
        <v>0</v>
      </c>
      <c r="N157" s="134">
        <f>J157-M157</f>
        <v>0</v>
      </c>
    </row>
    <row r="158" spans="1:14" s="125" customFormat="1" outlineLevel="2" x14ac:dyDescent="0.35">
      <c r="A158" s="135" t="s">
        <v>658</v>
      </c>
      <c r="B158" s="108" t="s">
        <v>197</v>
      </c>
      <c r="C158" s="134">
        <v>6341</v>
      </c>
      <c r="D158" s="134">
        <v>-216</v>
      </c>
      <c r="E158" s="134">
        <v>0</v>
      </c>
      <c r="F158" s="134">
        <v>0</v>
      </c>
      <c r="G158" s="134">
        <v>0</v>
      </c>
      <c r="H158" s="134">
        <f>SUM(C158:G158)</f>
        <v>6125</v>
      </c>
      <c r="I158" s="134">
        <v>-6125</v>
      </c>
      <c r="J158" s="134">
        <f>H158+I158</f>
        <v>0</v>
      </c>
      <c r="K158" s="134">
        <v>0</v>
      </c>
      <c r="L158" s="134">
        <v>0</v>
      </c>
      <c r="M158" s="134">
        <f>K158+L158</f>
        <v>0</v>
      </c>
      <c r="N158" s="134">
        <f>J158-M158</f>
        <v>0</v>
      </c>
    </row>
    <row r="159" spans="1:14" s="125" customFormat="1" outlineLevel="2" x14ac:dyDescent="0.35">
      <c r="A159" s="135" t="s">
        <v>658</v>
      </c>
      <c r="B159" s="108" t="s">
        <v>196</v>
      </c>
      <c r="C159" s="134">
        <v>22608</v>
      </c>
      <c r="D159" s="134">
        <v>0</v>
      </c>
      <c r="E159" s="134">
        <v>0</v>
      </c>
      <c r="F159" s="134">
        <v>0</v>
      </c>
      <c r="G159" s="134">
        <v>0</v>
      </c>
      <c r="H159" s="134">
        <f>SUM(C159:G159)</f>
        <v>22608</v>
      </c>
      <c r="I159" s="134">
        <v>-22608</v>
      </c>
      <c r="J159" s="134">
        <f>H159+I159</f>
        <v>0</v>
      </c>
      <c r="K159" s="134">
        <v>0</v>
      </c>
      <c r="L159" s="134">
        <v>0</v>
      </c>
      <c r="M159" s="134">
        <f>K159+L159</f>
        <v>0</v>
      </c>
      <c r="N159" s="134">
        <f>J159-M159</f>
        <v>0</v>
      </c>
    </row>
    <row r="160" spans="1:14" s="125" customFormat="1" ht="16" outlineLevel="2" thickBot="1" x14ac:dyDescent="0.4">
      <c r="A160" s="105" t="s">
        <v>623</v>
      </c>
      <c r="B160" s="133" t="s">
        <v>12</v>
      </c>
      <c r="C160" s="78">
        <f>SUBTOTAL(109,Program243[(C)
Program
Costs])</f>
        <v>35071</v>
      </c>
      <c r="D160" s="78">
        <f>SUBTOTAL(109,Program243[(D)
Prior Period Adjustments])</f>
        <v>-216</v>
      </c>
      <c r="E160" s="78">
        <f>SUBTOTAL(109,Program243[(E)
Current Period Desk 
Reviews])</f>
        <v>0</v>
      </c>
      <c r="F160" s="78">
        <f>SUBTOTAL(109,Program243[(F)
Current Period 
Final 
Audits])</f>
        <v>0</v>
      </c>
      <c r="G160" s="78">
        <f>SUBTOTAL(109,Program243[(G)
Current Period 
Other Adjustments])</f>
        <v>0</v>
      </c>
      <c r="H160" s="78">
        <f>SUBTOTAL(109,Program243[(H)
Net Program Costs
Sum (C through G)])</f>
        <v>34855</v>
      </c>
      <c r="I160" s="78">
        <f>SUBTOTAL(109,Program243[(I)
Payments
 and Offsets])</f>
        <v>-34855</v>
      </c>
      <c r="J160" s="78">
        <f>SUBTOTAL(109,Program243[(J)
Accounts Payable Balance
(H + I)])</f>
        <v>0</v>
      </c>
      <c r="K160" s="78">
        <f>SUBTOTAL(109,Program243[(K)
Established 
Accounts Receivable])</f>
        <v>0</v>
      </c>
      <c r="L160" s="78">
        <f>SUBTOTAL(109,Program243[(L)
Recovered
 Accounts Receivable])</f>
        <v>0</v>
      </c>
      <c r="M160" s="78">
        <f>SUBTOTAL(109,Program243[(M)
Accounts Receivable Balance
(K + L)])</f>
        <v>0</v>
      </c>
      <c r="N160" s="78">
        <f>SUBTOTAL(109,Program243[(N)
Net Balance
(J minus M)])</f>
        <v>0</v>
      </c>
    </row>
    <row r="161" spans="1:14" s="125" customFormat="1" outlineLevel="2" x14ac:dyDescent="0.35">
      <c r="A161" s="116" t="s">
        <v>33</v>
      </c>
      <c r="B161" s="115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</row>
    <row r="162" spans="1:14" s="125" customFormat="1" ht="77.5" outlineLevel="2" x14ac:dyDescent="0.35">
      <c r="A162" s="60" t="s">
        <v>185</v>
      </c>
      <c r="B162" s="59" t="s">
        <v>184</v>
      </c>
      <c r="C162" s="58" t="s">
        <v>183</v>
      </c>
      <c r="D162" s="58" t="s">
        <v>182</v>
      </c>
      <c r="E162" s="56" t="s">
        <v>181</v>
      </c>
      <c r="F162" s="56" t="s">
        <v>180</v>
      </c>
      <c r="G162" s="56" t="s">
        <v>179</v>
      </c>
      <c r="H162" s="57" t="s">
        <v>674</v>
      </c>
      <c r="I162" s="55" t="s">
        <v>178</v>
      </c>
      <c r="J162" s="55" t="s">
        <v>177</v>
      </c>
      <c r="K162" s="56" t="s">
        <v>176</v>
      </c>
      <c r="L162" s="55" t="s">
        <v>175</v>
      </c>
      <c r="M162" s="55" t="s">
        <v>174</v>
      </c>
      <c r="N162" s="54" t="s">
        <v>173</v>
      </c>
    </row>
    <row r="163" spans="1:14" s="136" customFormat="1" ht="31" outlineLevel="1" x14ac:dyDescent="0.35">
      <c r="A163" s="141" t="s">
        <v>657</v>
      </c>
      <c r="B163" s="108" t="s">
        <v>196</v>
      </c>
      <c r="C163" s="134">
        <v>417</v>
      </c>
      <c r="D163" s="134">
        <v>0</v>
      </c>
      <c r="E163" s="134">
        <v>0</v>
      </c>
      <c r="F163" s="134">
        <v>0</v>
      </c>
      <c r="G163" s="134">
        <v>0</v>
      </c>
      <c r="H163" s="134">
        <f>SUM(C163:G163)</f>
        <v>417</v>
      </c>
      <c r="I163" s="134">
        <v>-417</v>
      </c>
      <c r="J163" s="134">
        <f>H163+I163</f>
        <v>0</v>
      </c>
      <c r="K163" s="134">
        <v>0</v>
      </c>
      <c r="L163" s="134">
        <v>0</v>
      </c>
      <c r="M163" s="134">
        <f>K163+L163</f>
        <v>0</v>
      </c>
      <c r="N163" s="134">
        <f>J163-M163</f>
        <v>0</v>
      </c>
    </row>
    <row r="164" spans="1:14" s="100" customFormat="1" ht="30" customHeight="1" outlineLevel="1" x14ac:dyDescent="0.35">
      <c r="A164" s="141" t="s">
        <v>657</v>
      </c>
      <c r="B164" s="108" t="s">
        <v>195</v>
      </c>
      <c r="C164" s="134">
        <v>453</v>
      </c>
      <c r="D164" s="134">
        <v>0</v>
      </c>
      <c r="E164" s="134">
        <v>0</v>
      </c>
      <c r="F164" s="134">
        <v>0</v>
      </c>
      <c r="G164" s="134">
        <v>0</v>
      </c>
      <c r="H164" s="134">
        <f>SUM(C164:G164)</f>
        <v>453</v>
      </c>
      <c r="I164" s="134">
        <v>-453</v>
      </c>
      <c r="J164" s="134">
        <f>H164+I164</f>
        <v>0</v>
      </c>
      <c r="K164" s="134">
        <v>0</v>
      </c>
      <c r="L164" s="134">
        <v>0</v>
      </c>
      <c r="M164" s="134">
        <f>K164+L164</f>
        <v>0</v>
      </c>
      <c r="N164" s="134">
        <f>J164-M164</f>
        <v>0</v>
      </c>
    </row>
    <row r="165" spans="1:14" s="125" customFormat="1" ht="31" outlineLevel="1" x14ac:dyDescent="0.35">
      <c r="A165" s="141" t="s">
        <v>657</v>
      </c>
      <c r="B165" s="108" t="s">
        <v>194</v>
      </c>
      <c r="C165" s="134">
        <v>462</v>
      </c>
      <c r="D165" s="134">
        <v>0</v>
      </c>
      <c r="E165" s="134">
        <v>0</v>
      </c>
      <c r="F165" s="134">
        <v>0</v>
      </c>
      <c r="G165" s="134">
        <v>0</v>
      </c>
      <c r="H165" s="134">
        <f>SUM(C165:G165)</f>
        <v>462</v>
      </c>
      <c r="I165" s="134">
        <v>-462</v>
      </c>
      <c r="J165" s="134">
        <f>H165+I165</f>
        <v>0</v>
      </c>
      <c r="K165" s="134">
        <v>0</v>
      </c>
      <c r="L165" s="134">
        <v>0</v>
      </c>
      <c r="M165" s="134">
        <f>K165+L165</f>
        <v>0</v>
      </c>
      <c r="N165" s="134">
        <f>J165-M165</f>
        <v>0</v>
      </c>
    </row>
    <row r="166" spans="1:14" s="125" customFormat="1" ht="31" outlineLevel="2" x14ac:dyDescent="0.35">
      <c r="A166" s="141" t="s">
        <v>657</v>
      </c>
      <c r="B166" s="108" t="s">
        <v>193</v>
      </c>
      <c r="C166" s="134">
        <v>3479</v>
      </c>
      <c r="D166" s="134">
        <v>0</v>
      </c>
      <c r="E166" s="134">
        <v>0</v>
      </c>
      <c r="F166" s="134">
        <v>0</v>
      </c>
      <c r="G166" s="134">
        <v>0</v>
      </c>
      <c r="H166" s="134">
        <f>SUM(C166:G166)</f>
        <v>3479</v>
      </c>
      <c r="I166" s="134">
        <v>-3479</v>
      </c>
      <c r="J166" s="134">
        <f>H166+I166</f>
        <v>0</v>
      </c>
      <c r="K166" s="134">
        <v>0</v>
      </c>
      <c r="L166" s="134">
        <v>0</v>
      </c>
      <c r="M166" s="134">
        <f>K166+L166</f>
        <v>0</v>
      </c>
      <c r="N166" s="134">
        <f>J166-M166</f>
        <v>0</v>
      </c>
    </row>
    <row r="167" spans="1:14" s="125" customFormat="1" ht="16" outlineLevel="2" thickBot="1" x14ac:dyDescent="0.4">
      <c r="A167" s="105" t="s">
        <v>622</v>
      </c>
      <c r="B167" s="133" t="s">
        <v>12</v>
      </c>
      <c r="C167" s="78">
        <f>SUBTOTAL(109,Program233[(C)
Program
Costs])</f>
        <v>4811</v>
      </c>
      <c r="D167" s="78">
        <f>SUBTOTAL(109,Program233[(D)
Prior Period Adjustments])</f>
        <v>0</v>
      </c>
      <c r="E167" s="78">
        <f>SUBTOTAL(109,Program233[(E)
Current Period Desk 
Reviews])</f>
        <v>0</v>
      </c>
      <c r="F167" s="78">
        <f>SUBTOTAL(109,Program233[(F)
Current Period 
Final 
Audits])</f>
        <v>0</v>
      </c>
      <c r="G167" s="78">
        <f>SUBTOTAL(109,Program233[(G)
Current Period 
Other Adjustments])</f>
        <v>0</v>
      </c>
      <c r="H167" s="78">
        <f>SUBTOTAL(109,Program233[(H)
Net Program Costs
Sum (C through G)])</f>
        <v>4811</v>
      </c>
      <c r="I167" s="78">
        <f>SUBTOTAL(109,Program233[(I)
Payments
 and Offsets])</f>
        <v>-4811</v>
      </c>
      <c r="J167" s="78">
        <f>SUBTOTAL(109,Program233[(J)
Accounts Payable Balance
(H + I)])</f>
        <v>0</v>
      </c>
      <c r="K167" s="78">
        <f>SUBTOTAL(109,Program233[(K)
Established 
Accounts Receivable])</f>
        <v>0</v>
      </c>
      <c r="L167" s="78">
        <f>SUBTOTAL(109,Program233[(L)
Recovered
 Accounts Receivable])</f>
        <v>0</v>
      </c>
      <c r="M167" s="78">
        <f>SUBTOTAL(109,Program233[(M)
Accounts Receivable Balance
(K + L)])</f>
        <v>0</v>
      </c>
      <c r="N167" s="78">
        <f>SUBTOTAL(109,Program233[(N)
Net Balance
(J minus M)])</f>
        <v>0</v>
      </c>
    </row>
    <row r="168" spans="1:14" s="125" customFormat="1" outlineLevel="2" x14ac:dyDescent="0.35">
      <c r="A168" s="116" t="s">
        <v>33</v>
      </c>
      <c r="B168" s="115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</row>
    <row r="169" spans="1:14" s="125" customFormat="1" ht="77.5" outlineLevel="2" x14ac:dyDescent="0.35">
      <c r="A169" s="60" t="s">
        <v>185</v>
      </c>
      <c r="B169" s="59" t="s">
        <v>184</v>
      </c>
      <c r="C169" s="58" t="s">
        <v>183</v>
      </c>
      <c r="D169" s="58" t="s">
        <v>182</v>
      </c>
      <c r="E169" s="56" t="s">
        <v>181</v>
      </c>
      <c r="F169" s="56" t="s">
        <v>180</v>
      </c>
      <c r="G169" s="56" t="s">
        <v>179</v>
      </c>
      <c r="H169" s="57" t="s">
        <v>674</v>
      </c>
      <c r="I169" s="55" t="s">
        <v>178</v>
      </c>
      <c r="J169" s="55" t="s">
        <v>177</v>
      </c>
      <c r="K169" s="56" t="s">
        <v>176</v>
      </c>
      <c r="L169" s="55" t="s">
        <v>175</v>
      </c>
      <c r="M169" s="55" t="s">
        <v>174</v>
      </c>
      <c r="N169" s="54" t="s">
        <v>173</v>
      </c>
    </row>
    <row r="170" spans="1:14" s="125" customFormat="1" outlineLevel="2" x14ac:dyDescent="0.35">
      <c r="A170" s="135" t="s">
        <v>656</v>
      </c>
      <c r="B170" s="108" t="s">
        <v>193</v>
      </c>
      <c r="C170" s="134">
        <v>0</v>
      </c>
      <c r="D170" s="134">
        <v>0</v>
      </c>
      <c r="E170" s="134">
        <v>0</v>
      </c>
      <c r="F170" s="134">
        <v>0</v>
      </c>
      <c r="G170" s="134">
        <v>0</v>
      </c>
      <c r="H170" s="134">
        <f t="shared" ref="H170:H176" si="36">SUM(C170:G170)</f>
        <v>0</v>
      </c>
      <c r="I170" s="134">
        <v>0</v>
      </c>
      <c r="J170" s="134">
        <f t="shared" ref="J170:J176" si="37">H170+I170</f>
        <v>0</v>
      </c>
      <c r="K170" s="134">
        <v>207365</v>
      </c>
      <c r="L170" s="134">
        <v>-207365</v>
      </c>
      <c r="M170" s="134">
        <f t="shared" ref="M170:M176" si="38">K170+L170</f>
        <v>0</v>
      </c>
      <c r="N170" s="134">
        <f t="shared" ref="N170:N176" si="39">J170-M170</f>
        <v>0</v>
      </c>
    </row>
    <row r="171" spans="1:14" s="125" customFormat="1" outlineLevel="2" x14ac:dyDescent="0.35">
      <c r="A171" s="135" t="s">
        <v>656</v>
      </c>
      <c r="B171" s="108" t="s">
        <v>190</v>
      </c>
      <c r="C171" s="134">
        <v>0</v>
      </c>
      <c r="D171" s="134">
        <v>0</v>
      </c>
      <c r="E171" s="134">
        <v>0</v>
      </c>
      <c r="F171" s="134">
        <v>0</v>
      </c>
      <c r="G171" s="134">
        <v>0</v>
      </c>
      <c r="H171" s="134">
        <f t="shared" si="36"/>
        <v>0</v>
      </c>
      <c r="I171" s="134">
        <v>0</v>
      </c>
      <c r="J171" s="134">
        <f t="shared" si="37"/>
        <v>0</v>
      </c>
      <c r="K171" s="134">
        <v>54545</v>
      </c>
      <c r="L171" s="134">
        <v>-54545</v>
      </c>
      <c r="M171" s="134">
        <f t="shared" si="38"/>
        <v>0</v>
      </c>
      <c r="N171" s="134">
        <f t="shared" si="39"/>
        <v>0</v>
      </c>
    </row>
    <row r="172" spans="1:14" s="125" customFormat="1" outlineLevel="2" x14ac:dyDescent="0.35">
      <c r="A172" s="135" t="s">
        <v>656</v>
      </c>
      <c r="B172" s="108" t="s">
        <v>189</v>
      </c>
      <c r="C172" s="134">
        <v>1886992</v>
      </c>
      <c r="D172" s="134">
        <v>-109419</v>
      </c>
      <c r="E172" s="134">
        <v>0</v>
      </c>
      <c r="F172" s="134">
        <v>0</v>
      </c>
      <c r="G172" s="134">
        <v>0</v>
      </c>
      <c r="H172" s="134">
        <f t="shared" si="36"/>
        <v>1777573</v>
      </c>
      <c r="I172" s="134">
        <v>-1777573</v>
      </c>
      <c r="J172" s="134">
        <f t="shared" si="37"/>
        <v>0</v>
      </c>
      <c r="K172" s="134">
        <v>2291</v>
      </c>
      <c r="L172" s="134">
        <v>-2291</v>
      </c>
      <c r="M172" s="134">
        <f t="shared" si="38"/>
        <v>0</v>
      </c>
      <c r="N172" s="134">
        <f t="shared" si="39"/>
        <v>0</v>
      </c>
    </row>
    <row r="173" spans="1:14" s="125" customFormat="1" outlineLevel="2" x14ac:dyDescent="0.35">
      <c r="A173" s="135" t="s">
        <v>656</v>
      </c>
      <c r="B173" s="108" t="s">
        <v>188</v>
      </c>
      <c r="C173" s="134">
        <v>1269423</v>
      </c>
      <c r="D173" s="134">
        <v>-138446</v>
      </c>
      <c r="E173" s="134">
        <v>0</v>
      </c>
      <c r="F173" s="134">
        <v>0</v>
      </c>
      <c r="G173" s="134">
        <v>0</v>
      </c>
      <c r="H173" s="134">
        <f t="shared" si="36"/>
        <v>1130977</v>
      </c>
      <c r="I173" s="134">
        <v>-1130977</v>
      </c>
      <c r="J173" s="134">
        <f t="shared" si="37"/>
        <v>0</v>
      </c>
      <c r="K173" s="134">
        <v>119762</v>
      </c>
      <c r="L173" s="134">
        <v>-119762</v>
      </c>
      <c r="M173" s="134">
        <f t="shared" si="38"/>
        <v>0</v>
      </c>
      <c r="N173" s="134">
        <f t="shared" si="39"/>
        <v>0</v>
      </c>
    </row>
    <row r="174" spans="1:14" s="125" customFormat="1" outlineLevel="2" x14ac:dyDescent="0.35">
      <c r="A174" s="135" t="s">
        <v>656</v>
      </c>
      <c r="B174" s="108" t="s">
        <v>186</v>
      </c>
      <c r="C174" s="134">
        <v>1398712</v>
      </c>
      <c r="D174" s="134">
        <v>39750</v>
      </c>
      <c r="E174" s="134">
        <v>0</v>
      </c>
      <c r="F174" s="134">
        <v>0</v>
      </c>
      <c r="G174" s="134">
        <v>0</v>
      </c>
      <c r="H174" s="134">
        <f t="shared" si="36"/>
        <v>1438462</v>
      </c>
      <c r="I174" s="134">
        <v>-1438462</v>
      </c>
      <c r="J174" s="134">
        <f t="shared" si="37"/>
        <v>0</v>
      </c>
      <c r="K174" s="134">
        <v>89698</v>
      </c>
      <c r="L174" s="134">
        <v>-89698</v>
      </c>
      <c r="M174" s="134">
        <f t="shared" si="38"/>
        <v>0</v>
      </c>
      <c r="N174" s="134">
        <f t="shared" si="39"/>
        <v>0</v>
      </c>
    </row>
    <row r="175" spans="1:14" s="125" customFormat="1" outlineLevel="2" x14ac:dyDescent="0.35">
      <c r="A175" s="135" t="s">
        <v>656</v>
      </c>
      <c r="B175" s="108" t="s">
        <v>227</v>
      </c>
      <c r="C175" s="134">
        <v>0</v>
      </c>
      <c r="D175" s="134">
        <v>0</v>
      </c>
      <c r="E175" s="134">
        <v>0</v>
      </c>
      <c r="F175" s="134">
        <v>0</v>
      </c>
      <c r="G175" s="134">
        <v>0</v>
      </c>
      <c r="H175" s="134">
        <f t="shared" si="36"/>
        <v>0</v>
      </c>
      <c r="I175" s="134">
        <v>0</v>
      </c>
      <c r="J175" s="134">
        <f t="shared" si="37"/>
        <v>0</v>
      </c>
      <c r="K175" s="134">
        <v>68964</v>
      </c>
      <c r="L175" s="134">
        <v>-68964</v>
      </c>
      <c r="M175" s="134">
        <f t="shared" si="38"/>
        <v>0</v>
      </c>
      <c r="N175" s="134">
        <f t="shared" si="39"/>
        <v>0</v>
      </c>
    </row>
    <row r="176" spans="1:14" s="125" customFormat="1" outlineLevel="2" x14ac:dyDescent="0.35">
      <c r="A176" s="135" t="s">
        <v>656</v>
      </c>
      <c r="B176" s="108" t="s">
        <v>226</v>
      </c>
      <c r="C176" s="134">
        <v>0</v>
      </c>
      <c r="D176" s="134">
        <v>0</v>
      </c>
      <c r="E176" s="134">
        <v>0</v>
      </c>
      <c r="F176" s="134">
        <v>0</v>
      </c>
      <c r="G176" s="134">
        <v>0</v>
      </c>
      <c r="H176" s="134">
        <f t="shared" si="36"/>
        <v>0</v>
      </c>
      <c r="I176" s="134">
        <v>0</v>
      </c>
      <c r="J176" s="134">
        <f t="shared" si="37"/>
        <v>0</v>
      </c>
      <c r="K176" s="134">
        <v>14486</v>
      </c>
      <c r="L176" s="134">
        <v>-14486</v>
      </c>
      <c r="M176" s="134">
        <f t="shared" si="38"/>
        <v>0</v>
      </c>
      <c r="N176" s="134">
        <f t="shared" si="39"/>
        <v>0</v>
      </c>
    </row>
    <row r="177" spans="1:14" s="125" customFormat="1" ht="16" outlineLevel="2" thickBot="1" x14ac:dyDescent="0.4">
      <c r="A177" s="105" t="s">
        <v>621</v>
      </c>
      <c r="B177" s="133" t="s">
        <v>12</v>
      </c>
      <c r="C177" s="78">
        <f>SUBTOTAL(109,Program29[(C)
Program
Costs])</f>
        <v>4555127</v>
      </c>
      <c r="D177" s="78">
        <f>SUBTOTAL(109,Program29[(D)
Prior Period Adjustments])</f>
        <v>-208115</v>
      </c>
      <c r="E177" s="78">
        <f>SUBTOTAL(109,Program29[(E)
Current Period Desk 
Reviews])</f>
        <v>0</v>
      </c>
      <c r="F177" s="78">
        <f>SUBTOTAL(109,Program29[(F)
Current Period 
Final 
Audits])</f>
        <v>0</v>
      </c>
      <c r="G177" s="78">
        <f>SUBTOTAL(109,Program29[(G)
Current Period 
Other Adjustments])</f>
        <v>0</v>
      </c>
      <c r="H177" s="78">
        <f>SUBTOTAL(109,Program29[(H)
Net Program Costs
Sum (C through G)])</f>
        <v>4347012</v>
      </c>
      <c r="I177" s="78">
        <f>SUBTOTAL(109,Program29[(I)
Payments
 and Offsets])</f>
        <v>-4347012</v>
      </c>
      <c r="J177" s="78">
        <f>SUBTOTAL(109,Program29[(J)
Accounts Payable Balance
(H + I)])</f>
        <v>0</v>
      </c>
      <c r="K177" s="78">
        <f>SUBTOTAL(109,Program29[(K)
Established 
Accounts Receivable])</f>
        <v>557111</v>
      </c>
      <c r="L177" s="78">
        <f>SUBTOTAL(109,Program29[(L)
Recovered
 Accounts Receivable])</f>
        <v>-557111</v>
      </c>
      <c r="M177" s="78">
        <f>SUBTOTAL(109,Program29[(M)
Accounts Receivable Balance
(K + L)])</f>
        <v>0</v>
      </c>
      <c r="N177" s="78">
        <f>SUBTOTAL(109,Program29[(N)
Net Balance
(J minus M)])</f>
        <v>0</v>
      </c>
    </row>
    <row r="178" spans="1:14" s="125" customFormat="1" outlineLevel="2" x14ac:dyDescent="0.35">
      <c r="A178" s="116" t="s">
        <v>33</v>
      </c>
      <c r="B178" s="115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</row>
    <row r="179" spans="1:14" s="125" customFormat="1" ht="77.5" outlineLevel="2" x14ac:dyDescent="0.35">
      <c r="A179" s="60" t="s">
        <v>185</v>
      </c>
      <c r="B179" s="59" t="s">
        <v>184</v>
      </c>
      <c r="C179" s="58" t="s">
        <v>183</v>
      </c>
      <c r="D179" s="58" t="s">
        <v>182</v>
      </c>
      <c r="E179" s="56" t="s">
        <v>181</v>
      </c>
      <c r="F179" s="56" t="s">
        <v>180</v>
      </c>
      <c r="G179" s="56" t="s">
        <v>179</v>
      </c>
      <c r="H179" s="57" t="s">
        <v>674</v>
      </c>
      <c r="I179" s="55" t="s">
        <v>178</v>
      </c>
      <c r="J179" s="55" t="s">
        <v>177</v>
      </c>
      <c r="K179" s="56" t="s">
        <v>176</v>
      </c>
      <c r="L179" s="55" t="s">
        <v>175</v>
      </c>
      <c r="M179" s="55" t="s">
        <v>174</v>
      </c>
      <c r="N179" s="54" t="s">
        <v>173</v>
      </c>
    </row>
    <row r="180" spans="1:14" s="125" customFormat="1" ht="31" outlineLevel="2" x14ac:dyDescent="0.35">
      <c r="A180" s="141" t="s">
        <v>655</v>
      </c>
      <c r="B180" s="108" t="s">
        <v>209</v>
      </c>
      <c r="C180" s="134">
        <v>560276</v>
      </c>
      <c r="D180" s="134">
        <v>0</v>
      </c>
      <c r="E180" s="134">
        <v>0</v>
      </c>
      <c r="F180" s="134">
        <v>0</v>
      </c>
      <c r="G180" s="134">
        <v>0</v>
      </c>
      <c r="H180" s="134">
        <f t="shared" ref="H180:H198" si="40">SUM(C180:G180)</f>
        <v>560276</v>
      </c>
      <c r="I180" s="134">
        <v>-560276</v>
      </c>
      <c r="J180" s="134">
        <f t="shared" ref="J180:J198" si="41">H180+I180</f>
        <v>0</v>
      </c>
      <c r="K180" s="134">
        <v>0</v>
      </c>
      <c r="L180" s="134">
        <v>0</v>
      </c>
      <c r="M180" s="134">
        <f t="shared" ref="M180:M198" si="42">K180+L180</f>
        <v>0</v>
      </c>
      <c r="N180" s="134">
        <f t="shared" ref="N180:N198" si="43">J180-M180</f>
        <v>0</v>
      </c>
    </row>
    <row r="181" spans="1:14" s="125" customFormat="1" ht="31" outlineLevel="2" x14ac:dyDescent="0.35">
      <c r="A181" s="141" t="s">
        <v>655</v>
      </c>
      <c r="B181" s="108" t="s">
        <v>208</v>
      </c>
      <c r="C181" s="134">
        <v>5160663</v>
      </c>
      <c r="D181" s="134">
        <v>-72337</v>
      </c>
      <c r="E181" s="134">
        <v>0</v>
      </c>
      <c r="F181" s="134">
        <v>0</v>
      </c>
      <c r="G181" s="134">
        <v>0</v>
      </c>
      <c r="H181" s="134">
        <f t="shared" si="40"/>
        <v>5088326</v>
      </c>
      <c r="I181" s="134">
        <v>-4545035</v>
      </c>
      <c r="J181" s="134">
        <f t="shared" si="41"/>
        <v>543291</v>
      </c>
      <c r="K181" s="134">
        <v>0</v>
      </c>
      <c r="L181" s="134">
        <v>0</v>
      </c>
      <c r="M181" s="134">
        <f t="shared" si="42"/>
        <v>0</v>
      </c>
      <c r="N181" s="134">
        <f t="shared" si="43"/>
        <v>543291</v>
      </c>
    </row>
    <row r="182" spans="1:14" s="125" customFormat="1" ht="31" outlineLevel="2" x14ac:dyDescent="0.35">
      <c r="A182" s="141" t="s">
        <v>655</v>
      </c>
      <c r="B182" s="108" t="s">
        <v>206</v>
      </c>
      <c r="C182" s="134">
        <v>6094165</v>
      </c>
      <c r="D182" s="134">
        <v>-458030</v>
      </c>
      <c r="E182" s="134">
        <v>0</v>
      </c>
      <c r="F182" s="134">
        <v>0</v>
      </c>
      <c r="G182" s="134">
        <v>0</v>
      </c>
      <c r="H182" s="134">
        <f t="shared" si="40"/>
        <v>5636135</v>
      </c>
      <c r="I182" s="134">
        <v>-5483671</v>
      </c>
      <c r="J182" s="134">
        <f t="shared" si="41"/>
        <v>152464</v>
      </c>
      <c r="K182" s="134">
        <v>0</v>
      </c>
      <c r="L182" s="134">
        <v>0</v>
      </c>
      <c r="M182" s="134">
        <f t="shared" si="42"/>
        <v>0</v>
      </c>
      <c r="N182" s="134">
        <f t="shared" si="43"/>
        <v>152464</v>
      </c>
    </row>
    <row r="183" spans="1:14" s="136" customFormat="1" ht="31" outlineLevel="1" x14ac:dyDescent="0.35">
      <c r="A183" s="141" t="s">
        <v>655</v>
      </c>
      <c r="B183" s="108" t="s">
        <v>205</v>
      </c>
      <c r="C183" s="134">
        <v>4954132</v>
      </c>
      <c r="D183" s="134">
        <v>-1887766</v>
      </c>
      <c r="E183" s="134">
        <v>0</v>
      </c>
      <c r="F183" s="134">
        <v>0</v>
      </c>
      <c r="G183" s="134">
        <v>0</v>
      </c>
      <c r="H183" s="134">
        <f t="shared" si="40"/>
        <v>3066366</v>
      </c>
      <c r="I183" s="134">
        <v>-3066366</v>
      </c>
      <c r="J183" s="134">
        <f t="shared" si="41"/>
        <v>0</v>
      </c>
      <c r="K183" s="134">
        <v>1619834</v>
      </c>
      <c r="L183" s="134">
        <v>-258603</v>
      </c>
      <c r="M183" s="134">
        <f t="shared" si="42"/>
        <v>1361231</v>
      </c>
      <c r="N183" s="134">
        <f t="shared" si="43"/>
        <v>-1361231</v>
      </c>
    </row>
    <row r="184" spans="1:14" s="100" customFormat="1" ht="30" customHeight="1" outlineLevel="1" x14ac:dyDescent="0.35">
      <c r="A184" s="141" t="s">
        <v>655</v>
      </c>
      <c r="B184" s="108" t="s">
        <v>204</v>
      </c>
      <c r="C184" s="134">
        <v>7214867</v>
      </c>
      <c r="D184" s="134">
        <v>-4476886</v>
      </c>
      <c r="E184" s="134">
        <v>0</v>
      </c>
      <c r="F184" s="134">
        <v>0</v>
      </c>
      <c r="G184" s="134">
        <v>0</v>
      </c>
      <c r="H184" s="134">
        <f t="shared" si="40"/>
        <v>2737981</v>
      </c>
      <c r="I184" s="134">
        <v>-2737981</v>
      </c>
      <c r="J184" s="134">
        <f t="shared" si="41"/>
        <v>0</v>
      </c>
      <c r="K184" s="134">
        <v>3372799</v>
      </c>
      <c r="L184" s="134">
        <v>-384373</v>
      </c>
      <c r="M184" s="134">
        <f t="shared" si="42"/>
        <v>2988426</v>
      </c>
      <c r="N184" s="134">
        <f t="shared" si="43"/>
        <v>-2988426</v>
      </c>
    </row>
    <row r="185" spans="1:14" s="125" customFormat="1" ht="31" outlineLevel="1" x14ac:dyDescent="0.35">
      <c r="A185" s="141" t="s">
        <v>655</v>
      </c>
      <c r="B185" s="108" t="s">
        <v>203</v>
      </c>
      <c r="C185" s="134">
        <v>7628146</v>
      </c>
      <c r="D185" s="134">
        <v>-5075107</v>
      </c>
      <c r="E185" s="134">
        <v>0</v>
      </c>
      <c r="F185" s="134">
        <v>0</v>
      </c>
      <c r="G185" s="134">
        <v>0</v>
      </c>
      <c r="H185" s="134">
        <f t="shared" si="40"/>
        <v>2553039</v>
      </c>
      <c r="I185" s="134">
        <v>-2553039</v>
      </c>
      <c r="J185" s="134">
        <f t="shared" si="41"/>
        <v>0</v>
      </c>
      <c r="K185" s="134">
        <v>2583827</v>
      </c>
      <c r="L185" s="134">
        <v>-926649</v>
      </c>
      <c r="M185" s="134">
        <f t="shared" si="42"/>
        <v>1657178</v>
      </c>
      <c r="N185" s="134">
        <f t="shared" si="43"/>
        <v>-1657178</v>
      </c>
    </row>
    <row r="186" spans="1:14" s="125" customFormat="1" ht="31" outlineLevel="2" x14ac:dyDescent="0.35">
      <c r="A186" s="141" t="s">
        <v>655</v>
      </c>
      <c r="B186" s="108" t="s">
        <v>202</v>
      </c>
      <c r="C186" s="134">
        <v>6612012</v>
      </c>
      <c r="D186" s="134">
        <v>-4494798</v>
      </c>
      <c r="E186" s="134">
        <v>0</v>
      </c>
      <c r="F186" s="134">
        <v>0</v>
      </c>
      <c r="G186" s="134">
        <v>0</v>
      </c>
      <c r="H186" s="134">
        <f t="shared" si="40"/>
        <v>2117214</v>
      </c>
      <c r="I186" s="134">
        <v>-2079660</v>
      </c>
      <c r="J186" s="134">
        <f t="shared" si="41"/>
        <v>37554</v>
      </c>
      <c r="K186" s="134">
        <v>3094765</v>
      </c>
      <c r="L186" s="134">
        <v>-2027098</v>
      </c>
      <c r="M186" s="134">
        <f t="shared" si="42"/>
        <v>1067667</v>
      </c>
      <c r="N186" s="134">
        <f t="shared" si="43"/>
        <v>-1030113</v>
      </c>
    </row>
    <row r="187" spans="1:14" s="125" customFormat="1" ht="31" outlineLevel="2" x14ac:dyDescent="0.35">
      <c r="A187" s="141" t="s">
        <v>655</v>
      </c>
      <c r="B187" s="108" t="s">
        <v>201</v>
      </c>
      <c r="C187" s="134">
        <v>9800727</v>
      </c>
      <c r="D187" s="134">
        <v>-6502175</v>
      </c>
      <c r="E187" s="134">
        <v>0</v>
      </c>
      <c r="F187" s="134">
        <v>0</v>
      </c>
      <c r="G187" s="134">
        <v>0</v>
      </c>
      <c r="H187" s="134">
        <f t="shared" si="40"/>
        <v>3298552</v>
      </c>
      <c r="I187" s="134">
        <v>-3211845</v>
      </c>
      <c r="J187" s="134">
        <f t="shared" si="41"/>
        <v>86707</v>
      </c>
      <c r="K187" s="134">
        <v>0</v>
      </c>
      <c r="L187" s="134">
        <v>0</v>
      </c>
      <c r="M187" s="134">
        <f t="shared" si="42"/>
        <v>0</v>
      </c>
      <c r="N187" s="134">
        <f t="shared" si="43"/>
        <v>86707</v>
      </c>
    </row>
    <row r="188" spans="1:14" s="125" customFormat="1" ht="31" outlineLevel="2" x14ac:dyDescent="0.35">
      <c r="A188" s="141" t="s">
        <v>655</v>
      </c>
      <c r="B188" s="108" t="s">
        <v>200</v>
      </c>
      <c r="C188" s="134">
        <v>11698470</v>
      </c>
      <c r="D188" s="134">
        <v>-4661214</v>
      </c>
      <c r="E188" s="134">
        <v>0</v>
      </c>
      <c r="F188" s="134">
        <v>0</v>
      </c>
      <c r="G188" s="134">
        <v>0</v>
      </c>
      <c r="H188" s="134">
        <f t="shared" si="40"/>
        <v>7037256</v>
      </c>
      <c r="I188" s="134">
        <v>-7037256</v>
      </c>
      <c r="J188" s="134">
        <f t="shared" si="41"/>
        <v>0</v>
      </c>
      <c r="K188" s="134">
        <v>0</v>
      </c>
      <c r="L188" s="134">
        <v>0</v>
      </c>
      <c r="M188" s="134">
        <f t="shared" si="42"/>
        <v>0</v>
      </c>
      <c r="N188" s="134">
        <f t="shared" si="43"/>
        <v>0</v>
      </c>
    </row>
    <row r="189" spans="1:14" s="125" customFormat="1" ht="31" outlineLevel="2" x14ac:dyDescent="0.35">
      <c r="A189" s="141" t="s">
        <v>655</v>
      </c>
      <c r="B189" s="108" t="s">
        <v>199</v>
      </c>
      <c r="C189" s="134">
        <v>10545681</v>
      </c>
      <c r="D189" s="134">
        <v>-4931295</v>
      </c>
      <c r="E189" s="134">
        <v>0</v>
      </c>
      <c r="F189" s="134">
        <v>0</v>
      </c>
      <c r="G189" s="134">
        <v>0</v>
      </c>
      <c r="H189" s="134">
        <f t="shared" si="40"/>
        <v>5614386</v>
      </c>
      <c r="I189" s="134">
        <v>-5614386</v>
      </c>
      <c r="J189" s="134">
        <f t="shared" si="41"/>
        <v>0</v>
      </c>
      <c r="K189" s="134">
        <v>0</v>
      </c>
      <c r="L189" s="134">
        <v>0</v>
      </c>
      <c r="M189" s="134">
        <f t="shared" si="42"/>
        <v>0</v>
      </c>
      <c r="N189" s="134">
        <f t="shared" si="43"/>
        <v>0</v>
      </c>
    </row>
    <row r="190" spans="1:14" s="125" customFormat="1" ht="31" outlineLevel="2" x14ac:dyDescent="0.35">
      <c r="A190" s="141" t="s">
        <v>655</v>
      </c>
      <c r="B190" s="108" t="s">
        <v>198</v>
      </c>
      <c r="C190" s="134">
        <v>10906124</v>
      </c>
      <c r="D190" s="134">
        <v>-5466968</v>
      </c>
      <c r="E190" s="134">
        <v>0</v>
      </c>
      <c r="F190" s="134">
        <v>0</v>
      </c>
      <c r="G190" s="134">
        <v>0</v>
      </c>
      <c r="H190" s="134">
        <f t="shared" si="40"/>
        <v>5439156</v>
      </c>
      <c r="I190" s="134">
        <v>-5439156</v>
      </c>
      <c r="J190" s="134">
        <f t="shared" si="41"/>
        <v>0</v>
      </c>
      <c r="K190" s="134">
        <v>3547273</v>
      </c>
      <c r="L190" s="134">
        <v>-2826984</v>
      </c>
      <c r="M190" s="134">
        <f t="shared" si="42"/>
        <v>720289</v>
      </c>
      <c r="N190" s="134">
        <f t="shared" si="43"/>
        <v>-720289</v>
      </c>
    </row>
    <row r="191" spans="1:14" s="125" customFormat="1" ht="31" outlineLevel="2" x14ac:dyDescent="0.35">
      <c r="A191" s="141" t="s">
        <v>655</v>
      </c>
      <c r="B191" s="108" t="s">
        <v>197</v>
      </c>
      <c r="C191" s="134">
        <v>10412000</v>
      </c>
      <c r="D191" s="134">
        <v>-5532036</v>
      </c>
      <c r="E191" s="134">
        <v>0</v>
      </c>
      <c r="F191" s="134">
        <v>0</v>
      </c>
      <c r="G191" s="134">
        <v>0</v>
      </c>
      <c r="H191" s="134">
        <f t="shared" si="40"/>
        <v>4879964</v>
      </c>
      <c r="I191" s="134">
        <v>-4879964</v>
      </c>
      <c r="J191" s="134">
        <f t="shared" si="41"/>
        <v>0</v>
      </c>
      <c r="K191" s="134">
        <v>1191500</v>
      </c>
      <c r="L191" s="134">
        <v>-934750</v>
      </c>
      <c r="M191" s="134">
        <f t="shared" si="42"/>
        <v>256750</v>
      </c>
      <c r="N191" s="134">
        <f t="shared" si="43"/>
        <v>-256750</v>
      </c>
    </row>
    <row r="192" spans="1:14" s="125" customFormat="1" ht="31" outlineLevel="2" x14ac:dyDescent="0.35">
      <c r="A192" s="141" t="s">
        <v>655</v>
      </c>
      <c r="B192" s="108" t="s">
        <v>196</v>
      </c>
      <c r="C192" s="134">
        <v>8808913</v>
      </c>
      <c r="D192" s="134">
        <v>-3335198</v>
      </c>
      <c r="E192" s="134">
        <v>0</v>
      </c>
      <c r="F192" s="134">
        <v>0</v>
      </c>
      <c r="G192" s="134">
        <v>0</v>
      </c>
      <c r="H192" s="134">
        <f t="shared" si="40"/>
        <v>5473715</v>
      </c>
      <c r="I192" s="134">
        <v>-5473715</v>
      </c>
      <c r="J192" s="134">
        <f t="shared" si="41"/>
        <v>0</v>
      </c>
      <c r="K192" s="134">
        <v>434702</v>
      </c>
      <c r="L192" s="134">
        <v>-434702</v>
      </c>
      <c r="M192" s="134">
        <f t="shared" si="42"/>
        <v>0</v>
      </c>
      <c r="N192" s="134">
        <f t="shared" si="43"/>
        <v>0</v>
      </c>
    </row>
    <row r="193" spans="1:14" s="125" customFormat="1" ht="31" outlineLevel="2" x14ac:dyDescent="0.35">
      <c r="A193" s="141" t="s">
        <v>655</v>
      </c>
      <c r="B193" s="108" t="s">
        <v>195</v>
      </c>
      <c r="C193" s="134">
        <v>7400300</v>
      </c>
      <c r="D193" s="134">
        <v>-1892358</v>
      </c>
      <c r="E193" s="134">
        <v>0</v>
      </c>
      <c r="F193" s="134">
        <v>0</v>
      </c>
      <c r="G193" s="134">
        <v>0</v>
      </c>
      <c r="H193" s="134">
        <f t="shared" si="40"/>
        <v>5507942</v>
      </c>
      <c r="I193" s="134">
        <v>-5507942</v>
      </c>
      <c r="J193" s="134">
        <f t="shared" si="41"/>
        <v>0</v>
      </c>
      <c r="K193" s="134">
        <v>1808894</v>
      </c>
      <c r="L193" s="134">
        <v>-1808894</v>
      </c>
      <c r="M193" s="134">
        <f t="shared" si="42"/>
        <v>0</v>
      </c>
      <c r="N193" s="134">
        <f t="shared" si="43"/>
        <v>0</v>
      </c>
    </row>
    <row r="194" spans="1:14" s="125" customFormat="1" ht="31" outlineLevel="2" x14ac:dyDescent="0.35">
      <c r="A194" s="141" t="s">
        <v>655</v>
      </c>
      <c r="B194" s="108" t="s">
        <v>194</v>
      </c>
      <c r="C194" s="134">
        <v>6659460</v>
      </c>
      <c r="D194" s="134">
        <v>-790180</v>
      </c>
      <c r="E194" s="134">
        <v>0</v>
      </c>
      <c r="F194" s="134">
        <v>0</v>
      </c>
      <c r="G194" s="134">
        <v>0</v>
      </c>
      <c r="H194" s="134">
        <f t="shared" si="40"/>
        <v>5869280</v>
      </c>
      <c r="I194" s="134">
        <v>-5869280</v>
      </c>
      <c r="J194" s="134">
        <f t="shared" si="41"/>
        <v>0</v>
      </c>
      <c r="K194" s="134">
        <v>625570</v>
      </c>
      <c r="L194" s="134">
        <v>-625570</v>
      </c>
      <c r="M194" s="134">
        <f t="shared" si="42"/>
        <v>0</v>
      </c>
      <c r="N194" s="134">
        <f t="shared" si="43"/>
        <v>0</v>
      </c>
    </row>
    <row r="195" spans="1:14" s="125" customFormat="1" ht="31" outlineLevel="2" x14ac:dyDescent="0.35">
      <c r="A195" s="141" t="s">
        <v>655</v>
      </c>
      <c r="B195" s="108" t="s">
        <v>193</v>
      </c>
      <c r="C195" s="134">
        <v>6285774</v>
      </c>
      <c r="D195" s="134">
        <v>-668370</v>
      </c>
      <c r="E195" s="134">
        <v>0</v>
      </c>
      <c r="F195" s="134">
        <v>0</v>
      </c>
      <c r="G195" s="134">
        <v>0</v>
      </c>
      <c r="H195" s="134">
        <f t="shared" si="40"/>
        <v>5617404</v>
      </c>
      <c r="I195" s="134">
        <v>-5617404</v>
      </c>
      <c r="J195" s="134">
        <f t="shared" si="41"/>
        <v>0</v>
      </c>
      <c r="K195" s="134">
        <v>606532</v>
      </c>
      <c r="L195" s="134">
        <v>-606532</v>
      </c>
      <c r="M195" s="134">
        <f t="shared" si="42"/>
        <v>0</v>
      </c>
      <c r="N195" s="134">
        <f t="shared" si="43"/>
        <v>0</v>
      </c>
    </row>
    <row r="196" spans="1:14" s="125" customFormat="1" ht="31" outlineLevel="2" x14ac:dyDescent="0.35">
      <c r="A196" s="141" t="s">
        <v>655</v>
      </c>
      <c r="B196" s="108" t="s">
        <v>192</v>
      </c>
      <c r="C196" s="134">
        <v>4035295</v>
      </c>
      <c r="D196" s="134">
        <v>-10426</v>
      </c>
      <c r="E196" s="134">
        <v>0</v>
      </c>
      <c r="F196" s="134">
        <v>0</v>
      </c>
      <c r="G196" s="134">
        <v>0</v>
      </c>
      <c r="H196" s="134">
        <f t="shared" si="40"/>
        <v>4024869</v>
      </c>
      <c r="I196" s="134">
        <v>-4024869</v>
      </c>
      <c r="J196" s="134">
        <f t="shared" si="41"/>
        <v>0</v>
      </c>
      <c r="K196" s="134">
        <v>20577</v>
      </c>
      <c r="L196" s="134">
        <v>-20577</v>
      </c>
      <c r="M196" s="134">
        <f t="shared" si="42"/>
        <v>0</v>
      </c>
      <c r="N196" s="134">
        <f t="shared" si="43"/>
        <v>0</v>
      </c>
    </row>
    <row r="197" spans="1:14" s="125" customFormat="1" ht="31" outlineLevel="2" x14ac:dyDescent="0.35">
      <c r="A197" s="141" t="s">
        <v>655</v>
      </c>
      <c r="B197" s="108" t="s">
        <v>191</v>
      </c>
      <c r="C197" s="134">
        <v>3009910</v>
      </c>
      <c r="D197" s="134">
        <v>-6000</v>
      </c>
      <c r="E197" s="134">
        <v>0</v>
      </c>
      <c r="F197" s="134">
        <v>0</v>
      </c>
      <c r="G197" s="134">
        <v>0</v>
      </c>
      <c r="H197" s="134">
        <f t="shared" si="40"/>
        <v>3003910</v>
      </c>
      <c r="I197" s="134">
        <v>-3003910</v>
      </c>
      <c r="J197" s="134">
        <f t="shared" si="41"/>
        <v>0</v>
      </c>
      <c r="K197" s="134">
        <v>79190</v>
      </c>
      <c r="L197" s="134">
        <v>-79190</v>
      </c>
      <c r="M197" s="134">
        <f t="shared" si="42"/>
        <v>0</v>
      </c>
      <c r="N197" s="134">
        <f t="shared" si="43"/>
        <v>0</v>
      </c>
    </row>
    <row r="198" spans="1:14" s="136" customFormat="1" ht="31" outlineLevel="1" x14ac:dyDescent="0.35">
      <c r="A198" s="141" t="s">
        <v>655</v>
      </c>
      <c r="B198" s="108" t="s">
        <v>190</v>
      </c>
      <c r="C198" s="134">
        <v>2802144</v>
      </c>
      <c r="D198" s="134">
        <v>-4924</v>
      </c>
      <c r="E198" s="134">
        <v>0</v>
      </c>
      <c r="F198" s="134">
        <v>0</v>
      </c>
      <c r="G198" s="134">
        <v>0</v>
      </c>
      <c r="H198" s="134">
        <f t="shared" si="40"/>
        <v>2797220</v>
      </c>
      <c r="I198" s="134">
        <v>-2797220</v>
      </c>
      <c r="J198" s="134">
        <f t="shared" si="41"/>
        <v>0</v>
      </c>
      <c r="K198" s="134">
        <v>4664</v>
      </c>
      <c r="L198" s="134">
        <v>-4664</v>
      </c>
      <c r="M198" s="134">
        <f t="shared" si="42"/>
        <v>0</v>
      </c>
      <c r="N198" s="134">
        <f t="shared" si="43"/>
        <v>0</v>
      </c>
    </row>
    <row r="199" spans="1:14" s="125" customFormat="1" ht="16" outlineLevel="1" thickBot="1" x14ac:dyDescent="0.4">
      <c r="A199" s="105" t="s">
        <v>620</v>
      </c>
      <c r="B199" s="133" t="s">
        <v>12</v>
      </c>
      <c r="C199" s="78">
        <f>SUBTOTAL(109,Program234[(C)
Program
Costs])</f>
        <v>130589059</v>
      </c>
      <c r="D199" s="78">
        <f>SUBTOTAL(109,Program234[(D)
Prior Period Adjustments])</f>
        <v>-50266068</v>
      </c>
      <c r="E199" s="78">
        <f>SUBTOTAL(109,Program234[(E)
Current Period Desk 
Reviews])</f>
        <v>0</v>
      </c>
      <c r="F199" s="78">
        <f>SUBTOTAL(109,Program234[(F)
Current Period 
Final 
Audits])</f>
        <v>0</v>
      </c>
      <c r="G199" s="78">
        <f>SUBTOTAL(109,Program234[(G)
Current Period 
Other Adjustments])</f>
        <v>0</v>
      </c>
      <c r="H199" s="78">
        <f>SUBTOTAL(109,Program234[(H)
Net Program Costs
Sum (C through G)])</f>
        <v>80322991</v>
      </c>
      <c r="I199" s="78">
        <f>SUBTOTAL(109,Program234[(I)
Payments
 and Offsets])</f>
        <v>-79502975</v>
      </c>
      <c r="J199" s="78">
        <f>SUBTOTAL(109,Program234[(J)
Accounts Payable Balance
(H + I)])</f>
        <v>820016</v>
      </c>
      <c r="K199" s="78">
        <f>SUBTOTAL(109,Program234[(K)
Established 
Accounts Receivable])</f>
        <v>18990127</v>
      </c>
      <c r="L199" s="78">
        <f>SUBTOTAL(109,Program234[(L)
Recovered
 Accounts Receivable])</f>
        <v>-10938586</v>
      </c>
      <c r="M199" s="78">
        <f>SUBTOTAL(109,Program234[(M)
Accounts Receivable Balance
(K + L)])</f>
        <v>8051541</v>
      </c>
      <c r="N199" s="78">
        <f>SUBTOTAL(109,Program234[(N)
Net Balance
(J minus M)])</f>
        <v>-7231525</v>
      </c>
    </row>
    <row r="200" spans="1:14" s="125" customFormat="1" outlineLevel="2" x14ac:dyDescent="0.35">
      <c r="A200" s="116" t="s">
        <v>33</v>
      </c>
      <c r="B200" s="115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</row>
    <row r="201" spans="1:14" s="125" customFormat="1" ht="77.5" outlineLevel="2" x14ac:dyDescent="0.35">
      <c r="A201" s="60" t="s">
        <v>185</v>
      </c>
      <c r="B201" s="59" t="s">
        <v>184</v>
      </c>
      <c r="C201" s="58" t="s">
        <v>183</v>
      </c>
      <c r="D201" s="58" t="s">
        <v>182</v>
      </c>
      <c r="E201" s="56" t="s">
        <v>181</v>
      </c>
      <c r="F201" s="56" t="s">
        <v>180</v>
      </c>
      <c r="G201" s="56" t="s">
        <v>179</v>
      </c>
      <c r="H201" s="57" t="s">
        <v>674</v>
      </c>
      <c r="I201" s="55" t="s">
        <v>178</v>
      </c>
      <c r="J201" s="55" t="s">
        <v>177</v>
      </c>
      <c r="K201" s="56" t="s">
        <v>176</v>
      </c>
      <c r="L201" s="55" t="s">
        <v>175</v>
      </c>
      <c r="M201" s="55" t="s">
        <v>174</v>
      </c>
      <c r="N201" s="54" t="s">
        <v>173</v>
      </c>
    </row>
    <row r="202" spans="1:14" s="125" customFormat="1" outlineLevel="2" x14ac:dyDescent="0.35">
      <c r="A202" s="135" t="s">
        <v>654</v>
      </c>
      <c r="B202" s="108" t="s">
        <v>206</v>
      </c>
      <c r="C202" s="134">
        <v>475560</v>
      </c>
      <c r="D202" s="134">
        <v>-182626</v>
      </c>
      <c r="E202" s="134">
        <v>0</v>
      </c>
      <c r="F202" s="134">
        <v>0</v>
      </c>
      <c r="G202" s="134">
        <v>0</v>
      </c>
      <c r="H202" s="134">
        <f t="shared" ref="H202:H213" si="44">SUM(C202:G202)</f>
        <v>292934</v>
      </c>
      <c r="I202" s="134">
        <v>-269889</v>
      </c>
      <c r="J202" s="134">
        <f t="shared" ref="J202:J213" si="45">H202+I202</f>
        <v>23045</v>
      </c>
      <c r="K202" s="134">
        <v>0</v>
      </c>
      <c r="L202" s="134">
        <v>0</v>
      </c>
      <c r="M202" s="134">
        <f t="shared" ref="M202:M213" si="46">K202+L202</f>
        <v>0</v>
      </c>
      <c r="N202" s="134">
        <f t="shared" ref="N202:N213" si="47">J202-M202</f>
        <v>23045</v>
      </c>
    </row>
    <row r="203" spans="1:14" s="125" customFormat="1" outlineLevel="2" x14ac:dyDescent="0.35">
      <c r="A203" s="135" t="s">
        <v>654</v>
      </c>
      <c r="B203" s="108" t="s">
        <v>205</v>
      </c>
      <c r="C203" s="134">
        <v>2239287</v>
      </c>
      <c r="D203" s="134">
        <v>-1233245</v>
      </c>
      <c r="E203" s="134">
        <v>0</v>
      </c>
      <c r="F203" s="134">
        <v>0</v>
      </c>
      <c r="G203" s="134">
        <v>0</v>
      </c>
      <c r="H203" s="134">
        <f t="shared" si="44"/>
        <v>1006042</v>
      </c>
      <c r="I203" s="134">
        <v>-922624</v>
      </c>
      <c r="J203" s="134">
        <f t="shared" si="45"/>
        <v>83418</v>
      </c>
      <c r="K203" s="134">
        <v>0</v>
      </c>
      <c r="L203" s="134">
        <v>0</v>
      </c>
      <c r="M203" s="134">
        <f t="shared" si="46"/>
        <v>0</v>
      </c>
      <c r="N203" s="134">
        <f t="shared" si="47"/>
        <v>83418</v>
      </c>
    </row>
    <row r="204" spans="1:14" s="136" customFormat="1" outlineLevel="1" x14ac:dyDescent="0.35">
      <c r="A204" s="135" t="s">
        <v>654</v>
      </c>
      <c r="B204" s="108" t="s">
        <v>204</v>
      </c>
      <c r="C204" s="134">
        <v>6540790</v>
      </c>
      <c r="D204" s="134">
        <v>-5259265</v>
      </c>
      <c r="E204" s="134">
        <v>0</v>
      </c>
      <c r="F204" s="134">
        <v>0</v>
      </c>
      <c r="G204" s="134">
        <v>0</v>
      </c>
      <c r="H204" s="134">
        <f t="shared" si="44"/>
        <v>1281525</v>
      </c>
      <c r="I204" s="134">
        <v>-1201370</v>
      </c>
      <c r="J204" s="134">
        <f t="shared" si="45"/>
        <v>80155</v>
      </c>
      <c r="K204" s="134">
        <v>0</v>
      </c>
      <c r="L204" s="134">
        <v>0</v>
      </c>
      <c r="M204" s="134">
        <f t="shared" si="46"/>
        <v>0</v>
      </c>
      <c r="N204" s="134">
        <f t="shared" si="47"/>
        <v>80155</v>
      </c>
    </row>
    <row r="205" spans="1:14" s="100" customFormat="1" ht="15" customHeight="1" outlineLevel="1" x14ac:dyDescent="0.35">
      <c r="A205" s="135" t="s">
        <v>654</v>
      </c>
      <c r="B205" s="108" t="s">
        <v>203</v>
      </c>
      <c r="C205" s="134">
        <v>5339834</v>
      </c>
      <c r="D205" s="134">
        <v>-4416165</v>
      </c>
      <c r="E205" s="134">
        <v>0</v>
      </c>
      <c r="F205" s="134">
        <v>0</v>
      </c>
      <c r="G205" s="134">
        <v>0</v>
      </c>
      <c r="H205" s="134">
        <f t="shared" si="44"/>
        <v>923669</v>
      </c>
      <c r="I205" s="134">
        <v>-848634</v>
      </c>
      <c r="J205" s="134">
        <f t="shared" si="45"/>
        <v>75035</v>
      </c>
      <c r="K205" s="134">
        <v>0</v>
      </c>
      <c r="L205" s="134">
        <v>0</v>
      </c>
      <c r="M205" s="134">
        <f t="shared" si="46"/>
        <v>0</v>
      </c>
      <c r="N205" s="134">
        <f t="shared" si="47"/>
        <v>75035</v>
      </c>
    </row>
    <row r="206" spans="1:14" s="125" customFormat="1" outlineLevel="1" x14ac:dyDescent="0.35">
      <c r="A206" s="135" t="s">
        <v>654</v>
      </c>
      <c r="B206" s="108" t="s">
        <v>202</v>
      </c>
      <c r="C206" s="134">
        <v>4787465</v>
      </c>
      <c r="D206" s="134">
        <v>-3828135</v>
      </c>
      <c r="E206" s="134">
        <v>0</v>
      </c>
      <c r="F206" s="134">
        <v>0</v>
      </c>
      <c r="G206" s="134">
        <v>0</v>
      </c>
      <c r="H206" s="134">
        <f t="shared" si="44"/>
        <v>959330</v>
      </c>
      <c r="I206" s="134">
        <v>-959330</v>
      </c>
      <c r="J206" s="134">
        <f t="shared" si="45"/>
        <v>0</v>
      </c>
      <c r="K206" s="134">
        <v>0</v>
      </c>
      <c r="L206" s="134">
        <v>0</v>
      </c>
      <c r="M206" s="134">
        <f t="shared" si="46"/>
        <v>0</v>
      </c>
      <c r="N206" s="134">
        <f t="shared" si="47"/>
        <v>0</v>
      </c>
    </row>
    <row r="207" spans="1:14" s="125" customFormat="1" outlineLevel="2" x14ac:dyDescent="0.35">
      <c r="A207" s="135" t="s">
        <v>654</v>
      </c>
      <c r="B207" s="108" t="s">
        <v>201</v>
      </c>
      <c r="C207" s="134">
        <v>4856263</v>
      </c>
      <c r="D207" s="134">
        <v>-3938754</v>
      </c>
      <c r="E207" s="134">
        <v>0</v>
      </c>
      <c r="F207" s="134">
        <v>0</v>
      </c>
      <c r="G207" s="134">
        <v>0</v>
      </c>
      <c r="H207" s="134">
        <f t="shared" si="44"/>
        <v>917509</v>
      </c>
      <c r="I207" s="134">
        <v>-917509</v>
      </c>
      <c r="J207" s="134">
        <f t="shared" si="45"/>
        <v>0</v>
      </c>
      <c r="K207" s="134">
        <v>33794</v>
      </c>
      <c r="L207" s="134">
        <v>-33794</v>
      </c>
      <c r="M207" s="134">
        <f t="shared" si="46"/>
        <v>0</v>
      </c>
      <c r="N207" s="134">
        <f t="shared" si="47"/>
        <v>0</v>
      </c>
    </row>
    <row r="208" spans="1:14" s="125" customFormat="1" outlineLevel="2" x14ac:dyDescent="0.35">
      <c r="A208" s="135" t="s">
        <v>654</v>
      </c>
      <c r="B208" s="108" t="s">
        <v>200</v>
      </c>
      <c r="C208" s="134">
        <v>4809464</v>
      </c>
      <c r="D208" s="134">
        <v>-3835107</v>
      </c>
      <c r="E208" s="134">
        <v>0</v>
      </c>
      <c r="F208" s="134">
        <v>0</v>
      </c>
      <c r="G208" s="134">
        <v>0</v>
      </c>
      <c r="H208" s="134">
        <f t="shared" si="44"/>
        <v>974357</v>
      </c>
      <c r="I208" s="134">
        <v>-974357</v>
      </c>
      <c r="J208" s="134">
        <f t="shared" si="45"/>
        <v>0</v>
      </c>
      <c r="K208" s="134">
        <v>508124</v>
      </c>
      <c r="L208" s="134">
        <v>-508124</v>
      </c>
      <c r="M208" s="134">
        <f t="shared" si="46"/>
        <v>0</v>
      </c>
      <c r="N208" s="134">
        <f t="shared" si="47"/>
        <v>0</v>
      </c>
    </row>
    <row r="209" spans="1:14" s="125" customFormat="1" outlineLevel="2" x14ac:dyDescent="0.35">
      <c r="A209" s="135" t="s">
        <v>654</v>
      </c>
      <c r="B209" s="108" t="s">
        <v>199</v>
      </c>
      <c r="C209" s="134">
        <v>4572341</v>
      </c>
      <c r="D209" s="134">
        <v>-3623740</v>
      </c>
      <c r="E209" s="134">
        <v>0</v>
      </c>
      <c r="F209" s="134">
        <v>0</v>
      </c>
      <c r="G209" s="134">
        <v>0</v>
      </c>
      <c r="H209" s="134">
        <f t="shared" si="44"/>
        <v>948601</v>
      </c>
      <c r="I209" s="134">
        <v>-934582</v>
      </c>
      <c r="J209" s="134">
        <f t="shared" si="45"/>
        <v>14019</v>
      </c>
      <c r="K209" s="134">
        <v>408288</v>
      </c>
      <c r="L209" s="134">
        <v>-408288</v>
      </c>
      <c r="M209" s="134">
        <f t="shared" si="46"/>
        <v>0</v>
      </c>
      <c r="N209" s="134">
        <f t="shared" si="47"/>
        <v>14019</v>
      </c>
    </row>
    <row r="210" spans="1:14" s="125" customFormat="1" outlineLevel="2" x14ac:dyDescent="0.35">
      <c r="A210" s="135" t="s">
        <v>654</v>
      </c>
      <c r="B210" s="108" t="s">
        <v>198</v>
      </c>
      <c r="C210" s="134">
        <v>3905666</v>
      </c>
      <c r="D210" s="134">
        <v>-2274368</v>
      </c>
      <c r="E210" s="134">
        <v>0</v>
      </c>
      <c r="F210" s="134">
        <v>0</v>
      </c>
      <c r="G210" s="134">
        <v>0</v>
      </c>
      <c r="H210" s="134">
        <f t="shared" si="44"/>
        <v>1631298</v>
      </c>
      <c r="I210" s="134">
        <v>-1618702</v>
      </c>
      <c r="J210" s="134">
        <f t="shared" si="45"/>
        <v>12596</v>
      </c>
      <c r="K210" s="134">
        <v>173451</v>
      </c>
      <c r="L210" s="134">
        <v>-79181</v>
      </c>
      <c r="M210" s="134">
        <f t="shared" si="46"/>
        <v>94270</v>
      </c>
      <c r="N210" s="134">
        <f t="shared" si="47"/>
        <v>-81674</v>
      </c>
    </row>
    <row r="211" spans="1:14" s="125" customFormat="1" outlineLevel="2" x14ac:dyDescent="0.35">
      <c r="A211" s="135" t="s">
        <v>654</v>
      </c>
      <c r="B211" s="108" t="s">
        <v>197</v>
      </c>
      <c r="C211" s="134">
        <v>3597387</v>
      </c>
      <c r="D211" s="134">
        <v>-2022741</v>
      </c>
      <c r="E211" s="134">
        <v>0</v>
      </c>
      <c r="F211" s="134">
        <v>0</v>
      </c>
      <c r="G211" s="134">
        <v>0</v>
      </c>
      <c r="H211" s="134">
        <f t="shared" si="44"/>
        <v>1574646</v>
      </c>
      <c r="I211" s="134">
        <v>-1570280</v>
      </c>
      <c r="J211" s="134">
        <f t="shared" si="45"/>
        <v>4366</v>
      </c>
      <c r="K211" s="134">
        <v>71971</v>
      </c>
      <c r="L211" s="134">
        <v>-36921</v>
      </c>
      <c r="M211" s="134">
        <f t="shared" si="46"/>
        <v>35050</v>
      </c>
      <c r="N211" s="134">
        <f t="shared" si="47"/>
        <v>-30684</v>
      </c>
    </row>
    <row r="212" spans="1:14" s="125" customFormat="1" outlineLevel="2" x14ac:dyDescent="0.35">
      <c r="A212" s="135" t="s">
        <v>654</v>
      </c>
      <c r="B212" s="108" t="s">
        <v>196</v>
      </c>
      <c r="C212" s="134">
        <v>1400907</v>
      </c>
      <c r="D212" s="134">
        <v>-717281</v>
      </c>
      <c r="E212" s="134">
        <v>0</v>
      </c>
      <c r="F212" s="134">
        <v>0</v>
      </c>
      <c r="G212" s="134">
        <v>0</v>
      </c>
      <c r="H212" s="134">
        <f t="shared" si="44"/>
        <v>683626</v>
      </c>
      <c r="I212" s="134">
        <v>-683626</v>
      </c>
      <c r="J212" s="134">
        <f t="shared" si="45"/>
        <v>0</v>
      </c>
      <c r="K212" s="134">
        <v>170593</v>
      </c>
      <c r="L212" s="134">
        <v>-170593</v>
      </c>
      <c r="M212" s="134">
        <f t="shared" si="46"/>
        <v>0</v>
      </c>
      <c r="N212" s="134">
        <f t="shared" si="47"/>
        <v>0</v>
      </c>
    </row>
    <row r="213" spans="1:14" s="125" customFormat="1" outlineLevel="2" x14ac:dyDescent="0.35">
      <c r="A213" s="135" t="s">
        <v>654</v>
      </c>
      <c r="B213" s="108" t="s">
        <v>195</v>
      </c>
      <c r="C213" s="134">
        <v>812881</v>
      </c>
      <c r="D213" s="134">
        <v>-408015</v>
      </c>
      <c r="E213" s="134">
        <v>0</v>
      </c>
      <c r="F213" s="134">
        <v>0</v>
      </c>
      <c r="G213" s="134">
        <v>0</v>
      </c>
      <c r="H213" s="134">
        <f t="shared" si="44"/>
        <v>404866</v>
      </c>
      <c r="I213" s="134">
        <v>-404866</v>
      </c>
      <c r="J213" s="134">
        <f t="shared" si="45"/>
        <v>0</v>
      </c>
      <c r="K213" s="134">
        <v>58222</v>
      </c>
      <c r="L213" s="134">
        <v>-58222</v>
      </c>
      <c r="M213" s="134">
        <f t="shared" si="46"/>
        <v>0</v>
      </c>
      <c r="N213" s="134">
        <f t="shared" si="47"/>
        <v>0</v>
      </c>
    </row>
    <row r="214" spans="1:14" s="125" customFormat="1" ht="16" outlineLevel="2" thickBot="1" x14ac:dyDescent="0.4">
      <c r="A214" s="105" t="s">
        <v>619</v>
      </c>
      <c r="B214" s="133" t="s">
        <v>12</v>
      </c>
      <c r="C214" s="78">
        <f>SUBTOTAL(109,Program256[(C)
Program
Costs])</f>
        <v>43337845</v>
      </c>
      <c r="D214" s="78">
        <f>SUBTOTAL(109,Program256[(D)
Prior Period Adjustments])</f>
        <v>-31739442</v>
      </c>
      <c r="E214" s="78">
        <f>SUBTOTAL(109,Program256[(E)
Current Period Desk 
Reviews])</f>
        <v>0</v>
      </c>
      <c r="F214" s="78">
        <f>SUBTOTAL(109,Program256[(F)
Current Period 
Final 
Audits])</f>
        <v>0</v>
      </c>
      <c r="G214" s="78">
        <f>SUBTOTAL(109,Program256[(G)
Current Period 
Other Adjustments])</f>
        <v>0</v>
      </c>
      <c r="H214" s="78">
        <f>SUBTOTAL(109,Program256[(H)
Net Program Costs
Sum (C through G)])</f>
        <v>11598403</v>
      </c>
      <c r="I214" s="78">
        <f>SUBTOTAL(109,Program256[(I)
Payments
 and Offsets])</f>
        <v>-11305769</v>
      </c>
      <c r="J214" s="78">
        <f>SUBTOTAL(109,Program256[(J)
Accounts Payable Balance
(H + I)])</f>
        <v>292634</v>
      </c>
      <c r="K214" s="78">
        <f>SUBTOTAL(109,Program256[(K)
Established 
Accounts Receivable])</f>
        <v>1424443</v>
      </c>
      <c r="L214" s="78">
        <f>SUBTOTAL(109,Program256[(L)
Recovered
 Accounts Receivable])</f>
        <v>-1295123</v>
      </c>
      <c r="M214" s="78">
        <f>SUBTOTAL(109,Program256[(M)
Accounts Receivable Balance
(K + L)])</f>
        <v>129320</v>
      </c>
      <c r="N214" s="78">
        <f>SUBTOTAL(109,Program256[(N)
Net Balance
(J minus M)])</f>
        <v>163314</v>
      </c>
    </row>
    <row r="215" spans="1:14" s="136" customFormat="1" outlineLevel="1" x14ac:dyDescent="0.35">
      <c r="A215" s="116" t="s">
        <v>33</v>
      </c>
      <c r="B215" s="115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</row>
    <row r="216" spans="1:14" s="100" customFormat="1" ht="78.75" customHeight="1" outlineLevel="1" x14ac:dyDescent="0.35">
      <c r="A216" s="60" t="s">
        <v>185</v>
      </c>
      <c r="B216" s="59" t="s">
        <v>184</v>
      </c>
      <c r="C216" s="58" t="s">
        <v>183</v>
      </c>
      <c r="D216" s="58" t="s">
        <v>182</v>
      </c>
      <c r="E216" s="56" t="s">
        <v>181</v>
      </c>
      <c r="F216" s="56" t="s">
        <v>180</v>
      </c>
      <c r="G216" s="56" t="s">
        <v>179</v>
      </c>
      <c r="H216" s="57" t="s">
        <v>674</v>
      </c>
      <c r="I216" s="55" t="s">
        <v>178</v>
      </c>
      <c r="J216" s="55" t="s">
        <v>177</v>
      </c>
      <c r="K216" s="56" t="s">
        <v>176</v>
      </c>
      <c r="L216" s="55" t="s">
        <v>175</v>
      </c>
      <c r="M216" s="55" t="s">
        <v>174</v>
      </c>
      <c r="N216" s="54" t="s">
        <v>173</v>
      </c>
    </row>
    <row r="217" spans="1:14" s="125" customFormat="1" outlineLevel="1" x14ac:dyDescent="0.35">
      <c r="A217" s="135" t="s">
        <v>653</v>
      </c>
      <c r="B217" s="108" t="s">
        <v>199</v>
      </c>
      <c r="C217" s="134">
        <v>56403</v>
      </c>
      <c r="D217" s="134">
        <v>-10232</v>
      </c>
      <c r="E217" s="134">
        <v>0</v>
      </c>
      <c r="F217" s="134">
        <v>0</v>
      </c>
      <c r="G217" s="134">
        <v>0</v>
      </c>
      <c r="H217" s="134">
        <f>SUM(C217:G217)</f>
        <v>46171</v>
      </c>
      <c r="I217" s="134">
        <v>-46171</v>
      </c>
      <c r="J217" s="134">
        <f>H217+I217</f>
        <v>0</v>
      </c>
      <c r="K217" s="134">
        <v>0</v>
      </c>
      <c r="L217" s="134">
        <v>0</v>
      </c>
      <c r="M217" s="134">
        <f>K217+L217</f>
        <v>0</v>
      </c>
      <c r="N217" s="134">
        <f>J217-M217</f>
        <v>0</v>
      </c>
    </row>
    <row r="218" spans="1:14" s="125" customFormat="1" outlineLevel="2" x14ac:dyDescent="0.35">
      <c r="A218" s="135" t="s">
        <v>653</v>
      </c>
      <c r="B218" s="108" t="s">
        <v>198</v>
      </c>
      <c r="C218" s="134">
        <v>53962</v>
      </c>
      <c r="D218" s="134">
        <v>-28073</v>
      </c>
      <c r="E218" s="134">
        <v>0</v>
      </c>
      <c r="F218" s="134">
        <v>0</v>
      </c>
      <c r="G218" s="134">
        <v>0</v>
      </c>
      <c r="H218" s="134">
        <f>SUM(C218:G218)</f>
        <v>25889</v>
      </c>
      <c r="I218" s="134">
        <v>-25889</v>
      </c>
      <c r="J218" s="134">
        <f>H218+I218</f>
        <v>0</v>
      </c>
      <c r="K218" s="134">
        <v>0</v>
      </c>
      <c r="L218" s="134">
        <v>0</v>
      </c>
      <c r="M218" s="134">
        <f>K218+L218</f>
        <v>0</v>
      </c>
      <c r="N218" s="134">
        <f>J218-M218</f>
        <v>0</v>
      </c>
    </row>
    <row r="219" spans="1:14" s="125" customFormat="1" outlineLevel="2" x14ac:dyDescent="0.35">
      <c r="A219" s="135" t="s">
        <v>653</v>
      </c>
      <c r="B219" s="108" t="s">
        <v>197</v>
      </c>
      <c r="C219" s="134">
        <v>46507</v>
      </c>
      <c r="D219" s="134">
        <v>-3941</v>
      </c>
      <c r="E219" s="134">
        <v>0</v>
      </c>
      <c r="F219" s="134">
        <v>0</v>
      </c>
      <c r="G219" s="134">
        <v>0</v>
      </c>
      <c r="H219" s="134">
        <f>SUM(C219:G219)</f>
        <v>42566</v>
      </c>
      <c r="I219" s="134">
        <v>-42566</v>
      </c>
      <c r="J219" s="134">
        <f>H219+I219</f>
        <v>0</v>
      </c>
      <c r="K219" s="134">
        <v>2468</v>
      </c>
      <c r="L219" s="134">
        <v>-2468</v>
      </c>
      <c r="M219" s="134">
        <f>K219+L219</f>
        <v>0</v>
      </c>
      <c r="N219" s="134">
        <f>J219-M219</f>
        <v>0</v>
      </c>
    </row>
    <row r="220" spans="1:14" s="125" customFormat="1" outlineLevel="2" x14ac:dyDescent="0.35">
      <c r="A220" s="135" t="s">
        <v>653</v>
      </c>
      <c r="B220" s="108" t="s">
        <v>196</v>
      </c>
      <c r="C220" s="134">
        <v>41759</v>
      </c>
      <c r="D220" s="134">
        <v>-1332</v>
      </c>
      <c r="E220" s="134">
        <v>0</v>
      </c>
      <c r="F220" s="134">
        <v>0</v>
      </c>
      <c r="G220" s="134">
        <v>0</v>
      </c>
      <c r="H220" s="134">
        <f>SUM(C220:G220)</f>
        <v>40427</v>
      </c>
      <c r="I220" s="134">
        <v>-40427</v>
      </c>
      <c r="J220" s="134">
        <f>H220+I220</f>
        <v>0</v>
      </c>
      <c r="K220" s="134">
        <v>2886</v>
      </c>
      <c r="L220" s="134">
        <v>-2886</v>
      </c>
      <c r="M220" s="134">
        <f>K220+L220</f>
        <v>0</v>
      </c>
      <c r="N220" s="134">
        <f>J220-M220</f>
        <v>0</v>
      </c>
    </row>
    <row r="221" spans="1:14" s="136" customFormat="1" ht="16" outlineLevel="1" thickBot="1" x14ac:dyDescent="0.4">
      <c r="A221" s="105" t="s">
        <v>618</v>
      </c>
      <c r="B221" s="133" t="s">
        <v>12</v>
      </c>
      <c r="C221" s="78">
        <f>SUBTOTAL(109,Program235[(C)
Program
Costs])</f>
        <v>198631</v>
      </c>
      <c r="D221" s="78">
        <f>SUBTOTAL(109,Program235[(D)
Prior Period Adjustments])</f>
        <v>-43578</v>
      </c>
      <c r="E221" s="78">
        <f>SUBTOTAL(109,Program235[(E)
Current Period Desk 
Reviews])</f>
        <v>0</v>
      </c>
      <c r="F221" s="78">
        <f>SUBTOTAL(109,Program235[(F)
Current Period 
Final 
Audits])</f>
        <v>0</v>
      </c>
      <c r="G221" s="78">
        <f>SUBTOTAL(109,Program235[(G)
Current Period 
Other Adjustments])</f>
        <v>0</v>
      </c>
      <c r="H221" s="78">
        <f>SUBTOTAL(109,Program235[(H)
Net Program Costs
Sum (C through G)])</f>
        <v>155053</v>
      </c>
      <c r="I221" s="78">
        <f>SUBTOTAL(109,Program235[(I)
Payments
 and Offsets])</f>
        <v>-155053</v>
      </c>
      <c r="J221" s="78">
        <f>SUBTOTAL(109,Program235[(J)
Accounts Payable Balance
(H + I)])</f>
        <v>0</v>
      </c>
      <c r="K221" s="78">
        <f>SUBTOTAL(109,Program235[(K)
Established 
Accounts Receivable])</f>
        <v>5354</v>
      </c>
      <c r="L221" s="78">
        <f>SUBTOTAL(109,Program235[(L)
Recovered
 Accounts Receivable])</f>
        <v>-5354</v>
      </c>
      <c r="M221" s="78">
        <f>SUBTOTAL(109,Program235[(M)
Accounts Receivable Balance
(K + L)])</f>
        <v>0</v>
      </c>
      <c r="N221" s="78">
        <f>SUBTOTAL(109,Program235[(N)
Net Balance
(J minus M)])</f>
        <v>0</v>
      </c>
    </row>
    <row r="222" spans="1:14" s="100" customFormat="1" ht="15" customHeight="1" outlineLevel="1" x14ac:dyDescent="0.35">
      <c r="A222" s="116" t="s">
        <v>33</v>
      </c>
      <c r="B222" s="115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</row>
    <row r="223" spans="1:14" s="125" customFormat="1" ht="77.5" outlineLevel="1" x14ac:dyDescent="0.35">
      <c r="A223" s="60" t="s">
        <v>185</v>
      </c>
      <c r="B223" s="59" t="s">
        <v>184</v>
      </c>
      <c r="C223" s="58" t="s">
        <v>183</v>
      </c>
      <c r="D223" s="58" t="s">
        <v>182</v>
      </c>
      <c r="E223" s="56" t="s">
        <v>181</v>
      </c>
      <c r="F223" s="56" t="s">
        <v>180</v>
      </c>
      <c r="G223" s="56" t="s">
        <v>179</v>
      </c>
      <c r="H223" s="57" t="s">
        <v>674</v>
      </c>
      <c r="I223" s="55" t="s">
        <v>178</v>
      </c>
      <c r="J223" s="55" t="s">
        <v>177</v>
      </c>
      <c r="K223" s="56" t="s">
        <v>176</v>
      </c>
      <c r="L223" s="55" t="s">
        <v>175</v>
      </c>
      <c r="M223" s="55" t="s">
        <v>174</v>
      </c>
      <c r="N223" s="54" t="s">
        <v>173</v>
      </c>
    </row>
    <row r="224" spans="1:14" s="125" customFormat="1" ht="31" outlineLevel="2" x14ac:dyDescent="0.35">
      <c r="A224" s="141" t="s">
        <v>652</v>
      </c>
      <c r="B224" s="108" t="s">
        <v>204</v>
      </c>
      <c r="C224" s="134">
        <v>160000</v>
      </c>
      <c r="D224" s="134">
        <v>-160000</v>
      </c>
      <c r="E224" s="134">
        <v>0</v>
      </c>
      <c r="F224" s="134">
        <v>0</v>
      </c>
      <c r="G224" s="134">
        <v>0</v>
      </c>
      <c r="H224" s="134">
        <f t="shared" ref="H224:H232" si="48">SUM(C224:G224)</f>
        <v>0</v>
      </c>
      <c r="I224" s="134">
        <v>0</v>
      </c>
      <c r="J224" s="134">
        <f t="shared" ref="J224:J232" si="49">H224+I224</f>
        <v>0</v>
      </c>
      <c r="K224" s="134">
        <v>160000</v>
      </c>
      <c r="L224" s="134">
        <v>-160000</v>
      </c>
      <c r="M224" s="134">
        <f t="shared" ref="M224:M232" si="50">K224+L224</f>
        <v>0</v>
      </c>
      <c r="N224" s="134">
        <f t="shared" ref="N224:N232" si="51">J224-M224</f>
        <v>0</v>
      </c>
    </row>
    <row r="225" spans="1:14" s="125" customFormat="1" ht="31" outlineLevel="2" x14ac:dyDescent="0.35">
      <c r="A225" s="141" t="s">
        <v>652</v>
      </c>
      <c r="B225" s="108" t="s">
        <v>203</v>
      </c>
      <c r="C225" s="134">
        <v>178765</v>
      </c>
      <c r="D225" s="134">
        <v>-178765</v>
      </c>
      <c r="E225" s="134">
        <v>0</v>
      </c>
      <c r="F225" s="134">
        <v>0</v>
      </c>
      <c r="G225" s="134">
        <v>0</v>
      </c>
      <c r="H225" s="134">
        <f t="shared" si="48"/>
        <v>0</v>
      </c>
      <c r="I225" s="134">
        <v>0</v>
      </c>
      <c r="J225" s="134">
        <f t="shared" si="49"/>
        <v>0</v>
      </c>
      <c r="K225" s="134">
        <v>178765</v>
      </c>
      <c r="L225" s="134">
        <v>-178765</v>
      </c>
      <c r="M225" s="134">
        <f t="shared" si="50"/>
        <v>0</v>
      </c>
      <c r="N225" s="134">
        <f t="shared" si="51"/>
        <v>0</v>
      </c>
    </row>
    <row r="226" spans="1:14" s="125" customFormat="1" ht="31" outlineLevel="2" x14ac:dyDescent="0.35">
      <c r="A226" s="141" t="s">
        <v>652</v>
      </c>
      <c r="B226" s="108" t="s">
        <v>202</v>
      </c>
      <c r="C226" s="134">
        <v>175910</v>
      </c>
      <c r="D226" s="134">
        <v>-175910</v>
      </c>
      <c r="E226" s="134">
        <v>0</v>
      </c>
      <c r="F226" s="134">
        <v>0</v>
      </c>
      <c r="G226" s="134">
        <v>0</v>
      </c>
      <c r="H226" s="134">
        <f t="shared" si="48"/>
        <v>0</v>
      </c>
      <c r="I226" s="134">
        <v>0</v>
      </c>
      <c r="J226" s="134">
        <f t="shared" si="49"/>
        <v>0</v>
      </c>
      <c r="K226" s="134">
        <v>175910</v>
      </c>
      <c r="L226" s="134">
        <v>-175910</v>
      </c>
      <c r="M226" s="134">
        <f t="shared" si="50"/>
        <v>0</v>
      </c>
      <c r="N226" s="134">
        <f t="shared" si="51"/>
        <v>0</v>
      </c>
    </row>
    <row r="227" spans="1:14" s="125" customFormat="1" ht="31" outlineLevel="2" x14ac:dyDescent="0.35">
      <c r="A227" s="141" t="s">
        <v>652</v>
      </c>
      <c r="B227" s="108" t="s">
        <v>201</v>
      </c>
      <c r="C227" s="134">
        <v>112030</v>
      </c>
      <c r="D227" s="134">
        <v>-112030</v>
      </c>
      <c r="E227" s="134">
        <v>0</v>
      </c>
      <c r="F227" s="134">
        <v>0</v>
      </c>
      <c r="G227" s="134">
        <v>0</v>
      </c>
      <c r="H227" s="134">
        <f t="shared" si="48"/>
        <v>0</v>
      </c>
      <c r="I227" s="134">
        <v>0</v>
      </c>
      <c r="J227" s="134">
        <f t="shared" si="49"/>
        <v>0</v>
      </c>
      <c r="K227" s="134">
        <v>102030</v>
      </c>
      <c r="L227" s="134">
        <v>-102030</v>
      </c>
      <c r="M227" s="134">
        <f t="shared" si="50"/>
        <v>0</v>
      </c>
      <c r="N227" s="134">
        <f t="shared" si="51"/>
        <v>0</v>
      </c>
    </row>
    <row r="228" spans="1:14" s="125" customFormat="1" ht="31" outlineLevel="2" x14ac:dyDescent="0.35">
      <c r="A228" s="141" t="s">
        <v>652</v>
      </c>
      <c r="B228" s="108" t="s">
        <v>200</v>
      </c>
      <c r="C228" s="134">
        <v>8738</v>
      </c>
      <c r="D228" s="134">
        <v>-874</v>
      </c>
      <c r="E228" s="134">
        <v>0</v>
      </c>
      <c r="F228" s="134">
        <v>0</v>
      </c>
      <c r="G228" s="134">
        <v>0</v>
      </c>
      <c r="H228" s="134">
        <f t="shared" si="48"/>
        <v>7864</v>
      </c>
      <c r="I228" s="134">
        <v>-7864</v>
      </c>
      <c r="J228" s="134">
        <f t="shared" si="49"/>
        <v>0</v>
      </c>
      <c r="K228" s="134">
        <v>0</v>
      </c>
      <c r="L228" s="134">
        <v>0</v>
      </c>
      <c r="M228" s="134">
        <f t="shared" si="50"/>
        <v>0</v>
      </c>
      <c r="N228" s="134">
        <f t="shared" si="51"/>
        <v>0</v>
      </c>
    </row>
    <row r="229" spans="1:14" s="125" customFormat="1" ht="31" outlineLevel="2" x14ac:dyDescent="0.35">
      <c r="A229" s="141" t="s">
        <v>652</v>
      </c>
      <c r="B229" s="108" t="s">
        <v>197</v>
      </c>
      <c r="C229" s="134">
        <v>1568</v>
      </c>
      <c r="D229" s="134">
        <v>-1568</v>
      </c>
      <c r="E229" s="134">
        <v>0</v>
      </c>
      <c r="F229" s="134">
        <v>0</v>
      </c>
      <c r="G229" s="134">
        <v>0</v>
      </c>
      <c r="H229" s="134">
        <f t="shared" si="48"/>
        <v>0</v>
      </c>
      <c r="I229" s="134">
        <v>0</v>
      </c>
      <c r="J229" s="134">
        <f t="shared" si="49"/>
        <v>0</v>
      </c>
      <c r="K229" s="134">
        <v>0</v>
      </c>
      <c r="L229" s="134">
        <v>0</v>
      </c>
      <c r="M229" s="134">
        <f t="shared" si="50"/>
        <v>0</v>
      </c>
      <c r="N229" s="134">
        <f t="shared" si="51"/>
        <v>0</v>
      </c>
    </row>
    <row r="230" spans="1:14" s="125" customFormat="1" ht="31" outlineLevel="2" x14ac:dyDescent="0.35">
      <c r="A230" s="141" t="s">
        <v>652</v>
      </c>
      <c r="B230" s="108" t="s">
        <v>196</v>
      </c>
      <c r="C230" s="134">
        <v>1198</v>
      </c>
      <c r="D230" s="134">
        <v>0</v>
      </c>
      <c r="E230" s="134">
        <v>0</v>
      </c>
      <c r="F230" s="134">
        <v>0</v>
      </c>
      <c r="G230" s="134">
        <v>0</v>
      </c>
      <c r="H230" s="134">
        <f t="shared" si="48"/>
        <v>1198</v>
      </c>
      <c r="I230" s="134">
        <v>-1198</v>
      </c>
      <c r="J230" s="134">
        <f t="shared" si="49"/>
        <v>0</v>
      </c>
      <c r="K230" s="134">
        <v>0</v>
      </c>
      <c r="L230" s="134">
        <v>0</v>
      </c>
      <c r="M230" s="134">
        <f t="shared" si="50"/>
        <v>0</v>
      </c>
      <c r="N230" s="134">
        <f t="shared" si="51"/>
        <v>0</v>
      </c>
    </row>
    <row r="231" spans="1:14" s="125" customFormat="1" ht="31" outlineLevel="2" x14ac:dyDescent="0.35">
      <c r="A231" s="141" t="s">
        <v>652</v>
      </c>
      <c r="B231" s="108" t="s">
        <v>195</v>
      </c>
      <c r="C231" s="134">
        <v>27296</v>
      </c>
      <c r="D231" s="134">
        <v>-13937</v>
      </c>
      <c r="E231" s="134">
        <v>0</v>
      </c>
      <c r="F231" s="134">
        <v>0</v>
      </c>
      <c r="G231" s="134">
        <v>0</v>
      </c>
      <c r="H231" s="134">
        <f t="shared" si="48"/>
        <v>13359</v>
      </c>
      <c r="I231" s="134">
        <v>-13359</v>
      </c>
      <c r="J231" s="134">
        <f t="shared" si="49"/>
        <v>0</v>
      </c>
      <c r="K231" s="134">
        <v>0</v>
      </c>
      <c r="L231" s="134">
        <v>0</v>
      </c>
      <c r="M231" s="134">
        <f t="shared" si="50"/>
        <v>0</v>
      </c>
      <c r="N231" s="134">
        <f t="shared" si="51"/>
        <v>0</v>
      </c>
    </row>
    <row r="232" spans="1:14" s="125" customFormat="1" ht="31" outlineLevel="2" x14ac:dyDescent="0.35">
      <c r="A232" s="141" t="s">
        <v>652</v>
      </c>
      <c r="B232" s="108" t="s">
        <v>194</v>
      </c>
      <c r="C232" s="134">
        <v>28074</v>
      </c>
      <c r="D232" s="134">
        <v>-14792</v>
      </c>
      <c r="E232" s="134">
        <v>0</v>
      </c>
      <c r="F232" s="134">
        <v>0</v>
      </c>
      <c r="G232" s="134">
        <v>0</v>
      </c>
      <c r="H232" s="134">
        <f t="shared" si="48"/>
        <v>13282</v>
      </c>
      <c r="I232" s="134">
        <v>-13282</v>
      </c>
      <c r="J232" s="134">
        <f t="shared" si="49"/>
        <v>0</v>
      </c>
      <c r="K232" s="134">
        <v>0</v>
      </c>
      <c r="L232" s="134">
        <v>0</v>
      </c>
      <c r="M232" s="134">
        <f t="shared" si="50"/>
        <v>0</v>
      </c>
      <c r="N232" s="134">
        <f t="shared" si="51"/>
        <v>0</v>
      </c>
    </row>
    <row r="233" spans="1:14" s="125" customFormat="1" ht="16" outlineLevel="2" thickBot="1" x14ac:dyDescent="0.4">
      <c r="A233" s="105" t="s">
        <v>617</v>
      </c>
      <c r="B233" s="133" t="s">
        <v>12</v>
      </c>
      <c r="C233" s="78">
        <f>SUBTOTAL(109,Program212[(C)
Program
Costs])</f>
        <v>693579</v>
      </c>
      <c r="D233" s="78">
        <f>SUBTOTAL(109,Program212[(D)
Prior Period Adjustments])</f>
        <v>-657876</v>
      </c>
      <c r="E233" s="78">
        <f>SUBTOTAL(109,Program212[(E)
Current Period Desk 
Reviews])</f>
        <v>0</v>
      </c>
      <c r="F233" s="78">
        <f>SUBTOTAL(109,Program212[(F)
Current Period 
Final 
Audits])</f>
        <v>0</v>
      </c>
      <c r="G233" s="78">
        <f>SUBTOTAL(109,Program212[(G)
Current Period 
Other Adjustments])</f>
        <v>0</v>
      </c>
      <c r="H233" s="78">
        <f>SUBTOTAL(109,Program212[(H)
Net Program Costs
Sum (C through G)])</f>
        <v>35703</v>
      </c>
      <c r="I233" s="78">
        <f>SUBTOTAL(109,Program212[(I)
Payments
 and Offsets])</f>
        <v>-35703</v>
      </c>
      <c r="J233" s="78">
        <f>SUBTOTAL(109,Program212[(J)
Accounts Payable Balance
(H + I)])</f>
        <v>0</v>
      </c>
      <c r="K233" s="78">
        <f>SUBTOTAL(109,Program212[(K)
Established 
Accounts Receivable])</f>
        <v>616705</v>
      </c>
      <c r="L233" s="78">
        <f>SUBTOTAL(109,Program212[(L)
Recovered
 Accounts Receivable])</f>
        <v>-616705</v>
      </c>
      <c r="M233" s="78">
        <f>SUBTOTAL(109,Program212[(M)
Accounts Receivable Balance
(K + L)])</f>
        <v>0</v>
      </c>
      <c r="N233" s="78">
        <f>SUBTOTAL(109,Program212[(N)
Net Balance
(J minus M)])</f>
        <v>0</v>
      </c>
    </row>
    <row r="234" spans="1:14" s="125" customFormat="1" outlineLevel="2" x14ac:dyDescent="0.35">
      <c r="A234" s="116" t="s">
        <v>33</v>
      </c>
      <c r="B234" s="115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</row>
    <row r="235" spans="1:14" s="125" customFormat="1" ht="77.5" outlineLevel="2" x14ac:dyDescent="0.35">
      <c r="A235" s="60" t="s">
        <v>185</v>
      </c>
      <c r="B235" s="59" t="s">
        <v>184</v>
      </c>
      <c r="C235" s="58" t="s">
        <v>183</v>
      </c>
      <c r="D235" s="58" t="s">
        <v>182</v>
      </c>
      <c r="E235" s="56" t="s">
        <v>181</v>
      </c>
      <c r="F235" s="56" t="s">
        <v>180</v>
      </c>
      <c r="G235" s="56" t="s">
        <v>179</v>
      </c>
      <c r="H235" s="57" t="s">
        <v>674</v>
      </c>
      <c r="I235" s="55" t="s">
        <v>178</v>
      </c>
      <c r="J235" s="55" t="s">
        <v>177</v>
      </c>
      <c r="K235" s="56" t="s">
        <v>176</v>
      </c>
      <c r="L235" s="55" t="s">
        <v>175</v>
      </c>
      <c r="M235" s="55" t="s">
        <v>174</v>
      </c>
      <c r="N235" s="54" t="s">
        <v>173</v>
      </c>
    </row>
    <row r="236" spans="1:14" s="136" customFormat="1" ht="31" outlineLevel="1" x14ac:dyDescent="0.35">
      <c r="A236" s="141" t="s">
        <v>651</v>
      </c>
      <c r="B236" s="108" t="s">
        <v>196</v>
      </c>
      <c r="C236" s="134">
        <v>712</v>
      </c>
      <c r="D236" s="134">
        <v>0</v>
      </c>
      <c r="E236" s="134">
        <v>0</v>
      </c>
      <c r="F236" s="134">
        <v>0</v>
      </c>
      <c r="G236" s="134">
        <v>0</v>
      </c>
      <c r="H236" s="134">
        <f>SUM(C236:G236)</f>
        <v>712</v>
      </c>
      <c r="I236" s="134">
        <v>-712</v>
      </c>
      <c r="J236" s="134">
        <f>H236+I236</f>
        <v>0</v>
      </c>
      <c r="K236" s="134">
        <v>0</v>
      </c>
      <c r="L236" s="134">
        <v>0</v>
      </c>
      <c r="M236" s="134">
        <f>K236+L236</f>
        <v>0</v>
      </c>
      <c r="N236" s="134">
        <f>J236-M236</f>
        <v>0</v>
      </c>
    </row>
    <row r="237" spans="1:14" s="100" customFormat="1" ht="30" customHeight="1" outlineLevel="1" x14ac:dyDescent="0.35">
      <c r="A237" s="141" t="s">
        <v>651</v>
      </c>
      <c r="B237" s="108" t="s">
        <v>195</v>
      </c>
      <c r="C237" s="134">
        <v>1169</v>
      </c>
      <c r="D237" s="134">
        <v>0</v>
      </c>
      <c r="E237" s="134">
        <v>0</v>
      </c>
      <c r="F237" s="134">
        <v>0</v>
      </c>
      <c r="G237" s="134">
        <v>0</v>
      </c>
      <c r="H237" s="134">
        <f>SUM(C237:G237)</f>
        <v>1169</v>
      </c>
      <c r="I237" s="134">
        <v>-1169</v>
      </c>
      <c r="J237" s="134">
        <f>H237+I237</f>
        <v>0</v>
      </c>
      <c r="K237" s="134">
        <v>0</v>
      </c>
      <c r="L237" s="134">
        <v>0</v>
      </c>
      <c r="M237" s="134">
        <f>K237+L237</f>
        <v>0</v>
      </c>
      <c r="N237" s="134">
        <f>J237-M237</f>
        <v>0</v>
      </c>
    </row>
    <row r="238" spans="1:14" s="125" customFormat="1" ht="31" outlineLevel="1" x14ac:dyDescent="0.35">
      <c r="A238" s="141" t="s">
        <v>651</v>
      </c>
      <c r="B238" s="108" t="s">
        <v>193</v>
      </c>
      <c r="C238" s="134">
        <v>716</v>
      </c>
      <c r="D238" s="134">
        <v>0</v>
      </c>
      <c r="E238" s="134">
        <v>0</v>
      </c>
      <c r="F238" s="134">
        <v>0</v>
      </c>
      <c r="G238" s="134">
        <v>0</v>
      </c>
      <c r="H238" s="134">
        <f>SUM(C238:G238)</f>
        <v>716</v>
      </c>
      <c r="I238" s="134">
        <v>-716</v>
      </c>
      <c r="J238" s="134">
        <f>H238+I238</f>
        <v>0</v>
      </c>
      <c r="K238" s="134">
        <v>0</v>
      </c>
      <c r="L238" s="134">
        <v>0</v>
      </c>
      <c r="M238" s="134">
        <f>K238+L238</f>
        <v>0</v>
      </c>
      <c r="N238" s="134">
        <f>J238-M238</f>
        <v>0</v>
      </c>
    </row>
    <row r="239" spans="1:14" s="125" customFormat="1" ht="31" outlineLevel="2" x14ac:dyDescent="0.35">
      <c r="A239" s="141" t="s">
        <v>651</v>
      </c>
      <c r="B239" s="108" t="s">
        <v>192</v>
      </c>
      <c r="C239" s="134">
        <v>1319</v>
      </c>
      <c r="D239" s="134">
        <v>0</v>
      </c>
      <c r="E239" s="134">
        <v>0</v>
      </c>
      <c r="F239" s="134">
        <v>0</v>
      </c>
      <c r="G239" s="134">
        <v>0</v>
      </c>
      <c r="H239" s="134">
        <f>SUM(C239:G239)</f>
        <v>1319</v>
      </c>
      <c r="I239" s="134">
        <v>-1319</v>
      </c>
      <c r="J239" s="134">
        <f>H239+I239</f>
        <v>0</v>
      </c>
      <c r="K239" s="134">
        <v>0</v>
      </c>
      <c r="L239" s="134">
        <v>0</v>
      </c>
      <c r="M239" s="134">
        <f>K239+L239</f>
        <v>0</v>
      </c>
      <c r="N239" s="134">
        <f>J239-M239</f>
        <v>0</v>
      </c>
    </row>
    <row r="240" spans="1:14" s="136" customFormat="1" ht="16" outlineLevel="1" thickBot="1" x14ac:dyDescent="0.4">
      <c r="A240" s="105" t="s">
        <v>616</v>
      </c>
      <c r="B240" s="133" t="s">
        <v>12</v>
      </c>
      <c r="C240" s="78">
        <f>SUBTOTAL(109,Program236[(C)
Program
Costs])</f>
        <v>3916</v>
      </c>
      <c r="D240" s="78">
        <f>SUBTOTAL(109,Program236[(D)
Prior Period Adjustments])</f>
        <v>0</v>
      </c>
      <c r="E240" s="78">
        <f>SUBTOTAL(109,Program236[(E)
Current Period Desk 
Reviews])</f>
        <v>0</v>
      </c>
      <c r="F240" s="78">
        <f>SUBTOTAL(109,Program236[(F)
Current Period 
Final 
Audits])</f>
        <v>0</v>
      </c>
      <c r="G240" s="78">
        <f>SUBTOTAL(109,Program236[(G)
Current Period 
Other Adjustments])</f>
        <v>0</v>
      </c>
      <c r="H240" s="78">
        <f>SUBTOTAL(109,Program236[(H)
Net Program Costs
Sum (C through G)])</f>
        <v>3916</v>
      </c>
      <c r="I240" s="78">
        <f>SUBTOTAL(109,Program236[(I)
Payments
 and Offsets])</f>
        <v>-3916</v>
      </c>
      <c r="J240" s="78">
        <f>SUBTOTAL(109,Program236[(J)
Accounts Payable Balance
(H + I)])</f>
        <v>0</v>
      </c>
      <c r="K240" s="78">
        <f>SUBTOTAL(109,Program236[(K)
Established 
Accounts Receivable])</f>
        <v>0</v>
      </c>
      <c r="L240" s="78">
        <f>SUBTOTAL(109,Program236[(L)
Recovered
 Accounts Receivable])</f>
        <v>0</v>
      </c>
      <c r="M240" s="78">
        <f>SUBTOTAL(109,Program236[(M)
Accounts Receivable Balance
(K + L)])</f>
        <v>0</v>
      </c>
      <c r="N240" s="78">
        <f>SUBTOTAL(109,Program236[(N)
Net Balance
(J minus M)])</f>
        <v>0</v>
      </c>
    </row>
    <row r="241" spans="1:14" s="100" customFormat="1" ht="15" customHeight="1" outlineLevel="1" x14ac:dyDescent="0.35">
      <c r="A241" s="116" t="s">
        <v>33</v>
      </c>
      <c r="B241" s="115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</row>
    <row r="242" spans="1:14" s="125" customFormat="1" ht="77.5" outlineLevel="1" x14ac:dyDescent="0.35">
      <c r="A242" s="60" t="s">
        <v>185</v>
      </c>
      <c r="B242" s="59" t="s">
        <v>184</v>
      </c>
      <c r="C242" s="58" t="s">
        <v>183</v>
      </c>
      <c r="D242" s="58" t="s">
        <v>182</v>
      </c>
      <c r="E242" s="56" t="s">
        <v>181</v>
      </c>
      <c r="F242" s="56" t="s">
        <v>180</v>
      </c>
      <c r="G242" s="56" t="s">
        <v>179</v>
      </c>
      <c r="H242" s="57" t="s">
        <v>674</v>
      </c>
      <c r="I242" s="55" t="s">
        <v>178</v>
      </c>
      <c r="J242" s="55" t="s">
        <v>177</v>
      </c>
      <c r="K242" s="56" t="s">
        <v>176</v>
      </c>
      <c r="L242" s="55" t="s">
        <v>175</v>
      </c>
      <c r="M242" s="55" t="s">
        <v>174</v>
      </c>
      <c r="N242" s="54" t="s">
        <v>173</v>
      </c>
    </row>
    <row r="243" spans="1:14" s="125" customFormat="1" outlineLevel="2" x14ac:dyDescent="0.35">
      <c r="A243" s="135" t="s">
        <v>650</v>
      </c>
      <c r="B243" s="108" t="s">
        <v>206</v>
      </c>
      <c r="C243" s="134">
        <v>680288</v>
      </c>
      <c r="D243" s="134">
        <v>-4007</v>
      </c>
      <c r="E243" s="134">
        <v>0</v>
      </c>
      <c r="F243" s="134">
        <v>0</v>
      </c>
      <c r="G243" s="134">
        <v>0</v>
      </c>
      <c r="H243" s="134">
        <f t="shared" ref="H243:H255" si="52">SUM(C243:G243)</f>
        <v>676281</v>
      </c>
      <c r="I243" s="134">
        <v>-627596</v>
      </c>
      <c r="J243" s="134">
        <f t="shared" ref="J243:J255" si="53">H243+I243</f>
        <v>48685</v>
      </c>
      <c r="K243" s="134">
        <v>0</v>
      </c>
      <c r="L243" s="134">
        <v>0</v>
      </c>
      <c r="M243" s="134">
        <f t="shared" ref="M243:M255" si="54">K243+L243</f>
        <v>0</v>
      </c>
      <c r="N243" s="134">
        <f t="shared" ref="N243:N255" si="55">J243-M243</f>
        <v>48685</v>
      </c>
    </row>
    <row r="244" spans="1:14" s="136" customFormat="1" outlineLevel="1" x14ac:dyDescent="0.35">
      <c r="A244" s="135" t="s">
        <v>650</v>
      </c>
      <c r="B244" s="108" t="s">
        <v>205</v>
      </c>
      <c r="C244" s="134">
        <v>812644</v>
      </c>
      <c r="D244" s="134">
        <v>-128110</v>
      </c>
      <c r="E244" s="134">
        <v>0</v>
      </c>
      <c r="F244" s="134">
        <v>0</v>
      </c>
      <c r="G244" s="134">
        <v>0</v>
      </c>
      <c r="H244" s="134">
        <f t="shared" si="52"/>
        <v>684534</v>
      </c>
      <c r="I244" s="134">
        <v>-639450</v>
      </c>
      <c r="J244" s="134">
        <f t="shared" si="53"/>
        <v>45084</v>
      </c>
      <c r="K244" s="134">
        <v>0</v>
      </c>
      <c r="L244" s="134">
        <v>0</v>
      </c>
      <c r="M244" s="134">
        <f t="shared" si="54"/>
        <v>0</v>
      </c>
      <c r="N244" s="134">
        <f t="shared" si="55"/>
        <v>45084</v>
      </c>
    </row>
    <row r="245" spans="1:14" s="100" customFormat="1" ht="15" customHeight="1" outlineLevel="1" x14ac:dyDescent="0.35">
      <c r="A245" s="135" t="s">
        <v>650</v>
      </c>
      <c r="B245" s="108" t="s">
        <v>204</v>
      </c>
      <c r="C245" s="134">
        <v>778192</v>
      </c>
      <c r="D245" s="134">
        <v>-2383</v>
      </c>
      <c r="E245" s="134">
        <v>0</v>
      </c>
      <c r="F245" s="134">
        <v>0</v>
      </c>
      <c r="G245" s="134">
        <v>0</v>
      </c>
      <c r="H245" s="134">
        <f t="shared" si="52"/>
        <v>775809</v>
      </c>
      <c r="I245" s="134">
        <v>-695244</v>
      </c>
      <c r="J245" s="134">
        <f t="shared" si="53"/>
        <v>80565</v>
      </c>
      <c r="K245" s="134">
        <v>0</v>
      </c>
      <c r="L245" s="134">
        <v>0</v>
      </c>
      <c r="M245" s="134">
        <f t="shared" si="54"/>
        <v>0</v>
      </c>
      <c r="N245" s="134">
        <f t="shared" si="55"/>
        <v>80565</v>
      </c>
    </row>
    <row r="246" spans="1:14" s="125" customFormat="1" outlineLevel="1" x14ac:dyDescent="0.35">
      <c r="A246" s="135" t="s">
        <v>650</v>
      </c>
      <c r="B246" s="108" t="s">
        <v>203</v>
      </c>
      <c r="C246" s="134">
        <v>711478</v>
      </c>
      <c r="D246" s="134">
        <v>-3491</v>
      </c>
      <c r="E246" s="134">
        <v>0</v>
      </c>
      <c r="F246" s="134">
        <v>0</v>
      </c>
      <c r="G246" s="134">
        <v>0</v>
      </c>
      <c r="H246" s="134">
        <f t="shared" si="52"/>
        <v>707987</v>
      </c>
      <c r="I246" s="134">
        <v>-634644</v>
      </c>
      <c r="J246" s="134">
        <f t="shared" si="53"/>
        <v>73343</v>
      </c>
      <c r="K246" s="134">
        <v>0</v>
      </c>
      <c r="L246" s="134">
        <v>0</v>
      </c>
      <c r="M246" s="134">
        <f t="shared" si="54"/>
        <v>0</v>
      </c>
      <c r="N246" s="134">
        <f t="shared" si="55"/>
        <v>73343</v>
      </c>
    </row>
    <row r="247" spans="1:14" s="125" customFormat="1" outlineLevel="2" x14ac:dyDescent="0.35">
      <c r="A247" s="135" t="s">
        <v>650</v>
      </c>
      <c r="B247" s="108" t="s">
        <v>202</v>
      </c>
      <c r="C247" s="134">
        <v>855770</v>
      </c>
      <c r="D247" s="134">
        <v>-1883</v>
      </c>
      <c r="E247" s="134">
        <v>0</v>
      </c>
      <c r="F247" s="134">
        <v>0</v>
      </c>
      <c r="G247" s="134">
        <v>0</v>
      </c>
      <c r="H247" s="134">
        <f t="shared" si="52"/>
        <v>853887</v>
      </c>
      <c r="I247" s="134">
        <v>-840901</v>
      </c>
      <c r="J247" s="134">
        <f t="shared" si="53"/>
        <v>12986</v>
      </c>
      <c r="K247" s="134">
        <v>0</v>
      </c>
      <c r="L247" s="134">
        <v>0</v>
      </c>
      <c r="M247" s="134">
        <f t="shared" si="54"/>
        <v>0</v>
      </c>
      <c r="N247" s="134">
        <f t="shared" si="55"/>
        <v>12986</v>
      </c>
    </row>
    <row r="248" spans="1:14" s="125" customFormat="1" outlineLevel="2" x14ac:dyDescent="0.35">
      <c r="A248" s="135" t="s">
        <v>650</v>
      </c>
      <c r="B248" s="108" t="s">
        <v>201</v>
      </c>
      <c r="C248" s="134">
        <v>896703</v>
      </c>
      <c r="D248" s="134">
        <v>-4196</v>
      </c>
      <c r="E248" s="134">
        <v>0</v>
      </c>
      <c r="F248" s="134">
        <v>0</v>
      </c>
      <c r="G248" s="134">
        <v>0</v>
      </c>
      <c r="H248" s="134">
        <f t="shared" si="52"/>
        <v>892507</v>
      </c>
      <c r="I248" s="134">
        <v>-892507</v>
      </c>
      <c r="J248" s="134">
        <f t="shared" si="53"/>
        <v>0</v>
      </c>
      <c r="K248" s="134">
        <v>159704</v>
      </c>
      <c r="L248" s="134">
        <v>-145885</v>
      </c>
      <c r="M248" s="134">
        <f t="shared" si="54"/>
        <v>13819</v>
      </c>
      <c r="N248" s="134">
        <f t="shared" si="55"/>
        <v>-13819</v>
      </c>
    </row>
    <row r="249" spans="1:14" s="125" customFormat="1" outlineLevel="2" x14ac:dyDescent="0.35">
      <c r="A249" s="135" t="s">
        <v>650</v>
      </c>
      <c r="B249" s="108" t="s">
        <v>200</v>
      </c>
      <c r="C249" s="134">
        <v>814188</v>
      </c>
      <c r="D249" s="134">
        <v>-2858</v>
      </c>
      <c r="E249" s="134">
        <v>0</v>
      </c>
      <c r="F249" s="134">
        <v>0</v>
      </c>
      <c r="G249" s="134">
        <v>0</v>
      </c>
      <c r="H249" s="134">
        <f t="shared" si="52"/>
        <v>811330</v>
      </c>
      <c r="I249" s="134">
        <v>-811330</v>
      </c>
      <c r="J249" s="134">
        <f t="shared" si="53"/>
        <v>0</v>
      </c>
      <c r="K249" s="134">
        <v>0</v>
      </c>
      <c r="L249" s="134">
        <v>0</v>
      </c>
      <c r="M249" s="134">
        <f t="shared" si="54"/>
        <v>0</v>
      </c>
      <c r="N249" s="134">
        <f t="shared" si="55"/>
        <v>0</v>
      </c>
    </row>
    <row r="250" spans="1:14" s="125" customFormat="1" outlineLevel="2" x14ac:dyDescent="0.35">
      <c r="A250" s="135" t="s">
        <v>650</v>
      </c>
      <c r="B250" s="108" t="s">
        <v>199</v>
      </c>
      <c r="C250" s="134">
        <v>667359</v>
      </c>
      <c r="D250" s="134">
        <v>-2617</v>
      </c>
      <c r="E250" s="134">
        <v>0</v>
      </c>
      <c r="F250" s="134">
        <v>0</v>
      </c>
      <c r="G250" s="134">
        <v>0</v>
      </c>
      <c r="H250" s="134">
        <f t="shared" si="52"/>
        <v>664742</v>
      </c>
      <c r="I250" s="134">
        <v>-664742</v>
      </c>
      <c r="J250" s="134">
        <f t="shared" si="53"/>
        <v>0</v>
      </c>
      <c r="K250" s="134">
        <v>0</v>
      </c>
      <c r="L250" s="134">
        <v>0</v>
      </c>
      <c r="M250" s="134">
        <f t="shared" si="54"/>
        <v>0</v>
      </c>
      <c r="N250" s="134">
        <f t="shared" si="55"/>
        <v>0</v>
      </c>
    </row>
    <row r="251" spans="1:14" s="125" customFormat="1" outlineLevel="2" x14ac:dyDescent="0.35">
      <c r="A251" s="135" t="s">
        <v>650</v>
      </c>
      <c r="B251" s="108" t="s">
        <v>198</v>
      </c>
      <c r="C251" s="134">
        <v>795798</v>
      </c>
      <c r="D251" s="134">
        <v>-13145</v>
      </c>
      <c r="E251" s="134">
        <v>0</v>
      </c>
      <c r="F251" s="134">
        <v>0</v>
      </c>
      <c r="G251" s="134">
        <v>0</v>
      </c>
      <c r="H251" s="134">
        <f t="shared" si="52"/>
        <v>782653</v>
      </c>
      <c r="I251" s="134">
        <v>-782653</v>
      </c>
      <c r="J251" s="134">
        <f t="shared" si="53"/>
        <v>0</v>
      </c>
      <c r="K251" s="134">
        <v>0</v>
      </c>
      <c r="L251" s="134">
        <v>0</v>
      </c>
      <c r="M251" s="134">
        <f t="shared" si="54"/>
        <v>0</v>
      </c>
      <c r="N251" s="134">
        <f t="shared" si="55"/>
        <v>0</v>
      </c>
    </row>
    <row r="252" spans="1:14" s="125" customFormat="1" outlineLevel="2" x14ac:dyDescent="0.35">
      <c r="A252" s="135" t="s">
        <v>650</v>
      </c>
      <c r="B252" s="108" t="s">
        <v>197</v>
      </c>
      <c r="C252" s="134">
        <v>795224</v>
      </c>
      <c r="D252" s="134">
        <v>-14496</v>
      </c>
      <c r="E252" s="134">
        <v>0</v>
      </c>
      <c r="F252" s="134">
        <v>0</v>
      </c>
      <c r="G252" s="134">
        <v>0</v>
      </c>
      <c r="H252" s="134">
        <f t="shared" si="52"/>
        <v>780728</v>
      </c>
      <c r="I252" s="134">
        <v>-780728</v>
      </c>
      <c r="J252" s="134">
        <f t="shared" si="53"/>
        <v>0</v>
      </c>
      <c r="K252" s="134">
        <v>33</v>
      </c>
      <c r="L252" s="134">
        <v>-33</v>
      </c>
      <c r="M252" s="134">
        <f t="shared" si="54"/>
        <v>0</v>
      </c>
      <c r="N252" s="134">
        <f t="shared" si="55"/>
        <v>0</v>
      </c>
    </row>
    <row r="253" spans="1:14" s="125" customFormat="1" outlineLevel="2" x14ac:dyDescent="0.35">
      <c r="A253" s="135" t="s">
        <v>650</v>
      </c>
      <c r="B253" s="108" t="s">
        <v>196</v>
      </c>
      <c r="C253" s="134">
        <v>616258</v>
      </c>
      <c r="D253" s="134">
        <v>-1825</v>
      </c>
      <c r="E253" s="134">
        <v>0</v>
      </c>
      <c r="F253" s="134">
        <v>0</v>
      </c>
      <c r="G253" s="134">
        <v>0</v>
      </c>
      <c r="H253" s="134">
        <f t="shared" si="52"/>
        <v>614433</v>
      </c>
      <c r="I253" s="134">
        <v>-614433</v>
      </c>
      <c r="J253" s="134">
        <f t="shared" si="53"/>
        <v>0</v>
      </c>
      <c r="K253" s="134">
        <v>11162</v>
      </c>
      <c r="L253" s="134">
        <v>-9987</v>
      </c>
      <c r="M253" s="134">
        <f t="shared" si="54"/>
        <v>1175</v>
      </c>
      <c r="N253" s="134">
        <f t="shared" si="55"/>
        <v>-1175</v>
      </c>
    </row>
    <row r="254" spans="1:14" s="125" customFormat="1" outlineLevel="2" x14ac:dyDescent="0.35">
      <c r="A254" s="135" t="s">
        <v>650</v>
      </c>
      <c r="B254" s="108" t="s">
        <v>195</v>
      </c>
      <c r="C254" s="134">
        <v>28469</v>
      </c>
      <c r="D254" s="134">
        <v>0</v>
      </c>
      <c r="E254" s="134">
        <v>0</v>
      </c>
      <c r="F254" s="134">
        <v>0</v>
      </c>
      <c r="G254" s="134">
        <v>0</v>
      </c>
      <c r="H254" s="134">
        <f t="shared" si="52"/>
        <v>28469</v>
      </c>
      <c r="I254" s="134">
        <v>-28469</v>
      </c>
      <c r="J254" s="134">
        <f t="shared" si="53"/>
        <v>0</v>
      </c>
      <c r="K254" s="134">
        <v>17658</v>
      </c>
      <c r="L254" s="134">
        <v>-8829</v>
      </c>
      <c r="M254" s="134">
        <f t="shared" si="54"/>
        <v>8829</v>
      </c>
      <c r="N254" s="134">
        <f t="shared" si="55"/>
        <v>-8829</v>
      </c>
    </row>
    <row r="255" spans="1:14" s="125" customFormat="1" outlineLevel="2" x14ac:dyDescent="0.35">
      <c r="A255" s="135" t="s">
        <v>650</v>
      </c>
      <c r="B255" s="108" t="s">
        <v>190</v>
      </c>
      <c r="C255" s="134">
        <v>9538</v>
      </c>
      <c r="D255" s="134">
        <v>0</v>
      </c>
      <c r="E255" s="134">
        <v>0</v>
      </c>
      <c r="F255" s="134">
        <v>0</v>
      </c>
      <c r="G255" s="134">
        <v>0</v>
      </c>
      <c r="H255" s="134">
        <f t="shared" si="52"/>
        <v>9538</v>
      </c>
      <c r="I255" s="134">
        <v>-9538</v>
      </c>
      <c r="J255" s="134">
        <f t="shared" si="53"/>
        <v>0</v>
      </c>
      <c r="K255" s="134">
        <v>462</v>
      </c>
      <c r="L255" s="134">
        <v>-462</v>
      </c>
      <c r="M255" s="134">
        <f t="shared" si="54"/>
        <v>0</v>
      </c>
      <c r="N255" s="134">
        <f t="shared" si="55"/>
        <v>0</v>
      </c>
    </row>
    <row r="256" spans="1:14" s="125" customFormat="1" ht="16" outlineLevel="2" thickBot="1" x14ac:dyDescent="0.4">
      <c r="A256" s="105" t="s">
        <v>615</v>
      </c>
      <c r="B256" s="133" t="s">
        <v>12</v>
      </c>
      <c r="C256" s="78">
        <f>SUBTOTAL(109,Program237[(C)
Program
Costs])</f>
        <v>8461909</v>
      </c>
      <c r="D256" s="78">
        <f>SUBTOTAL(109,Program237[(D)
Prior Period Adjustments])</f>
        <v>-179011</v>
      </c>
      <c r="E256" s="78">
        <f>SUBTOTAL(109,Program237[(E)
Current Period Desk 
Reviews])</f>
        <v>0</v>
      </c>
      <c r="F256" s="78">
        <f>SUBTOTAL(109,Program237[(F)
Current Period 
Final 
Audits])</f>
        <v>0</v>
      </c>
      <c r="G256" s="78">
        <f>SUBTOTAL(109,Program237[(G)
Current Period 
Other Adjustments])</f>
        <v>0</v>
      </c>
      <c r="H256" s="78">
        <f>SUBTOTAL(109,Program237[(H)
Net Program Costs
Sum (C through G)])</f>
        <v>8282898</v>
      </c>
      <c r="I256" s="78">
        <f>SUBTOTAL(109,Program237[(I)
Payments
 and Offsets])</f>
        <v>-8022235</v>
      </c>
      <c r="J256" s="78">
        <f>SUBTOTAL(109,Program237[(J)
Accounts Payable Balance
(H + I)])</f>
        <v>260663</v>
      </c>
      <c r="K256" s="78">
        <f>SUBTOTAL(109,Program237[(K)
Established 
Accounts Receivable])</f>
        <v>189019</v>
      </c>
      <c r="L256" s="78">
        <f>SUBTOTAL(109,Program237[(L)
Recovered
 Accounts Receivable])</f>
        <v>-165196</v>
      </c>
      <c r="M256" s="78">
        <f>SUBTOTAL(109,Program237[(M)
Accounts Receivable Balance
(K + L)])</f>
        <v>23823</v>
      </c>
      <c r="N256" s="78">
        <f>SUBTOTAL(109,Program237[(N)
Net Balance
(J minus M)])</f>
        <v>236840</v>
      </c>
    </row>
    <row r="257" spans="1:14" s="125" customFormat="1" outlineLevel="2" x14ac:dyDescent="0.35">
      <c r="A257" s="116" t="s">
        <v>33</v>
      </c>
      <c r="B257" s="115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</row>
    <row r="258" spans="1:14" s="125" customFormat="1" ht="77.5" outlineLevel="2" x14ac:dyDescent="0.35">
      <c r="A258" s="60" t="s">
        <v>185</v>
      </c>
      <c r="B258" s="59" t="s">
        <v>184</v>
      </c>
      <c r="C258" s="58" t="s">
        <v>183</v>
      </c>
      <c r="D258" s="58" t="s">
        <v>182</v>
      </c>
      <c r="E258" s="56" t="s">
        <v>181</v>
      </c>
      <c r="F258" s="56" t="s">
        <v>180</v>
      </c>
      <c r="G258" s="56" t="s">
        <v>179</v>
      </c>
      <c r="H258" s="57" t="s">
        <v>674</v>
      </c>
      <c r="I258" s="55" t="s">
        <v>178</v>
      </c>
      <c r="J258" s="55" t="s">
        <v>177</v>
      </c>
      <c r="K258" s="56" t="s">
        <v>176</v>
      </c>
      <c r="L258" s="55" t="s">
        <v>175</v>
      </c>
      <c r="M258" s="55" t="s">
        <v>174</v>
      </c>
      <c r="N258" s="54" t="s">
        <v>173</v>
      </c>
    </row>
    <row r="259" spans="1:14" s="125" customFormat="1" outlineLevel="2" x14ac:dyDescent="0.35">
      <c r="A259" s="135" t="s">
        <v>649</v>
      </c>
      <c r="B259" s="108" t="s">
        <v>209</v>
      </c>
      <c r="C259" s="134">
        <v>79916</v>
      </c>
      <c r="D259" s="134">
        <v>-4500</v>
      </c>
      <c r="E259" s="134">
        <v>0</v>
      </c>
      <c r="F259" s="134">
        <v>0</v>
      </c>
      <c r="G259" s="134">
        <v>0</v>
      </c>
      <c r="H259" s="134">
        <f>SUM(C259:G259)</f>
        <v>75416</v>
      </c>
      <c r="I259" s="134">
        <v>-57555</v>
      </c>
      <c r="J259" s="134">
        <f>H259+I259</f>
        <v>17861</v>
      </c>
      <c r="K259" s="134">
        <v>0</v>
      </c>
      <c r="L259" s="134">
        <v>0</v>
      </c>
      <c r="M259" s="134">
        <f>K259+L259</f>
        <v>0</v>
      </c>
      <c r="N259" s="134">
        <f>J259-M259</f>
        <v>17861</v>
      </c>
    </row>
    <row r="260" spans="1:14" s="136" customFormat="1" outlineLevel="1" x14ac:dyDescent="0.35">
      <c r="A260" s="135" t="s">
        <v>649</v>
      </c>
      <c r="B260" s="108" t="s">
        <v>208</v>
      </c>
      <c r="C260" s="134">
        <v>595091</v>
      </c>
      <c r="D260" s="134">
        <v>-904</v>
      </c>
      <c r="E260" s="134">
        <v>0</v>
      </c>
      <c r="F260" s="134">
        <v>0</v>
      </c>
      <c r="G260" s="134">
        <v>0</v>
      </c>
      <c r="H260" s="134">
        <f>SUM(C260:G260)</f>
        <v>594187</v>
      </c>
      <c r="I260" s="134">
        <v>-511243</v>
      </c>
      <c r="J260" s="134">
        <f>H260+I260</f>
        <v>82944</v>
      </c>
      <c r="K260" s="134">
        <v>0</v>
      </c>
      <c r="L260" s="134">
        <v>0</v>
      </c>
      <c r="M260" s="134">
        <f>K260+L260</f>
        <v>0</v>
      </c>
      <c r="N260" s="134">
        <f>J260-M260</f>
        <v>82944</v>
      </c>
    </row>
    <row r="261" spans="1:14" s="125" customFormat="1" ht="16" outlineLevel="1" thickBot="1" x14ac:dyDescent="0.4">
      <c r="A261" s="105" t="s">
        <v>614</v>
      </c>
      <c r="B261" s="133" t="s">
        <v>12</v>
      </c>
      <c r="C261" s="48">
        <f>SUBTOTAL(109,Program320[(C)
Program
Costs])</f>
        <v>675007</v>
      </c>
      <c r="D261" s="48">
        <f>SUBTOTAL(109,Program320[(D)
Prior Period Adjustments])</f>
        <v>-5404</v>
      </c>
      <c r="E261" s="48">
        <f>SUBTOTAL(109,Program320[(E)
Current Period Desk 
Reviews])</f>
        <v>0</v>
      </c>
      <c r="F261" s="48">
        <f>SUBTOTAL(109,Program320[(F)
Current Period 
Final 
Audits])</f>
        <v>0</v>
      </c>
      <c r="G261" s="48">
        <f>SUBTOTAL(109,Program320[(G)
Current Period 
Other Adjustments])</f>
        <v>0</v>
      </c>
      <c r="H261" s="48">
        <f>SUBTOTAL(109,Program320[(H)
Net Program Costs
Sum (C through G)])</f>
        <v>669603</v>
      </c>
      <c r="I261" s="48">
        <f>SUBTOTAL(109,Program320[(I)
Payments
 and Offsets])</f>
        <v>-568798</v>
      </c>
      <c r="J261" s="48">
        <f>SUBTOTAL(109,Program320[(J)
Accounts Payable Balance
(H + I)])</f>
        <v>100805</v>
      </c>
      <c r="K261" s="48">
        <f>SUBTOTAL(109,Program320[(K)
Established 
Accounts Receivable])</f>
        <v>0</v>
      </c>
      <c r="L261" s="48">
        <f>SUBTOTAL(109,Program320[(L)
Recovered
 Accounts Receivable])</f>
        <v>0</v>
      </c>
      <c r="M261" s="48">
        <f>SUBTOTAL(109,Program320[(M)
Accounts Receivable Balance
(K + L)])</f>
        <v>0</v>
      </c>
      <c r="N261" s="48">
        <f>SUBTOTAL(109,Program320[(N)
Net Balance
(J minus M)])</f>
        <v>100805</v>
      </c>
    </row>
    <row r="262" spans="1:14" s="125" customFormat="1" outlineLevel="2" x14ac:dyDescent="0.35">
      <c r="A262" s="116" t="s">
        <v>33</v>
      </c>
      <c r="B262" s="115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</row>
    <row r="263" spans="1:14" s="125" customFormat="1" ht="77.5" outlineLevel="2" x14ac:dyDescent="0.35">
      <c r="A263" s="60" t="s">
        <v>185</v>
      </c>
      <c r="B263" s="59" t="s">
        <v>184</v>
      </c>
      <c r="C263" s="58" t="s">
        <v>183</v>
      </c>
      <c r="D263" s="58" t="s">
        <v>182</v>
      </c>
      <c r="E263" s="56" t="s">
        <v>181</v>
      </c>
      <c r="F263" s="56" t="s">
        <v>180</v>
      </c>
      <c r="G263" s="56" t="s">
        <v>179</v>
      </c>
      <c r="H263" s="57" t="s">
        <v>674</v>
      </c>
      <c r="I263" s="55" t="s">
        <v>178</v>
      </c>
      <c r="J263" s="55" t="s">
        <v>177</v>
      </c>
      <c r="K263" s="56" t="s">
        <v>176</v>
      </c>
      <c r="L263" s="55" t="s">
        <v>175</v>
      </c>
      <c r="M263" s="55" t="s">
        <v>174</v>
      </c>
      <c r="N263" s="54" t="s">
        <v>173</v>
      </c>
    </row>
    <row r="264" spans="1:14" s="136" customFormat="1" outlineLevel="1" x14ac:dyDescent="0.35">
      <c r="A264" s="135" t="s">
        <v>648</v>
      </c>
      <c r="B264" s="108" t="s">
        <v>206</v>
      </c>
      <c r="C264" s="134">
        <v>3057</v>
      </c>
      <c r="D264" s="134">
        <v>-3057</v>
      </c>
      <c r="E264" s="134">
        <v>0</v>
      </c>
      <c r="F264" s="134">
        <v>0</v>
      </c>
      <c r="G264" s="134">
        <v>0</v>
      </c>
      <c r="H264" s="134">
        <f>SUM(C264:G264)</f>
        <v>0</v>
      </c>
      <c r="I264" s="134">
        <v>0</v>
      </c>
      <c r="J264" s="134">
        <f>H264+I264</f>
        <v>0</v>
      </c>
      <c r="K264" s="134">
        <v>0</v>
      </c>
      <c r="L264" s="134">
        <v>0</v>
      </c>
      <c r="M264" s="134">
        <f>K264+L264</f>
        <v>0</v>
      </c>
      <c r="N264" s="134">
        <f>J264-M264</f>
        <v>0</v>
      </c>
    </row>
    <row r="265" spans="1:14" s="125" customFormat="1" ht="16" outlineLevel="1" thickBot="1" x14ac:dyDescent="0.4">
      <c r="A265" s="105" t="s">
        <v>613</v>
      </c>
      <c r="B265" s="133" t="s">
        <v>12</v>
      </c>
      <c r="C265" s="48">
        <f>SUBTOTAL(109,Program317[(C)
Program
Costs])</f>
        <v>3057</v>
      </c>
      <c r="D265" s="48">
        <f>SUBTOTAL(109,Program317[(D)
Prior Period Adjustments])</f>
        <v>-3057</v>
      </c>
      <c r="E265" s="48">
        <f>SUBTOTAL(109,Program317[(E)
Current Period Desk 
Reviews])</f>
        <v>0</v>
      </c>
      <c r="F265" s="48">
        <f>SUBTOTAL(109,Program317[(F)
Current Period 
Final 
Audits])</f>
        <v>0</v>
      </c>
      <c r="G265" s="48">
        <f>SUBTOTAL(109,Program317[(G)
Current Period 
Other Adjustments])</f>
        <v>0</v>
      </c>
      <c r="H265" s="48">
        <f>SUBTOTAL(109,Program317[(H)
Net Program Costs
Sum (C through G)])</f>
        <v>0</v>
      </c>
      <c r="I265" s="48">
        <f>SUBTOTAL(109,Program317[(I)
Payments
 and Offsets])</f>
        <v>0</v>
      </c>
      <c r="J265" s="48">
        <f>SUBTOTAL(109,Program317[(J)
Accounts Payable Balance
(H + I)])</f>
        <v>0</v>
      </c>
      <c r="K265" s="48">
        <f>SUBTOTAL(109,Program317[(K)
Established 
Accounts Receivable])</f>
        <v>0</v>
      </c>
      <c r="L265" s="48">
        <f>SUBTOTAL(109,Program317[(L)
Recovered
 Accounts Receivable])</f>
        <v>0</v>
      </c>
      <c r="M265" s="48">
        <f>SUBTOTAL(109,Program317[(M)
Accounts Receivable Balance
(K + L)])</f>
        <v>0</v>
      </c>
      <c r="N265" s="48">
        <f>SUBTOTAL(109,Program317[(N)
Net Balance
(J minus M)])</f>
        <v>0</v>
      </c>
    </row>
    <row r="266" spans="1:14" s="125" customFormat="1" outlineLevel="2" x14ac:dyDescent="0.35">
      <c r="A266" s="116" t="s">
        <v>33</v>
      </c>
      <c r="B266" s="115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</row>
    <row r="267" spans="1:14" s="125" customFormat="1" ht="77.5" outlineLevel="2" x14ac:dyDescent="0.35">
      <c r="A267" s="60" t="s">
        <v>185</v>
      </c>
      <c r="B267" s="59" t="s">
        <v>184</v>
      </c>
      <c r="C267" s="58" t="s">
        <v>183</v>
      </c>
      <c r="D267" s="58" t="s">
        <v>182</v>
      </c>
      <c r="E267" s="56" t="s">
        <v>181</v>
      </c>
      <c r="F267" s="56" t="s">
        <v>180</v>
      </c>
      <c r="G267" s="56" t="s">
        <v>179</v>
      </c>
      <c r="H267" s="57" t="s">
        <v>674</v>
      </c>
      <c r="I267" s="55" t="s">
        <v>178</v>
      </c>
      <c r="J267" s="55" t="s">
        <v>177</v>
      </c>
      <c r="K267" s="56" t="s">
        <v>176</v>
      </c>
      <c r="L267" s="55" t="s">
        <v>175</v>
      </c>
      <c r="M267" s="55" t="s">
        <v>174</v>
      </c>
      <c r="N267" s="54" t="s">
        <v>173</v>
      </c>
    </row>
    <row r="268" spans="1:14" s="125" customFormat="1" outlineLevel="2" x14ac:dyDescent="0.35">
      <c r="A268" s="135" t="s">
        <v>647</v>
      </c>
      <c r="B268" s="108" t="s">
        <v>219</v>
      </c>
      <c r="C268" s="134">
        <v>4517288</v>
      </c>
      <c r="D268" s="134">
        <v>-4517288</v>
      </c>
      <c r="E268" s="134">
        <v>0</v>
      </c>
      <c r="F268" s="134">
        <v>0</v>
      </c>
      <c r="G268" s="134">
        <v>0</v>
      </c>
      <c r="H268" s="134">
        <f t="shared" ref="H268:H281" si="56">SUM(C268:G268)</f>
        <v>0</v>
      </c>
      <c r="I268" s="134">
        <v>0</v>
      </c>
      <c r="J268" s="134">
        <f t="shared" ref="J268:J281" si="57">H268+I268</f>
        <v>0</v>
      </c>
      <c r="K268" s="134">
        <v>1000</v>
      </c>
      <c r="L268" s="134">
        <v>0</v>
      </c>
      <c r="M268" s="134">
        <f t="shared" ref="M268:M281" si="58">K268+L268</f>
        <v>1000</v>
      </c>
      <c r="N268" s="134">
        <f t="shared" ref="N268:N281" si="59">J268-M268</f>
        <v>-1000</v>
      </c>
    </row>
    <row r="269" spans="1:14" s="125" customFormat="1" outlineLevel="2" x14ac:dyDescent="0.35">
      <c r="A269" s="135" t="s">
        <v>647</v>
      </c>
      <c r="B269" s="108" t="s">
        <v>218</v>
      </c>
      <c r="C269" s="134">
        <v>7851859</v>
      </c>
      <c r="D269" s="134">
        <v>-7851859</v>
      </c>
      <c r="E269" s="134">
        <v>0</v>
      </c>
      <c r="F269" s="134">
        <v>0</v>
      </c>
      <c r="G269" s="134">
        <v>0</v>
      </c>
      <c r="H269" s="134">
        <f t="shared" si="56"/>
        <v>0</v>
      </c>
      <c r="I269" s="134">
        <v>0</v>
      </c>
      <c r="J269" s="134">
        <f t="shared" si="57"/>
        <v>0</v>
      </c>
      <c r="K269" s="134">
        <v>1000</v>
      </c>
      <c r="L269" s="134">
        <v>0</v>
      </c>
      <c r="M269" s="134">
        <f t="shared" si="58"/>
        <v>1000</v>
      </c>
      <c r="N269" s="134">
        <f t="shared" si="59"/>
        <v>-1000</v>
      </c>
    </row>
    <row r="270" spans="1:14" s="125" customFormat="1" outlineLevel="2" x14ac:dyDescent="0.35">
      <c r="A270" s="135" t="s">
        <v>647</v>
      </c>
      <c r="B270" s="108" t="s">
        <v>209</v>
      </c>
      <c r="C270" s="134">
        <v>10915495</v>
      </c>
      <c r="D270" s="134">
        <v>-10915495</v>
      </c>
      <c r="E270" s="134">
        <v>0</v>
      </c>
      <c r="F270" s="134">
        <v>0</v>
      </c>
      <c r="G270" s="134">
        <v>0</v>
      </c>
      <c r="H270" s="134">
        <f t="shared" si="56"/>
        <v>0</v>
      </c>
      <c r="I270" s="134">
        <v>0</v>
      </c>
      <c r="J270" s="134">
        <f t="shared" si="57"/>
        <v>0</v>
      </c>
      <c r="K270" s="134">
        <v>1000</v>
      </c>
      <c r="L270" s="134">
        <v>0</v>
      </c>
      <c r="M270" s="134">
        <f t="shared" si="58"/>
        <v>1000</v>
      </c>
      <c r="N270" s="134">
        <f t="shared" si="59"/>
        <v>-1000</v>
      </c>
    </row>
    <row r="271" spans="1:14" s="125" customFormat="1" outlineLevel="2" x14ac:dyDescent="0.35">
      <c r="A271" s="135" t="s">
        <v>647</v>
      </c>
      <c r="B271" s="108" t="s">
        <v>208</v>
      </c>
      <c r="C271" s="134">
        <v>35452216</v>
      </c>
      <c r="D271" s="134">
        <v>-17583437</v>
      </c>
      <c r="E271" s="134">
        <v>0</v>
      </c>
      <c r="F271" s="134">
        <v>-8944443</v>
      </c>
      <c r="G271" s="134">
        <v>0</v>
      </c>
      <c r="H271" s="134">
        <f t="shared" si="56"/>
        <v>8924336</v>
      </c>
      <c r="I271" s="134">
        <v>-3891706</v>
      </c>
      <c r="J271" s="134">
        <f t="shared" si="57"/>
        <v>5032630</v>
      </c>
      <c r="K271" s="134">
        <v>0</v>
      </c>
      <c r="L271" s="134">
        <v>0</v>
      </c>
      <c r="M271" s="134">
        <f t="shared" si="58"/>
        <v>0</v>
      </c>
      <c r="N271" s="134">
        <f t="shared" si="59"/>
        <v>5032630</v>
      </c>
    </row>
    <row r="272" spans="1:14" s="125" customFormat="1" outlineLevel="2" x14ac:dyDescent="0.35">
      <c r="A272" s="135" t="s">
        <v>647</v>
      </c>
      <c r="B272" s="108" t="s">
        <v>206</v>
      </c>
      <c r="C272" s="134">
        <v>34460178</v>
      </c>
      <c r="D272" s="134">
        <v>-17707060</v>
      </c>
      <c r="E272" s="134">
        <v>0</v>
      </c>
      <c r="F272" s="134">
        <v>-8369672</v>
      </c>
      <c r="G272" s="134">
        <v>0</v>
      </c>
      <c r="H272" s="134">
        <f t="shared" si="56"/>
        <v>8383446</v>
      </c>
      <c r="I272" s="134">
        <v>-4698840</v>
      </c>
      <c r="J272" s="134">
        <f t="shared" si="57"/>
        <v>3684606</v>
      </c>
      <c r="K272" s="134">
        <v>0</v>
      </c>
      <c r="L272" s="134">
        <v>0</v>
      </c>
      <c r="M272" s="134">
        <f t="shared" si="58"/>
        <v>0</v>
      </c>
      <c r="N272" s="134">
        <f t="shared" si="59"/>
        <v>3684606</v>
      </c>
    </row>
    <row r="273" spans="1:14" s="125" customFormat="1" outlineLevel="2" x14ac:dyDescent="0.35">
      <c r="A273" s="135" t="s">
        <v>647</v>
      </c>
      <c r="B273" s="108" t="s">
        <v>205</v>
      </c>
      <c r="C273" s="134">
        <v>34516953</v>
      </c>
      <c r="D273" s="134">
        <v>-18070429</v>
      </c>
      <c r="E273" s="134">
        <v>0</v>
      </c>
      <c r="F273" s="134">
        <v>-8153413</v>
      </c>
      <c r="G273" s="134">
        <v>0</v>
      </c>
      <c r="H273" s="134">
        <f t="shared" si="56"/>
        <v>8293111</v>
      </c>
      <c r="I273" s="134">
        <v>-4524963</v>
      </c>
      <c r="J273" s="134">
        <f t="shared" si="57"/>
        <v>3768148</v>
      </c>
      <c r="K273" s="134">
        <v>0</v>
      </c>
      <c r="L273" s="134">
        <v>0</v>
      </c>
      <c r="M273" s="134">
        <f t="shared" si="58"/>
        <v>0</v>
      </c>
      <c r="N273" s="134">
        <f t="shared" si="59"/>
        <v>3768148</v>
      </c>
    </row>
    <row r="274" spans="1:14" s="125" customFormat="1" outlineLevel="2" x14ac:dyDescent="0.35">
      <c r="A274" s="135" t="s">
        <v>647</v>
      </c>
      <c r="B274" s="108" t="s">
        <v>204</v>
      </c>
      <c r="C274" s="134">
        <v>36184599</v>
      </c>
      <c r="D274" s="134">
        <v>-19060927</v>
      </c>
      <c r="E274" s="134">
        <v>0</v>
      </c>
      <c r="F274" s="134">
        <v>-8231175</v>
      </c>
      <c r="G274" s="134">
        <v>0</v>
      </c>
      <c r="H274" s="134">
        <f t="shared" si="56"/>
        <v>8892497</v>
      </c>
      <c r="I274" s="134">
        <v>-4301488</v>
      </c>
      <c r="J274" s="134">
        <f t="shared" si="57"/>
        <v>4591009</v>
      </c>
      <c r="K274" s="134">
        <v>0</v>
      </c>
      <c r="L274" s="134">
        <v>0</v>
      </c>
      <c r="M274" s="134">
        <f t="shared" si="58"/>
        <v>0</v>
      </c>
      <c r="N274" s="134">
        <f t="shared" si="59"/>
        <v>4591009</v>
      </c>
    </row>
    <row r="275" spans="1:14" s="125" customFormat="1" outlineLevel="2" x14ac:dyDescent="0.35">
      <c r="A275" s="135" t="s">
        <v>647</v>
      </c>
      <c r="B275" s="108" t="s">
        <v>203</v>
      </c>
      <c r="C275" s="134">
        <v>33689313</v>
      </c>
      <c r="D275" s="134">
        <v>-17539767</v>
      </c>
      <c r="E275" s="134">
        <v>0</v>
      </c>
      <c r="F275" s="134">
        <v>-7828986</v>
      </c>
      <c r="G275" s="134">
        <v>0</v>
      </c>
      <c r="H275" s="134">
        <f t="shared" si="56"/>
        <v>8320560</v>
      </c>
      <c r="I275" s="134">
        <v>-4204110</v>
      </c>
      <c r="J275" s="134">
        <f t="shared" si="57"/>
        <v>4116450</v>
      </c>
      <c r="K275" s="134">
        <v>0</v>
      </c>
      <c r="L275" s="134">
        <v>0</v>
      </c>
      <c r="M275" s="134">
        <f t="shared" si="58"/>
        <v>0</v>
      </c>
      <c r="N275" s="134">
        <f t="shared" si="59"/>
        <v>4116450</v>
      </c>
    </row>
    <row r="276" spans="1:14" s="125" customFormat="1" outlineLevel="2" x14ac:dyDescent="0.35">
      <c r="A276" s="135" t="s">
        <v>647</v>
      </c>
      <c r="B276" s="108" t="s">
        <v>202</v>
      </c>
      <c r="C276" s="134">
        <v>33163812</v>
      </c>
      <c r="D276" s="134">
        <v>-15944215</v>
      </c>
      <c r="E276" s="134">
        <v>0</v>
      </c>
      <c r="F276" s="134">
        <v>-9736576</v>
      </c>
      <c r="G276" s="134">
        <v>0</v>
      </c>
      <c r="H276" s="134">
        <f t="shared" si="56"/>
        <v>7483021</v>
      </c>
      <c r="I276" s="134">
        <v>-6266346</v>
      </c>
      <c r="J276" s="134">
        <f t="shared" si="57"/>
        <v>1216675</v>
      </c>
      <c r="K276" s="134">
        <v>0</v>
      </c>
      <c r="L276" s="134">
        <v>0</v>
      </c>
      <c r="M276" s="134">
        <f t="shared" si="58"/>
        <v>0</v>
      </c>
      <c r="N276" s="134">
        <f t="shared" si="59"/>
        <v>1216675</v>
      </c>
    </row>
    <row r="277" spans="1:14" s="125" customFormat="1" outlineLevel="2" x14ac:dyDescent="0.35">
      <c r="A277" s="135" t="s">
        <v>647</v>
      </c>
      <c r="B277" s="108" t="s">
        <v>201</v>
      </c>
      <c r="C277" s="134">
        <v>27840612</v>
      </c>
      <c r="D277" s="134">
        <v>-15680505</v>
      </c>
      <c r="E277" s="134">
        <v>0</v>
      </c>
      <c r="F277" s="134">
        <v>-6379260</v>
      </c>
      <c r="G277" s="134">
        <v>0</v>
      </c>
      <c r="H277" s="134">
        <f t="shared" si="56"/>
        <v>5780847</v>
      </c>
      <c r="I277" s="134">
        <v>-5780847</v>
      </c>
      <c r="J277" s="134">
        <f t="shared" si="57"/>
        <v>0</v>
      </c>
      <c r="K277" s="134">
        <v>0</v>
      </c>
      <c r="L277" s="134">
        <v>0</v>
      </c>
      <c r="M277" s="134">
        <f t="shared" si="58"/>
        <v>0</v>
      </c>
      <c r="N277" s="134">
        <f t="shared" si="59"/>
        <v>0</v>
      </c>
    </row>
    <row r="278" spans="1:14" s="125" customFormat="1" outlineLevel="2" x14ac:dyDescent="0.35">
      <c r="A278" s="135" t="s">
        <v>647</v>
      </c>
      <c r="B278" s="108" t="s">
        <v>200</v>
      </c>
      <c r="C278" s="134">
        <v>25398887</v>
      </c>
      <c r="D278" s="134">
        <v>-14494690</v>
      </c>
      <c r="E278" s="134">
        <v>0</v>
      </c>
      <c r="F278" s="134">
        <v>-5721497</v>
      </c>
      <c r="G278" s="134">
        <v>0</v>
      </c>
      <c r="H278" s="134">
        <f t="shared" si="56"/>
        <v>5182700</v>
      </c>
      <c r="I278" s="134">
        <v>-5182700</v>
      </c>
      <c r="J278" s="134">
        <f t="shared" si="57"/>
        <v>0</v>
      </c>
      <c r="K278" s="134">
        <v>0</v>
      </c>
      <c r="L278" s="134">
        <v>0</v>
      </c>
      <c r="M278" s="134">
        <f t="shared" si="58"/>
        <v>0</v>
      </c>
      <c r="N278" s="134">
        <f t="shared" si="59"/>
        <v>0</v>
      </c>
    </row>
    <row r="279" spans="1:14" s="125" customFormat="1" outlineLevel="2" x14ac:dyDescent="0.35">
      <c r="A279" s="135" t="s">
        <v>647</v>
      </c>
      <c r="B279" s="108" t="s">
        <v>199</v>
      </c>
      <c r="C279" s="134">
        <v>23055468</v>
      </c>
      <c r="D279" s="138">
        <v>-13428867</v>
      </c>
      <c r="E279" s="138">
        <v>0</v>
      </c>
      <c r="F279" s="138">
        <v>-5451529</v>
      </c>
      <c r="G279" s="138">
        <v>0</v>
      </c>
      <c r="H279" s="134">
        <f t="shared" si="56"/>
        <v>4175072</v>
      </c>
      <c r="I279" s="134">
        <v>-4175072</v>
      </c>
      <c r="J279" s="134">
        <f t="shared" si="57"/>
        <v>0</v>
      </c>
      <c r="K279" s="134">
        <v>1795559</v>
      </c>
      <c r="L279" s="134">
        <v>-1795559</v>
      </c>
      <c r="M279" s="134">
        <f t="shared" si="58"/>
        <v>0</v>
      </c>
      <c r="N279" s="134">
        <f t="shared" si="59"/>
        <v>0</v>
      </c>
    </row>
    <row r="280" spans="1:14" s="125" customFormat="1" outlineLevel="2" x14ac:dyDescent="0.35">
      <c r="A280" s="135" t="s">
        <v>647</v>
      </c>
      <c r="B280" s="108" t="s">
        <v>198</v>
      </c>
      <c r="C280" s="134">
        <v>24691524</v>
      </c>
      <c r="D280" s="138">
        <v>-14222476</v>
      </c>
      <c r="E280" s="138">
        <v>0</v>
      </c>
      <c r="F280" s="138">
        <v>-5604735</v>
      </c>
      <c r="G280" s="138">
        <v>0</v>
      </c>
      <c r="H280" s="134">
        <f t="shared" si="56"/>
        <v>4864313</v>
      </c>
      <c r="I280" s="134">
        <v>-4864313</v>
      </c>
      <c r="J280" s="134">
        <f t="shared" si="57"/>
        <v>0</v>
      </c>
      <c r="K280" s="134">
        <v>3323501</v>
      </c>
      <c r="L280" s="134">
        <v>-3323501</v>
      </c>
      <c r="M280" s="134">
        <f t="shared" si="58"/>
        <v>0</v>
      </c>
      <c r="N280" s="134">
        <f t="shared" si="59"/>
        <v>0</v>
      </c>
    </row>
    <row r="281" spans="1:14" s="125" customFormat="1" outlineLevel="2" x14ac:dyDescent="0.35">
      <c r="A281" s="135" t="s">
        <v>647</v>
      </c>
      <c r="B281" s="108" t="s">
        <v>197</v>
      </c>
      <c r="C281" s="134">
        <v>22909332</v>
      </c>
      <c r="D281" s="138">
        <v>-13353708</v>
      </c>
      <c r="E281" s="138">
        <v>0</v>
      </c>
      <c r="F281" s="138">
        <v>-5864981</v>
      </c>
      <c r="G281" s="138">
        <v>0</v>
      </c>
      <c r="H281" s="134">
        <f t="shared" si="56"/>
        <v>3690643</v>
      </c>
      <c r="I281" s="134">
        <v>-3690643</v>
      </c>
      <c r="J281" s="134">
        <f t="shared" si="57"/>
        <v>0</v>
      </c>
      <c r="K281" s="134">
        <v>7143512</v>
      </c>
      <c r="L281" s="134">
        <v>-7143512</v>
      </c>
      <c r="M281" s="134">
        <f t="shared" si="58"/>
        <v>0</v>
      </c>
      <c r="N281" s="134">
        <f t="shared" si="59"/>
        <v>0</v>
      </c>
    </row>
    <row r="282" spans="1:14" s="125" customFormat="1" ht="16" outlineLevel="2" thickBot="1" x14ac:dyDescent="0.4">
      <c r="A282" s="105" t="s">
        <v>612</v>
      </c>
      <c r="B282" s="133" t="s">
        <v>12</v>
      </c>
      <c r="C282" s="78">
        <f>SUBTOTAL(109,Program347[(C)
Program
Costs])</f>
        <v>354647536</v>
      </c>
      <c r="D282" s="137">
        <f>SUBTOTAL(109,Program347[(D)
Prior Period Adjustments])</f>
        <v>-200370723</v>
      </c>
      <c r="E282" s="137">
        <f>SUBTOTAL(109,Program347[(E)
Current Period Desk 
Reviews])</f>
        <v>0</v>
      </c>
      <c r="F282" s="137">
        <f>SUBTOTAL(109,Program347[(F)
Current Period 
Final 
Audits])</f>
        <v>-80286267</v>
      </c>
      <c r="G282" s="137">
        <f>SUBTOTAL(109,Program347[(G)
Current Period 
Other Adjustments])</f>
        <v>0</v>
      </c>
      <c r="H282" s="78">
        <f>SUBTOTAL(109,Program347[(H)
Net Program Costs
Sum (C through G)])</f>
        <v>73990546</v>
      </c>
      <c r="I282" s="78">
        <f>SUBTOTAL(109,Program347[(I)
Payments
 and Offsets])</f>
        <v>-51581028</v>
      </c>
      <c r="J282" s="78">
        <f>SUBTOTAL(109,Program347[(J)
Accounts Payable Balance
(H + I)])</f>
        <v>22409518</v>
      </c>
      <c r="K282" s="78">
        <f>SUBTOTAL(109,Program347[(K)
Established 
Accounts Receivable])</f>
        <v>12265572</v>
      </c>
      <c r="L282" s="78">
        <f>SUBTOTAL(109,Program347[(L)
Recovered
 Accounts Receivable])</f>
        <v>-12262572</v>
      </c>
      <c r="M282" s="78">
        <f>SUBTOTAL(109,Program347[(M)
Accounts Receivable Balance
(K + L)])</f>
        <v>3000</v>
      </c>
      <c r="N282" s="78">
        <f>SUBTOTAL(109,Program347[(N)
Net Balance
(J minus M)])</f>
        <v>22406518</v>
      </c>
    </row>
    <row r="283" spans="1:14" s="125" customFormat="1" outlineLevel="2" x14ac:dyDescent="0.35">
      <c r="A283" s="116" t="s">
        <v>33</v>
      </c>
      <c r="B283" s="115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</row>
    <row r="284" spans="1:14" s="125" customFormat="1" ht="77.5" outlineLevel="2" x14ac:dyDescent="0.35">
      <c r="A284" s="60" t="s">
        <v>185</v>
      </c>
      <c r="B284" s="59" t="s">
        <v>184</v>
      </c>
      <c r="C284" s="58" t="s">
        <v>183</v>
      </c>
      <c r="D284" s="58" t="s">
        <v>182</v>
      </c>
      <c r="E284" s="56" t="s">
        <v>181</v>
      </c>
      <c r="F284" s="56" t="s">
        <v>180</v>
      </c>
      <c r="G284" s="56" t="s">
        <v>179</v>
      </c>
      <c r="H284" s="57" t="s">
        <v>674</v>
      </c>
      <c r="I284" s="55" t="s">
        <v>178</v>
      </c>
      <c r="J284" s="55" t="s">
        <v>177</v>
      </c>
      <c r="K284" s="56" t="s">
        <v>176</v>
      </c>
      <c r="L284" s="55" t="s">
        <v>175</v>
      </c>
      <c r="M284" s="55" t="s">
        <v>174</v>
      </c>
      <c r="N284" s="54" t="s">
        <v>173</v>
      </c>
    </row>
    <row r="285" spans="1:14" s="125" customFormat="1" outlineLevel="2" x14ac:dyDescent="0.35">
      <c r="A285" s="135" t="s">
        <v>646</v>
      </c>
      <c r="B285" s="108" t="s">
        <v>196</v>
      </c>
      <c r="C285" s="134">
        <v>974263</v>
      </c>
      <c r="D285" s="134">
        <v>-6185</v>
      </c>
      <c r="E285" s="134">
        <v>0</v>
      </c>
      <c r="F285" s="134">
        <v>0</v>
      </c>
      <c r="G285" s="134">
        <v>0</v>
      </c>
      <c r="H285" s="134">
        <f>SUM(C285:G285)</f>
        <v>968078</v>
      </c>
      <c r="I285" s="134">
        <v>-968078</v>
      </c>
      <c r="J285" s="134">
        <f>H285+I285</f>
        <v>0</v>
      </c>
      <c r="K285" s="134">
        <v>7162</v>
      </c>
      <c r="L285" s="134">
        <v>-7162</v>
      </c>
      <c r="M285" s="134">
        <f>K285+L285</f>
        <v>0</v>
      </c>
      <c r="N285" s="134">
        <f>J285-M285</f>
        <v>0</v>
      </c>
    </row>
    <row r="286" spans="1:14" s="136" customFormat="1" outlineLevel="1" x14ac:dyDescent="0.35">
      <c r="A286" s="135" t="s">
        <v>646</v>
      </c>
      <c r="B286" s="108" t="s">
        <v>195</v>
      </c>
      <c r="C286" s="134">
        <v>123652</v>
      </c>
      <c r="D286" s="134">
        <v>0</v>
      </c>
      <c r="E286" s="134">
        <v>0</v>
      </c>
      <c r="F286" s="134">
        <v>0</v>
      </c>
      <c r="G286" s="134">
        <v>0</v>
      </c>
      <c r="H286" s="134">
        <f>SUM(C286:G286)</f>
        <v>123652</v>
      </c>
      <c r="I286" s="134">
        <v>-123652</v>
      </c>
      <c r="J286" s="134">
        <f>H286+I286</f>
        <v>0</v>
      </c>
      <c r="K286" s="134">
        <v>43386</v>
      </c>
      <c r="L286" s="134">
        <v>-43386</v>
      </c>
      <c r="M286" s="134">
        <f>K286+L286</f>
        <v>0</v>
      </c>
      <c r="N286" s="134">
        <f>J286-M286</f>
        <v>0</v>
      </c>
    </row>
    <row r="287" spans="1:14" s="125" customFormat="1" ht="16" outlineLevel="1" thickBot="1" x14ac:dyDescent="0.4">
      <c r="A287" s="105" t="s">
        <v>611</v>
      </c>
      <c r="B287" s="133" t="s">
        <v>12</v>
      </c>
      <c r="C287" s="48">
        <f>SUBTOTAL(109,Program254[(C)
Program
Costs])</f>
        <v>1097915</v>
      </c>
      <c r="D287" s="48">
        <f>SUBTOTAL(109,Program254[(D)
Prior Period Adjustments])</f>
        <v>-6185</v>
      </c>
      <c r="E287" s="48">
        <f>SUBTOTAL(109,Program254[(E)
Current Period Desk 
Reviews])</f>
        <v>0</v>
      </c>
      <c r="F287" s="48">
        <f>SUBTOTAL(109,Program254[(F)
Current Period 
Final 
Audits])</f>
        <v>0</v>
      </c>
      <c r="G287" s="48">
        <f>SUBTOTAL(109,Program254[(G)
Current Period 
Other Adjustments])</f>
        <v>0</v>
      </c>
      <c r="H287" s="48">
        <f>SUBTOTAL(109,Program254[(H)
Net Program Costs
Sum (C through G)])</f>
        <v>1091730</v>
      </c>
      <c r="I287" s="48">
        <f>SUBTOTAL(109,Program254[(I)
Payments
 and Offsets])</f>
        <v>-1091730</v>
      </c>
      <c r="J287" s="48">
        <f>SUBTOTAL(109,Program254[(J)
Accounts Payable Balance
(H + I)])</f>
        <v>0</v>
      </c>
      <c r="K287" s="48">
        <f>SUBTOTAL(109,Program254[(K)
Established 
Accounts Receivable])</f>
        <v>50548</v>
      </c>
      <c r="L287" s="48">
        <f>SUBTOTAL(109,Program254[(L)
Recovered
 Accounts Receivable])</f>
        <v>-50548</v>
      </c>
      <c r="M287" s="48">
        <f>SUBTOTAL(109,Program254[(M)
Accounts Receivable Balance
(K + L)])</f>
        <v>0</v>
      </c>
      <c r="N287" s="48">
        <f>SUBTOTAL(109,Program254[(N)
Net Balance
(J minus M)])</f>
        <v>0</v>
      </c>
    </row>
    <row r="288" spans="1:14" s="125" customFormat="1" outlineLevel="2" x14ac:dyDescent="0.35">
      <c r="A288" s="116" t="s">
        <v>33</v>
      </c>
      <c r="B288" s="115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</row>
    <row r="289" spans="1:14" s="125" customFormat="1" ht="77.5" outlineLevel="2" x14ac:dyDescent="0.35">
      <c r="A289" s="60" t="s">
        <v>185</v>
      </c>
      <c r="B289" s="59" t="s">
        <v>184</v>
      </c>
      <c r="C289" s="58" t="s">
        <v>183</v>
      </c>
      <c r="D289" s="58" t="s">
        <v>182</v>
      </c>
      <c r="E289" s="56" t="s">
        <v>181</v>
      </c>
      <c r="F289" s="56" t="s">
        <v>180</v>
      </c>
      <c r="G289" s="56" t="s">
        <v>179</v>
      </c>
      <c r="H289" s="57" t="s">
        <v>674</v>
      </c>
      <c r="I289" s="55" t="s">
        <v>178</v>
      </c>
      <c r="J289" s="55" t="s">
        <v>177</v>
      </c>
      <c r="K289" s="56" t="s">
        <v>176</v>
      </c>
      <c r="L289" s="55" t="s">
        <v>175</v>
      </c>
      <c r="M289" s="55" t="s">
        <v>174</v>
      </c>
      <c r="N289" s="54" t="s">
        <v>173</v>
      </c>
    </row>
    <row r="290" spans="1:14" s="125" customFormat="1" outlineLevel="2" x14ac:dyDescent="0.35">
      <c r="A290" s="135" t="s">
        <v>645</v>
      </c>
      <c r="B290" s="108" t="s">
        <v>218</v>
      </c>
      <c r="C290" s="134">
        <v>551179</v>
      </c>
      <c r="D290" s="134">
        <v>-551179</v>
      </c>
      <c r="E290" s="134">
        <v>0</v>
      </c>
      <c r="F290" s="134">
        <v>0</v>
      </c>
      <c r="G290" s="134">
        <v>0</v>
      </c>
      <c r="H290" s="134">
        <f t="shared" ref="H290:H310" si="60">SUM(C290:G290)</f>
        <v>0</v>
      </c>
      <c r="I290" s="134">
        <v>0</v>
      </c>
      <c r="J290" s="134">
        <f t="shared" ref="J290:J310" si="61">H290+I290</f>
        <v>0</v>
      </c>
      <c r="K290" s="134">
        <v>0</v>
      </c>
      <c r="L290" s="134">
        <v>0</v>
      </c>
      <c r="M290" s="134">
        <f t="shared" ref="M290:M310" si="62">K290+L290</f>
        <v>0</v>
      </c>
      <c r="N290" s="134">
        <f t="shared" ref="N290:N310" si="63">J290-M290</f>
        <v>0</v>
      </c>
    </row>
    <row r="291" spans="1:14" s="125" customFormat="1" outlineLevel="2" x14ac:dyDescent="0.35">
      <c r="A291" s="135" t="s">
        <v>645</v>
      </c>
      <c r="B291" s="108" t="s">
        <v>209</v>
      </c>
      <c r="C291" s="134">
        <v>260484</v>
      </c>
      <c r="D291" s="134">
        <v>-183189</v>
      </c>
      <c r="E291" s="134">
        <v>0</v>
      </c>
      <c r="F291" s="134">
        <v>0</v>
      </c>
      <c r="G291" s="134">
        <v>0</v>
      </c>
      <c r="H291" s="134">
        <f t="shared" si="60"/>
        <v>77295</v>
      </c>
      <c r="I291" s="134">
        <v>-69101</v>
      </c>
      <c r="J291" s="134">
        <f t="shared" si="61"/>
        <v>8194</v>
      </c>
      <c r="K291" s="134">
        <v>0</v>
      </c>
      <c r="L291" s="134">
        <v>0</v>
      </c>
      <c r="M291" s="134">
        <f t="shared" si="62"/>
        <v>0</v>
      </c>
      <c r="N291" s="134">
        <f t="shared" si="63"/>
        <v>8194</v>
      </c>
    </row>
    <row r="292" spans="1:14" s="125" customFormat="1" outlineLevel="2" x14ac:dyDescent="0.35">
      <c r="A292" s="135" t="s">
        <v>645</v>
      </c>
      <c r="B292" s="108" t="s">
        <v>208</v>
      </c>
      <c r="C292" s="134">
        <v>1497310</v>
      </c>
      <c r="D292" s="134">
        <v>-135173</v>
      </c>
      <c r="E292" s="134">
        <v>0</v>
      </c>
      <c r="F292" s="134">
        <v>0</v>
      </c>
      <c r="G292" s="134">
        <v>0</v>
      </c>
      <c r="H292" s="134">
        <f t="shared" si="60"/>
        <v>1362137</v>
      </c>
      <c r="I292" s="134">
        <v>-1151679</v>
      </c>
      <c r="J292" s="134">
        <f t="shared" si="61"/>
        <v>210458</v>
      </c>
      <c r="K292" s="134">
        <v>0</v>
      </c>
      <c r="L292" s="134">
        <v>0</v>
      </c>
      <c r="M292" s="134">
        <f t="shared" si="62"/>
        <v>0</v>
      </c>
      <c r="N292" s="134">
        <f t="shared" si="63"/>
        <v>210458</v>
      </c>
    </row>
    <row r="293" spans="1:14" s="125" customFormat="1" outlineLevel="2" x14ac:dyDescent="0.35">
      <c r="A293" s="135" t="s">
        <v>645</v>
      </c>
      <c r="B293" s="108" t="s">
        <v>206</v>
      </c>
      <c r="C293" s="134">
        <v>1559789</v>
      </c>
      <c r="D293" s="134">
        <v>-139774</v>
      </c>
      <c r="E293" s="134">
        <v>0</v>
      </c>
      <c r="F293" s="134">
        <v>0</v>
      </c>
      <c r="G293" s="134">
        <v>0</v>
      </c>
      <c r="H293" s="134">
        <f t="shared" si="60"/>
        <v>1420015</v>
      </c>
      <c r="I293" s="134">
        <v>-1360205</v>
      </c>
      <c r="J293" s="134">
        <f t="shared" si="61"/>
        <v>59810</v>
      </c>
      <c r="K293" s="134">
        <v>0</v>
      </c>
      <c r="L293" s="134">
        <v>0</v>
      </c>
      <c r="M293" s="134">
        <f t="shared" si="62"/>
        <v>0</v>
      </c>
      <c r="N293" s="134">
        <f t="shared" si="63"/>
        <v>59810</v>
      </c>
    </row>
    <row r="294" spans="1:14" s="125" customFormat="1" outlineLevel="2" x14ac:dyDescent="0.35">
      <c r="A294" s="135" t="s">
        <v>645</v>
      </c>
      <c r="B294" s="108" t="s">
        <v>205</v>
      </c>
      <c r="C294" s="134">
        <v>1415716</v>
      </c>
      <c r="D294" s="134">
        <v>-129337</v>
      </c>
      <c r="E294" s="134">
        <v>0</v>
      </c>
      <c r="F294" s="134">
        <v>0</v>
      </c>
      <c r="G294" s="134">
        <v>0</v>
      </c>
      <c r="H294" s="134">
        <f t="shared" si="60"/>
        <v>1286379</v>
      </c>
      <c r="I294" s="134">
        <v>-1227586</v>
      </c>
      <c r="J294" s="134">
        <f t="shared" si="61"/>
        <v>58793</v>
      </c>
      <c r="K294" s="134">
        <v>0</v>
      </c>
      <c r="L294" s="134">
        <v>0</v>
      </c>
      <c r="M294" s="134">
        <f t="shared" si="62"/>
        <v>0</v>
      </c>
      <c r="N294" s="134">
        <f t="shared" si="63"/>
        <v>58793</v>
      </c>
    </row>
    <row r="295" spans="1:14" s="125" customFormat="1" outlineLevel="2" x14ac:dyDescent="0.35">
      <c r="A295" s="135" t="s">
        <v>645</v>
      </c>
      <c r="B295" s="108" t="s">
        <v>204</v>
      </c>
      <c r="C295" s="134">
        <v>1501671</v>
      </c>
      <c r="D295" s="134">
        <v>-236979</v>
      </c>
      <c r="E295" s="134">
        <v>0</v>
      </c>
      <c r="F295" s="134">
        <v>0</v>
      </c>
      <c r="G295" s="134">
        <v>0</v>
      </c>
      <c r="H295" s="134">
        <f t="shared" si="60"/>
        <v>1264692</v>
      </c>
      <c r="I295" s="134">
        <v>-1186953</v>
      </c>
      <c r="J295" s="134">
        <f t="shared" si="61"/>
        <v>77739</v>
      </c>
      <c r="K295" s="134">
        <v>0</v>
      </c>
      <c r="L295" s="134">
        <v>0</v>
      </c>
      <c r="M295" s="134">
        <f t="shared" si="62"/>
        <v>0</v>
      </c>
      <c r="N295" s="134">
        <f t="shared" si="63"/>
        <v>77739</v>
      </c>
    </row>
    <row r="296" spans="1:14" s="125" customFormat="1" outlineLevel="2" x14ac:dyDescent="0.35">
      <c r="A296" s="135" t="s">
        <v>645</v>
      </c>
      <c r="B296" s="108" t="s">
        <v>203</v>
      </c>
      <c r="C296" s="134">
        <v>1249383</v>
      </c>
      <c r="D296" s="134">
        <v>-115283</v>
      </c>
      <c r="E296" s="134">
        <v>0</v>
      </c>
      <c r="F296" s="134">
        <v>0</v>
      </c>
      <c r="G296" s="134">
        <v>0</v>
      </c>
      <c r="H296" s="134">
        <f t="shared" si="60"/>
        <v>1134100</v>
      </c>
      <c r="I296" s="134">
        <v>-1049929</v>
      </c>
      <c r="J296" s="134">
        <f t="shared" si="61"/>
        <v>84171</v>
      </c>
      <c r="K296" s="134">
        <v>0</v>
      </c>
      <c r="L296" s="134">
        <v>0</v>
      </c>
      <c r="M296" s="134">
        <f t="shared" si="62"/>
        <v>0</v>
      </c>
      <c r="N296" s="134">
        <f t="shared" si="63"/>
        <v>84171</v>
      </c>
    </row>
    <row r="297" spans="1:14" s="125" customFormat="1" outlineLevel="2" x14ac:dyDescent="0.35">
      <c r="A297" s="135" t="s">
        <v>645</v>
      </c>
      <c r="B297" s="108" t="s">
        <v>202</v>
      </c>
      <c r="C297" s="134">
        <v>1174876</v>
      </c>
      <c r="D297" s="134">
        <v>-196987</v>
      </c>
      <c r="E297" s="134">
        <v>0</v>
      </c>
      <c r="F297" s="134">
        <v>0</v>
      </c>
      <c r="G297" s="134">
        <v>0</v>
      </c>
      <c r="H297" s="134">
        <f t="shared" si="60"/>
        <v>977889</v>
      </c>
      <c r="I297" s="134">
        <v>-963273</v>
      </c>
      <c r="J297" s="134">
        <f t="shared" si="61"/>
        <v>14616</v>
      </c>
      <c r="K297" s="134">
        <v>0</v>
      </c>
      <c r="L297" s="134">
        <v>0</v>
      </c>
      <c r="M297" s="134">
        <f t="shared" si="62"/>
        <v>0</v>
      </c>
      <c r="N297" s="134">
        <f t="shared" si="63"/>
        <v>14616</v>
      </c>
    </row>
    <row r="298" spans="1:14" s="125" customFormat="1" outlineLevel="2" x14ac:dyDescent="0.35">
      <c r="A298" s="135" t="s">
        <v>645</v>
      </c>
      <c r="B298" s="108" t="s">
        <v>201</v>
      </c>
      <c r="C298" s="134">
        <v>982371</v>
      </c>
      <c r="D298" s="134">
        <v>-65901</v>
      </c>
      <c r="E298" s="134">
        <v>0</v>
      </c>
      <c r="F298" s="134">
        <v>0</v>
      </c>
      <c r="G298" s="134">
        <v>0</v>
      </c>
      <c r="H298" s="134">
        <f t="shared" si="60"/>
        <v>916470</v>
      </c>
      <c r="I298" s="134">
        <v>-916470</v>
      </c>
      <c r="J298" s="134">
        <f t="shared" si="61"/>
        <v>0</v>
      </c>
      <c r="K298" s="134">
        <v>146531</v>
      </c>
      <c r="L298" s="134">
        <v>-105462</v>
      </c>
      <c r="M298" s="134">
        <f t="shared" si="62"/>
        <v>41069</v>
      </c>
      <c r="N298" s="134">
        <f t="shared" si="63"/>
        <v>-41069</v>
      </c>
    </row>
    <row r="299" spans="1:14" s="125" customFormat="1" outlineLevel="2" x14ac:dyDescent="0.35">
      <c r="A299" s="135" t="s">
        <v>645</v>
      </c>
      <c r="B299" s="108" t="s">
        <v>200</v>
      </c>
      <c r="C299" s="134">
        <v>1347722</v>
      </c>
      <c r="D299" s="134">
        <v>-2424</v>
      </c>
      <c r="E299" s="134">
        <v>0</v>
      </c>
      <c r="F299" s="134">
        <v>0</v>
      </c>
      <c r="G299" s="134">
        <v>0</v>
      </c>
      <c r="H299" s="134">
        <f t="shared" si="60"/>
        <v>1345298</v>
      </c>
      <c r="I299" s="134">
        <v>-1345298</v>
      </c>
      <c r="J299" s="134">
        <f t="shared" si="61"/>
        <v>0</v>
      </c>
      <c r="K299" s="134">
        <v>0</v>
      </c>
      <c r="L299" s="134">
        <v>0</v>
      </c>
      <c r="M299" s="134">
        <f t="shared" si="62"/>
        <v>0</v>
      </c>
      <c r="N299" s="134">
        <f t="shared" si="63"/>
        <v>0</v>
      </c>
    </row>
    <row r="300" spans="1:14" s="125" customFormat="1" outlineLevel="2" x14ac:dyDescent="0.35">
      <c r="A300" s="135" t="s">
        <v>645</v>
      </c>
      <c r="B300" s="108" t="s">
        <v>199</v>
      </c>
      <c r="C300" s="134">
        <v>1121314</v>
      </c>
      <c r="D300" s="134">
        <v>-4018</v>
      </c>
      <c r="E300" s="134">
        <v>0</v>
      </c>
      <c r="F300" s="134">
        <v>0</v>
      </c>
      <c r="G300" s="134">
        <v>0</v>
      </c>
      <c r="H300" s="134">
        <f t="shared" si="60"/>
        <v>1117296</v>
      </c>
      <c r="I300" s="134">
        <v>-1117296</v>
      </c>
      <c r="J300" s="134">
        <f t="shared" si="61"/>
        <v>0</v>
      </c>
      <c r="K300" s="134">
        <v>0</v>
      </c>
      <c r="L300" s="134">
        <v>0</v>
      </c>
      <c r="M300" s="134">
        <f t="shared" si="62"/>
        <v>0</v>
      </c>
      <c r="N300" s="134">
        <f t="shared" si="63"/>
        <v>0</v>
      </c>
    </row>
    <row r="301" spans="1:14" s="136" customFormat="1" outlineLevel="1" x14ac:dyDescent="0.35">
      <c r="A301" s="135" t="s">
        <v>645</v>
      </c>
      <c r="B301" s="108" t="s">
        <v>198</v>
      </c>
      <c r="C301" s="134">
        <v>1056391</v>
      </c>
      <c r="D301" s="134">
        <v>-11040</v>
      </c>
      <c r="E301" s="134">
        <v>0</v>
      </c>
      <c r="F301" s="134">
        <v>0</v>
      </c>
      <c r="G301" s="134">
        <v>0</v>
      </c>
      <c r="H301" s="134">
        <f t="shared" si="60"/>
        <v>1045351</v>
      </c>
      <c r="I301" s="134">
        <v>-1045351</v>
      </c>
      <c r="J301" s="134">
        <f t="shared" si="61"/>
        <v>0</v>
      </c>
      <c r="K301" s="134">
        <v>0</v>
      </c>
      <c r="L301" s="134">
        <v>0</v>
      </c>
      <c r="M301" s="134">
        <f t="shared" si="62"/>
        <v>0</v>
      </c>
      <c r="N301" s="134">
        <f t="shared" si="63"/>
        <v>0</v>
      </c>
    </row>
    <row r="302" spans="1:14" s="100" customFormat="1" ht="15" customHeight="1" outlineLevel="1" x14ac:dyDescent="0.35">
      <c r="A302" s="135" t="s">
        <v>645</v>
      </c>
      <c r="B302" s="108" t="s">
        <v>197</v>
      </c>
      <c r="C302" s="134">
        <v>1112190</v>
      </c>
      <c r="D302" s="134">
        <v>-5016</v>
      </c>
      <c r="E302" s="134">
        <v>0</v>
      </c>
      <c r="F302" s="134">
        <v>0</v>
      </c>
      <c r="G302" s="134">
        <v>0</v>
      </c>
      <c r="H302" s="134">
        <f t="shared" si="60"/>
        <v>1107174</v>
      </c>
      <c r="I302" s="134">
        <v>-1107174</v>
      </c>
      <c r="J302" s="134">
        <f t="shared" si="61"/>
        <v>0</v>
      </c>
      <c r="K302" s="134">
        <v>0</v>
      </c>
      <c r="L302" s="134">
        <v>0</v>
      </c>
      <c r="M302" s="134">
        <f t="shared" si="62"/>
        <v>0</v>
      </c>
      <c r="N302" s="134">
        <f t="shared" si="63"/>
        <v>0</v>
      </c>
    </row>
    <row r="303" spans="1:14" s="125" customFormat="1" outlineLevel="1" x14ac:dyDescent="0.35">
      <c r="A303" s="135" t="s">
        <v>645</v>
      </c>
      <c r="B303" s="108" t="s">
        <v>196</v>
      </c>
      <c r="C303" s="134">
        <v>18940</v>
      </c>
      <c r="D303" s="134">
        <v>-4040</v>
      </c>
      <c r="E303" s="134">
        <v>0</v>
      </c>
      <c r="F303" s="134">
        <v>0</v>
      </c>
      <c r="G303" s="134">
        <v>0</v>
      </c>
      <c r="H303" s="134">
        <f t="shared" si="60"/>
        <v>14900</v>
      </c>
      <c r="I303" s="134">
        <v>-14900</v>
      </c>
      <c r="J303" s="134">
        <f t="shared" si="61"/>
        <v>0</v>
      </c>
      <c r="K303" s="134">
        <v>0</v>
      </c>
      <c r="L303" s="134">
        <v>0</v>
      </c>
      <c r="M303" s="134">
        <f t="shared" si="62"/>
        <v>0</v>
      </c>
      <c r="N303" s="134">
        <f t="shared" si="63"/>
        <v>0</v>
      </c>
    </row>
    <row r="304" spans="1:14" s="125" customFormat="1" outlineLevel="2" x14ac:dyDescent="0.35">
      <c r="A304" s="135" t="s">
        <v>645</v>
      </c>
      <c r="B304" s="108" t="s">
        <v>195</v>
      </c>
      <c r="C304" s="134">
        <v>239700</v>
      </c>
      <c r="D304" s="134">
        <v>0</v>
      </c>
      <c r="E304" s="134">
        <v>0</v>
      </c>
      <c r="F304" s="134">
        <v>0</v>
      </c>
      <c r="G304" s="134">
        <v>0</v>
      </c>
      <c r="H304" s="134">
        <f t="shared" si="60"/>
        <v>239700</v>
      </c>
      <c r="I304" s="134">
        <v>-239700</v>
      </c>
      <c r="J304" s="134">
        <f t="shared" si="61"/>
        <v>0</v>
      </c>
      <c r="K304" s="134">
        <v>46320</v>
      </c>
      <c r="L304" s="134">
        <v>-46320</v>
      </c>
      <c r="M304" s="134">
        <f t="shared" si="62"/>
        <v>0</v>
      </c>
      <c r="N304" s="134">
        <f t="shared" si="63"/>
        <v>0</v>
      </c>
    </row>
    <row r="305" spans="1:14" s="125" customFormat="1" outlineLevel="2" x14ac:dyDescent="0.35">
      <c r="A305" s="135" t="s">
        <v>645</v>
      </c>
      <c r="B305" s="108" t="s">
        <v>194</v>
      </c>
      <c r="C305" s="134">
        <v>18139</v>
      </c>
      <c r="D305" s="134">
        <v>0</v>
      </c>
      <c r="E305" s="134">
        <v>0</v>
      </c>
      <c r="F305" s="134">
        <v>0</v>
      </c>
      <c r="G305" s="134">
        <v>0</v>
      </c>
      <c r="H305" s="134">
        <f t="shared" si="60"/>
        <v>18139</v>
      </c>
      <c r="I305" s="134">
        <v>-18139</v>
      </c>
      <c r="J305" s="134">
        <f t="shared" si="61"/>
        <v>0</v>
      </c>
      <c r="K305" s="134">
        <v>0</v>
      </c>
      <c r="L305" s="134">
        <v>0</v>
      </c>
      <c r="M305" s="134">
        <f t="shared" si="62"/>
        <v>0</v>
      </c>
      <c r="N305" s="134">
        <f t="shared" si="63"/>
        <v>0</v>
      </c>
    </row>
    <row r="306" spans="1:14" s="125" customFormat="1" outlineLevel="2" x14ac:dyDescent="0.35">
      <c r="A306" s="135" t="s">
        <v>645</v>
      </c>
      <c r="B306" s="108" t="s">
        <v>193</v>
      </c>
      <c r="C306" s="134">
        <v>18200</v>
      </c>
      <c r="D306" s="134">
        <v>0</v>
      </c>
      <c r="E306" s="134">
        <v>0</v>
      </c>
      <c r="F306" s="134">
        <v>0</v>
      </c>
      <c r="G306" s="134">
        <v>0</v>
      </c>
      <c r="H306" s="134">
        <f t="shared" si="60"/>
        <v>18200</v>
      </c>
      <c r="I306" s="134">
        <v>-18200</v>
      </c>
      <c r="J306" s="134">
        <f t="shared" si="61"/>
        <v>0</v>
      </c>
      <c r="K306" s="134">
        <v>0</v>
      </c>
      <c r="L306" s="134">
        <v>0</v>
      </c>
      <c r="M306" s="134">
        <f t="shared" si="62"/>
        <v>0</v>
      </c>
      <c r="N306" s="134">
        <f t="shared" si="63"/>
        <v>0</v>
      </c>
    </row>
    <row r="307" spans="1:14" s="125" customFormat="1" outlineLevel="2" x14ac:dyDescent="0.35">
      <c r="A307" s="135" t="s">
        <v>645</v>
      </c>
      <c r="B307" s="108" t="s">
        <v>192</v>
      </c>
      <c r="C307" s="134">
        <v>20240</v>
      </c>
      <c r="D307" s="134">
        <v>0</v>
      </c>
      <c r="E307" s="134">
        <v>0</v>
      </c>
      <c r="F307" s="134">
        <v>0</v>
      </c>
      <c r="G307" s="134">
        <v>0</v>
      </c>
      <c r="H307" s="134">
        <f t="shared" si="60"/>
        <v>20240</v>
      </c>
      <c r="I307" s="134">
        <v>-20240</v>
      </c>
      <c r="J307" s="134">
        <f t="shared" si="61"/>
        <v>0</v>
      </c>
      <c r="K307" s="134">
        <v>0</v>
      </c>
      <c r="L307" s="134">
        <v>0</v>
      </c>
      <c r="M307" s="134">
        <f t="shared" si="62"/>
        <v>0</v>
      </c>
      <c r="N307" s="134">
        <f t="shared" si="63"/>
        <v>0</v>
      </c>
    </row>
    <row r="308" spans="1:14" s="125" customFormat="1" outlineLevel="2" x14ac:dyDescent="0.35">
      <c r="A308" s="135" t="s">
        <v>645</v>
      </c>
      <c r="B308" s="108" t="s">
        <v>191</v>
      </c>
      <c r="C308" s="134">
        <v>18644</v>
      </c>
      <c r="D308" s="134">
        <v>0</v>
      </c>
      <c r="E308" s="134">
        <v>0</v>
      </c>
      <c r="F308" s="134">
        <v>0</v>
      </c>
      <c r="G308" s="134">
        <v>0</v>
      </c>
      <c r="H308" s="134">
        <f t="shared" si="60"/>
        <v>18644</v>
      </c>
      <c r="I308" s="134">
        <v>-18644</v>
      </c>
      <c r="J308" s="134">
        <f t="shared" si="61"/>
        <v>0</v>
      </c>
      <c r="K308" s="134">
        <v>0</v>
      </c>
      <c r="L308" s="134">
        <v>0</v>
      </c>
      <c r="M308" s="134">
        <f t="shared" si="62"/>
        <v>0</v>
      </c>
      <c r="N308" s="134">
        <f t="shared" si="63"/>
        <v>0</v>
      </c>
    </row>
    <row r="309" spans="1:14" s="125" customFormat="1" outlineLevel="2" x14ac:dyDescent="0.35">
      <c r="A309" s="135" t="s">
        <v>645</v>
      </c>
      <c r="B309" s="108" t="s">
        <v>190</v>
      </c>
      <c r="C309" s="134">
        <v>15436</v>
      </c>
      <c r="D309" s="134">
        <v>0</v>
      </c>
      <c r="E309" s="134">
        <v>0</v>
      </c>
      <c r="F309" s="134">
        <v>0</v>
      </c>
      <c r="G309" s="134">
        <v>0</v>
      </c>
      <c r="H309" s="134">
        <f t="shared" si="60"/>
        <v>15436</v>
      </c>
      <c r="I309" s="134">
        <v>-15436</v>
      </c>
      <c r="J309" s="134">
        <f t="shared" si="61"/>
        <v>0</v>
      </c>
      <c r="K309" s="134">
        <v>0</v>
      </c>
      <c r="L309" s="134">
        <v>0</v>
      </c>
      <c r="M309" s="134">
        <f t="shared" si="62"/>
        <v>0</v>
      </c>
      <c r="N309" s="134">
        <f t="shared" si="63"/>
        <v>0</v>
      </c>
    </row>
    <row r="310" spans="1:14" s="136" customFormat="1" outlineLevel="1" x14ac:dyDescent="0.35">
      <c r="A310" s="135" t="s">
        <v>645</v>
      </c>
      <c r="B310" s="108" t="s">
        <v>189</v>
      </c>
      <c r="C310" s="134">
        <v>1352</v>
      </c>
      <c r="D310" s="134">
        <v>0</v>
      </c>
      <c r="E310" s="134">
        <v>0</v>
      </c>
      <c r="F310" s="134">
        <v>0</v>
      </c>
      <c r="G310" s="134">
        <v>0</v>
      </c>
      <c r="H310" s="134">
        <f t="shared" si="60"/>
        <v>1352</v>
      </c>
      <c r="I310" s="134">
        <v>-1352</v>
      </c>
      <c r="J310" s="134">
        <f t="shared" si="61"/>
        <v>0</v>
      </c>
      <c r="K310" s="134">
        <v>0</v>
      </c>
      <c r="L310" s="134">
        <v>0</v>
      </c>
      <c r="M310" s="134">
        <f t="shared" si="62"/>
        <v>0</v>
      </c>
      <c r="N310" s="134">
        <f t="shared" si="63"/>
        <v>0</v>
      </c>
    </row>
    <row r="311" spans="1:14" s="125" customFormat="1" ht="16" outlineLevel="1" thickBot="1" x14ac:dyDescent="0.4">
      <c r="A311" s="105" t="s">
        <v>610</v>
      </c>
      <c r="B311" s="133" t="s">
        <v>12</v>
      </c>
      <c r="C311" s="78">
        <f>SUBTOTAL(109,Program238[(C)
Program
Costs])</f>
        <v>15181047</v>
      </c>
      <c r="D311" s="78">
        <f>SUBTOTAL(109,Program238[(D)
Prior Period Adjustments])</f>
        <v>-1780340</v>
      </c>
      <c r="E311" s="78">
        <f>SUBTOTAL(109,Program238[(E)
Current Period Desk 
Reviews])</f>
        <v>0</v>
      </c>
      <c r="F311" s="78">
        <f>SUBTOTAL(109,Program238[(F)
Current Period 
Final 
Audits])</f>
        <v>0</v>
      </c>
      <c r="G311" s="78">
        <f>SUBTOTAL(109,Program238[(G)
Current Period 
Other Adjustments])</f>
        <v>0</v>
      </c>
      <c r="H311" s="78">
        <f>SUBTOTAL(109,Program238[(H)
Net Program Costs
Sum (C through G)])</f>
        <v>13400707</v>
      </c>
      <c r="I311" s="78">
        <f>SUBTOTAL(109,Program238[(I)
Payments
 and Offsets])</f>
        <v>-12886926</v>
      </c>
      <c r="J311" s="78">
        <f>SUBTOTAL(109,Program238[(J)
Accounts Payable Balance
(H + I)])</f>
        <v>513781</v>
      </c>
      <c r="K311" s="78">
        <f>SUBTOTAL(109,Program238[(K)
Established 
Accounts Receivable])</f>
        <v>192851</v>
      </c>
      <c r="L311" s="78">
        <f>SUBTOTAL(109,Program238[(L)
Recovered
 Accounts Receivable])</f>
        <v>-151782</v>
      </c>
      <c r="M311" s="78">
        <f>SUBTOTAL(109,Program238[(M)
Accounts Receivable Balance
(K + L)])</f>
        <v>41069</v>
      </c>
      <c r="N311" s="78">
        <f>SUBTOTAL(109,Program238[(N)
Net Balance
(J minus M)])</f>
        <v>472712</v>
      </c>
    </row>
    <row r="312" spans="1:14" s="125" customFormat="1" outlineLevel="2" x14ac:dyDescent="0.35">
      <c r="A312" s="116" t="s">
        <v>33</v>
      </c>
      <c r="B312" s="115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</row>
    <row r="313" spans="1:14" s="125" customFormat="1" ht="77.5" outlineLevel="2" x14ac:dyDescent="0.35">
      <c r="A313" s="60" t="s">
        <v>185</v>
      </c>
      <c r="B313" s="59" t="s">
        <v>184</v>
      </c>
      <c r="C313" s="58" t="s">
        <v>183</v>
      </c>
      <c r="D313" s="58" t="s">
        <v>182</v>
      </c>
      <c r="E313" s="56" t="s">
        <v>181</v>
      </c>
      <c r="F313" s="56" t="s">
        <v>180</v>
      </c>
      <c r="G313" s="56" t="s">
        <v>179</v>
      </c>
      <c r="H313" s="57" t="s">
        <v>674</v>
      </c>
      <c r="I313" s="55" t="s">
        <v>178</v>
      </c>
      <c r="J313" s="55" t="s">
        <v>177</v>
      </c>
      <c r="K313" s="56" t="s">
        <v>176</v>
      </c>
      <c r="L313" s="55" t="s">
        <v>175</v>
      </c>
      <c r="M313" s="55" t="s">
        <v>174</v>
      </c>
      <c r="N313" s="54" t="s">
        <v>173</v>
      </c>
    </row>
    <row r="314" spans="1:14" s="125" customFormat="1" outlineLevel="2" x14ac:dyDescent="0.35">
      <c r="A314" s="135" t="s">
        <v>644</v>
      </c>
      <c r="B314" s="108" t="s">
        <v>203</v>
      </c>
      <c r="C314" s="134">
        <v>1022</v>
      </c>
      <c r="D314" s="134">
        <v>-1022</v>
      </c>
      <c r="E314" s="134">
        <v>0</v>
      </c>
      <c r="F314" s="134">
        <v>0</v>
      </c>
      <c r="G314" s="134">
        <v>0</v>
      </c>
      <c r="H314" s="134">
        <f t="shared" ref="H314:H326" si="64">SUM(C314:G314)</f>
        <v>0</v>
      </c>
      <c r="I314" s="134">
        <v>0</v>
      </c>
      <c r="J314" s="134">
        <f t="shared" ref="J314:J326" si="65">H314+I314</f>
        <v>0</v>
      </c>
      <c r="K314" s="134">
        <v>0</v>
      </c>
      <c r="L314" s="134">
        <v>0</v>
      </c>
      <c r="M314" s="134">
        <f t="shared" ref="M314:M326" si="66">K314+L314</f>
        <v>0</v>
      </c>
      <c r="N314" s="134">
        <f t="shared" ref="N314:N326" si="67">J314-M314</f>
        <v>0</v>
      </c>
    </row>
    <row r="315" spans="1:14" s="125" customFormat="1" outlineLevel="2" x14ac:dyDescent="0.35">
      <c r="A315" s="135" t="s">
        <v>644</v>
      </c>
      <c r="B315" s="108" t="s">
        <v>202</v>
      </c>
      <c r="C315" s="134">
        <v>1065</v>
      </c>
      <c r="D315" s="134">
        <v>-1065</v>
      </c>
      <c r="E315" s="134">
        <v>0</v>
      </c>
      <c r="F315" s="134">
        <v>0</v>
      </c>
      <c r="G315" s="134">
        <v>0</v>
      </c>
      <c r="H315" s="134">
        <f t="shared" si="64"/>
        <v>0</v>
      </c>
      <c r="I315" s="134">
        <v>0</v>
      </c>
      <c r="J315" s="134">
        <f t="shared" si="65"/>
        <v>0</v>
      </c>
      <c r="K315" s="134">
        <v>0</v>
      </c>
      <c r="L315" s="134">
        <v>0</v>
      </c>
      <c r="M315" s="134">
        <f t="shared" si="66"/>
        <v>0</v>
      </c>
      <c r="N315" s="134">
        <f t="shared" si="67"/>
        <v>0</v>
      </c>
    </row>
    <row r="316" spans="1:14" s="125" customFormat="1" outlineLevel="2" x14ac:dyDescent="0.35">
      <c r="A316" s="135" t="s">
        <v>644</v>
      </c>
      <c r="B316" s="108" t="s">
        <v>201</v>
      </c>
      <c r="C316" s="134">
        <v>14243</v>
      </c>
      <c r="D316" s="134">
        <v>0</v>
      </c>
      <c r="E316" s="134">
        <v>0</v>
      </c>
      <c r="F316" s="134">
        <v>0</v>
      </c>
      <c r="G316" s="134">
        <v>0</v>
      </c>
      <c r="H316" s="134">
        <f t="shared" si="64"/>
        <v>14243</v>
      </c>
      <c r="I316" s="134">
        <v>-14243</v>
      </c>
      <c r="J316" s="134">
        <f t="shared" si="65"/>
        <v>0</v>
      </c>
      <c r="K316" s="134">
        <v>0</v>
      </c>
      <c r="L316" s="134">
        <v>0</v>
      </c>
      <c r="M316" s="134">
        <f t="shared" si="66"/>
        <v>0</v>
      </c>
      <c r="N316" s="134">
        <f t="shared" si="67"/>
        <v>0</v>
      </c>
    </row>
    <row r="317" spans="1:14" s="125" customFormat="1" outlineLevel="2" x14ac:dyDescent="0.35">
      <c r="A317" s="135" t="s">
        <v>644</v>
      </c>
      <c r="B317" s="108" t="s">
        <v>199</v>
      </c>
      <c r="C317" s="134">
        <v>11508</v>
      </c>
      <c r="D317" s="134">
        <v>0</v>
      </c>
      <c r="E317" s="134">
        <v>0</v>
      </c>
      <c r="F317" s="134">
        <v>0</v>
      </c>
      <c r="G317" s="134">
        <v>0</v>
      </c>
      <c r="H317" s="134">
        <f t="shared" si="64"/>
        <v>11508</v>
      </c>
      <c r="I317" s="134">
        <v>-11508</v>
      </c>
      <c r="J317" s="134">
        <f t="shared" si="65"/>
        <v>0</v>
      </c>
      <c r="K317" s="134">
        <v>0</v>
      </c>
      <c r="L317" s="134">
        <v>0</v>
      </c>
      <c r="M317" s="134">
        <f t="shared" si="66"/>
        <v>0</v>
      </c>
      <c r="N317" s="134">
        <f t="shared" si="67"/>
        <v>0</v>
      </c>
    </row>
    <row r="318" spans="1:14" s="125" customFormat="1" outlineLevel="2" x14ac:dyDescent="0.35">
      <c r="A318" s="135" t="s">
        <v>644</v>
      </c>
      <c r="B318" s="108" t="s">
        <v>198</v>
      </c>
      <c r="C318" s="134">
        <v>39267</v>
      </c>
      <c r="D318" s="134">
        <v>-2852</v>
      </c>
      <c r="E318" s="134">
        <v>0</v>
      </c>
      <c r="F318" s="134">
        <v>0</v>
      </c>
      <c r="G318" s="134">
        <v>0</v>
      </c>
      <c r="H318" s="134">
        <f t="shared" si="64"/>
        <v>36415</v>
      </c>
      <c r="I318" s="134">
        <v>-36415</v>
      </c>
      <c r="J318" s="134">
        <f t="shared" si="65"/>
        <v>0</v>
      </c>
      <c r="K318" s="134">
        <v>0</v>
      </c>
      <c r="L318" s="134">
        <v>0</v>
      </c>
      <c r="M318" s="134">
        <f t="shared" si="66"/>
        <v>0</v>
      </c>
      <c r="N318" s="134">
        <f t="shared" si="67"/>
        <v>0</v>
      </c>
    </row>
    <row r="319" spans="1:14" s="125" customFormat="1" outlineLevel="2" x14ac:dyDescent="0.35">
      <c r="A319" s="135" t="s">
        <v>644</v>
      </c>
      <c r="B319" s="108" t="s">
        <v>197</v>
      </c>
      <c r="C319" s="134">
        <v>19410</v>
      </c>
      <c r="D319" s="134">
        <v>0</v>
      </c>
      <c r="E319" s="134">
        <v>0</v>
      </c>
      <c r="F319" s="134">
        <v>0</v>
      </c>
      <c r="G319" s="134">
        <v>0</v>
      </c>
      <c r="H319" s="134">
        <f t="shared" si="64"/>
        <v>19410</v>
      </c>
      <c r="I319" s="134">
        <v>-19410</v>
      </c>
      <c r="J319" s="134">
        <f t="shared" si="65"/>
        <v>0</v>
      </c>
      <c r="K319" s="134">
        <v>0</v>
      </c>
      <c r="L319" s="134">
        <v>0</v>
      </c>
      <c r="M319" s="134">
        <f t="shared" si="66"/>
        <v>0</v>
      </c>
      <c r="N319" s="134">
        <f t="shared" si="67"/>
        <v>0</v>
      </c>
    </row>
    <row r="320" spans="1:14" s="125" customFormat="1" outlineLevel="2" x14ac:dyDescent="0.35">
      <c r="A320" s="135" t="s">
        <v>644</v>
      </c>
      <c r="B320" s="108" t="s">
        <v>196</v>
      </c>
      <c r="C320" s="134">
        <v>28687</v>
      </c>
      <c r="D320" s="134">
        <v>-15172</v>
      </c>
      <c r="E320" s="134">
        <v>0</v>
      </c>
      <c r="F320" s="134">
        <v>0</v>
      </c>
      <c r="G320" s="134">
        <v>0</v>
      </c>
      <c r="H320" s="134">
        <f t="shared" si="64"/>
        <v>13515</v>
      </c>
      <c r="I320" s="134">
        <v>-13515</v>
      </c>
      <c r="J320" s="134">
        <f t="shared" si="65"/>
        <v>0</v>
      </c>
      <c r="K320" s="134">
        <v>0</v>
      </c>
      <c r="L320" s="134">
        <v>0</v>
      </c>
      <c r="M320" s="134">
        <f t="shared" si="66"/>
        <v>0</v>
      </c>
      <c r="N320" s="134">
        <f t="shared" si="67"/>
        <v>0</v>
      </c>
    </row>
    <row r="321" spans="1:14" s="136" customFormat="1" outlineLevel="1" x14ac:dyDescent="0.35">
      <c r="A321" s="135" t="s">
        <v>644</v>
      </c>
      <c r="B321" s="108" t="s">
        <v>195</v>
      </c>
      <c r="C321" s="134">
        <v>122902</v>
      </c>
      <c r="D321" s="134">
        <v>-1000</v>
      </c>
      <c r="E321" s="134">
        <v>0</v>
      </c>
      <c r="F321" s="134">
        <v>0</v>
      </c>
      <c r="G321" s="134">
        <v>0</v>
      </c>
      <c r="H321" s="134">
        <f t="shared" si="64"/>
        <v>121902</v>
      </c>
      <c r="I321" s="134">
        <v>-121902</v>
      </c>
      <c r="J321" s="134">
        <f t="shared" si="65"/>
        <v>0</v>
      </c>
      <c r="K321" s="134">
        <v>0</v>
      </c>
      <c r="L321" s="134">
        <v>0</v>
      </c>
      <c r="M321" s="134">
        <f t="shared" si="66"/>
        <v>0</v>
      </c>
      <c r="N321" s="134">
        <f t="shared" si="67"/>
        <v>0</v>
      </c>
    </row>
    <row r="322" spans="1:14" s="100" customFormat="1" ht="15" customHeight="1" outlineLevel="1" x14ac:dyDescent="0.35">
      <c r="A322" s="135" t="s">
        <v>644</v>
      </c>
      <c r="B322" s="108" t="s">
        <v>194</v>
      </c>
      <c r="C322" s="134">
        <v>29412</v>
      </c>
      <c r="D322" s="134">
        <v>-600</v>
      </c>
      <c r="E322" s="134">
        <v>0</v>
      </c>
      <c r="F322" s="134">
        <v>0</v>
      </c>
      <c r="G322" s="134">
        <v>0</v>
      </c>
      <c r="H322" s="134">
        <f t="shared" si="64"/>
        <v>28812</v>
      </c>
      <c r="I322" s="134">
        <v>-28812</v>
      </c>
      <c r="J322" s="134">
        <f t="shared" si="65"/>
        <v>0</v>
      </c>
      <c r="K322" s="134">
        <v>0</v>
      </c>
      <c r="L322" s="134">
        <v>0</v>
      </c>
      <c r="M322" s="134">
        <f t="shared" si="66"/>
        <v>0</v>
      </c>
      <c r="N322" s="134">
        <f t="shared" si="67"/>
        <v>0</v>
      </c>
    </row>
    <row r="323" spans="1:14" s="125" customFormat="1" outlineLevel="1" x14ac:dyDescent="0.35">
      <c r="A323" s="135" t="s">
        <v>644</v>
      </c>
      <c r="B323" s="108" t="s">
        <v>193</v>
      </c>
      <c r="C323" s="134">
        <v>7695</v>
      </c>
      <c r="D323" s="134">
        <v>-73</v>
      </c>
      <c r="E323" s="134">
        <v>0</v>
      </c>
      <c r="F323" s="134">
        <v>0</v>
      </c>
      <c r="G323" s="134">
        <v>0</v>
      </c>
      <c r="H323" s="134">
        <f t="shared" si="64"/>
        <v>7622</v>
      </c>
      <c r="I323" s="134">
        <v>-7622</v>
      </c>
      <c r="J323" s="134">
        <f t="shared" si="65"/>
        <v>0</v>
      </c>
      <c r="K323" s="134">
        <v>0</v>
      </c>
      <c r="L323" s="134">
        <v>0</v>
      </c>
      <c r="M323" s="134">
        <f t="shared" si="66"/>
        <v>0</v>
      </c>
      <c r="N323" s="134">
        <f t="shared" si="67"/>
        <v>0</v>
      </c>
    </row>
    <row r="324" spans="1:14" s="125" customFormat="1" outlineLevel="2" x14ac:dyDescent="0.35">
      <c r="A324" s="135" t="s">
        <v>644</v>
      </c>
      <c r="B324" s="108" t="s">
        <v>192</v>
      </c>
      <c r="C324" s="134">
        <v>420</v>
      </c>
      <c r="D324" s="134">
        <v>0</v>
      </c>
      <c r="E324" s="134">
        <v>0</v>
      </c>
      <c r="F324" s="134">
        <v>0</v>
      </c>
      <c r="G324" s="134">
        <v>0</v>
      </c>
      <c r="H324" s="134">
        <f t="shared" si="64"/>
        <v>420</v>
      </c>
      <c r="I324" s="134">
        <v>-420</v>
      </c>
      <c r="J324" s="134">
        <f t="shared" si="65"/>
        <v>0</v>
      </c>
      <c r="K324" s="134">
        <v>0</v>
      </c>
      <c r="L324" s="134">
        <v>0</v>
      </c>
      <c r="M324" s="134">
        <f t="shared" si="66"/>
        <v>0</v>
      </c>
      <c r="N324" s="134">
        <f t="shared" si="67"/>
        <v>0</v>
      </c>
    </row>
    <row r="325" spans="1:14" s="125" customFormat="1" outlineLevel="2" x14ac:dyDescent="0.35">
      <c r="A325" s="135" t="s">
        <v>644</v>
      </c>
      <c r="B325" s="108" t="s">
        <v>191</v>
      </c>
      <c r="C325" s="134">
        <v>4508</v>
      </c>
      <c r="D325" s="134">
        <v>0</v>
      </c>
      <c r="E325" s="134">
        <v>0</v>
      </c>
      <c r="F325" s="134">
        <v>0</v>
      </c>
      <c r="G325" s="134">
        <v>0</v>
      </c>
      <c r="H325" s="134">
        <f t="shared" si="64"/>
        <v>4508</v>
      </c>
      <c r="I325" s="134">
        <v>-4508</v>
      </c>
      <c r="J325" s="134">
        <f t="shared" si="65"/>
        <v>0</v>
      </c>
      <c r="K325" s="134">
        <v>0</v>
      </c>
      <c r="L325" s="134">
        <v>0</v>
      </c>
      <c r="M325" s="134">
        <f t="shared" si="66"/>
        <v>0</v>
      </c>
      <c r="N325" s="134">
        <f t="shared" si="67"/>
        <v>0</v>
      </c>
    </row>
    <row r="326" spans="1:14" s="125" customFormat="1" outlineLevel="2" x14ac:dyDescent="0.35">
      <c r="A326" s="135" t="s">
        <v>644</v>
      </c>
      <c r="B326" s="108" t="s">
        <v>190</v>
      </c>
      <c r="C326" s="134">
        <v>3672</v>
      </c>
      <c r="D326" s="134">
        <v>0</v>
      </c>
      <c r="E326" s="134">
        <v>0</v>
      </c>
      <c r="F326" s="134">
        <v>0</v>
      </c>
      <c r="G326" s="134">
        <v>0</v>
      </c>
      <c r="H326" s="134">
        <f t="shared" si="64"/>
        <v>3672</v>
      </c>
      <c r="I326" s="134">
        <v>-3672</v>
      </c>
      <c r="J326" s="134">
        <f t="shared" si="65"/>
        <v>0</v>
      </c>
      <c r="K326" s="134">
        <v>0</v>
      </c>
      <c r="L326" s="134">
        <v>0</v>
      </c>
      <c r="M326" s="134">
        <f t="shared" si="66"/>
        <v>0</v>
      </c>
      <c r="N326" s="134">
        <f t="shared" si="67"/>
        <v>0</v>
      </c>
    </row>
    <row r="327" spans="1:14" s="136" customFormat="1" ht="16" outlineLevel="1" thickBot="1" x14ac:dyDescent="0.4">
      <c r="A327" s="105" t="s">
        <v>609</v>
      </c>
      <c r="B327" s="133" t="s">
        <v>12</v>
      </c>
      <c r="C327" s="78">
        <f>SUBTOTAL(109,Program239[(C)
Program
Costs])</f>
        <v>283811</v>
      </c>
      <c r="D327" s="78">
        <f>SUBTOTAL(109,Program239[(D)
Prior Period Adjustments])</f>
        <v>-21784</v>
      </c>
      <c r="E327" s="78">
        <f>SUBTOTAL(109,Program239[(E)
Current Period Desk 
Reviews])</f>
        <v>0</v>
      </c>
      <c r="F327" s="78">
        <f>SUBTOTAL(109,Program239[(F)
Current Period 
Final 
Audits])</f>
        <v>0</v>
      </c>
      <c r="G327" s="78">
        <f>SUBTOTAL(109,Program239[(G)
Current Period 
Other Adjustments])</f>
        <v>0</v>
      </c>
      <c r="H327" s="78">
        <f>SUBTOTAL(109,Program239[(H)
Net Program Costs
Sum (C through G)])</f>
        <v>262027</v>
      </c>
      <c r="I327" s="78">
        <f>SUBTOTAL(109,Program239[(I)
Payments
 and Offsets])</f>
        <v>-262027</v>
      </c>
      <c r="J327" s="78">
        <f>SUBTOTAL(105,Program239[(J)
Accounts Payable Balance
(H + I)])</f>
        <v>0</v>
      </c>
      <c r="K327" s="78">
        <f>SUBTOTAL(109,Program239[(K)
Established 
Accounts Receivable])</f>
        <v>0</v>
      </c>
      <c r="L327" s="78">
        <f>SUBTOTAL(109,Program239[(L)
Recovered
 Accounts Receivable])</f>
        <v>0</v>
      </c>
      <c r="M327" s="78">
        <f>SUBTOTAL(109,Program239[(M)
Accounts Receivable Balance
(K + L)])</f>
        <v>0</v>
      </c>
      <c r="N327" s="78">
        <f>SUBTOTAL(109,Program239[(N)
Net Balance
(J minus M)])</f>
        <v>0</v>
      </c>
    </row>
    <row r="328" spans="1:14" s="100" customFormat="1" ht="15" customHeight="1" outlineLevel="1" x14ac:dyDescent="0.35">
      <c r="A328" s="116" t="s">
        <v>33</v>
      </c>
      <c r="B328" s="115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</row>
    <row r="329" spans="1:14" s="125" customFormat="1" ht="77.5" outlineLevel="1" x14ac:dyDescent="0.35">
      <c r="A329" s="60" t="s">
        <v>185</v>
      </c>
      <c r="B329" s="59" t="s">
        <v>184</v>
      </c>
      <c r="C329" s="58" t="s">
        <v>183</v>
      </c>
      <c r="D329" s="58" t="s">
        <v>182</v>
      </c>
      <c r="E329" s="56" t="s">
        <v>181</v>
      </c>
      <c r="F329" s="56" t="s">
        <v>180</v>
      </c>
      <c r="G329" s="56" t="s">
        <v>179</v>
      </c>
      <c r="H329" s="57" t="s">
        <v>674</v>
      </c>
      <c r="I329" s="55" t="s">
        <v>178</v>
      </c>
      <c r="J329" s="55" t="s">
        <v>177</v>
      </c>
      <c r="K329" s="56" t="s">
        <v>176</v>
      </c>
      <c r="L329" s="55" t="s">
        <v>175</v>
      </c>
      <c r="M329" s="55" t="s">
        <v>174</v>
      </c>
      <c r="N329" s="54" t="s">
        <v>173</v>
      </c>
    </row>
    <row r="330" spans="1:14" s="125" customFormat="1" outlineLevel="2" x14ac:dyDescent="0.35">
      <c r="A330" s="135" t="s">
        <v>643</v>
      </c>
      <c r="B330" s="108" t="s">
        <v>198</v>
      </c>
      <c r="C330" s="134">
        <v>1348</v>
      </c>
      <c r="D330" s="134">
        <v>0</v>
      </c>
      <c r="E330" s="134">
        <v>0</v>
      </c>
      <c r="F330" s="134">
        <v>0</v>
      </c>
      <c r="G330" s="134">
        <v>0</v>
      </c>
      <c r="H330" s="134">
        <f t="shared" ref="H330:H335" si="68">SUM(C330:G330)</f>
        <v>1348</v>
      </c>
      <c r="I330" s="134">
        <v>-1348</v>
      </c>
      <c r="J330" s="134">
        <f t="shared" ref="J330:J335" si="69">H330+I330</f>
        <v>0</v>
      </c>
      <c r="K330" s="134">
        <v>0</v>
      </c>
      <c r="L330" s="134">
        <v>0</v>
      </c>
      <c r="M330" s="134">
        <f t="shared" ref="M330:M335" si="70">K330+L330</f>
        <v>0</v>
      </c>
      <c r="N330" s="134">
        <f t="shared" ref="N330:N335" si="71">J330-M330</f>
        <v>0</v>
      </c>
    </row>
    <row r="331" spans="1:14" s="136" customFormat="1" outlineLevel="1" x14ac:dyDescent="0.35">
      <c r="A331" s="135" t="s">
        <v>643</v>
      </c>
      <c r="B331" s="108" t="s">
        <v>197</v>
      </c>
      <c r="C331" s="134">
        <v>17955</v>
      </c>
      <c r="D331" s="134">
        <v>-1796</v>
      </c>
      <c r="E331" s="134">
        <v>0</v>
      </c>
      <c r="F331" s="134">
        <v>0</v>
      </c>
      <c r="G331" s="134">
        <v>0</v>
      </c>
      <c r="H331" s="134">
        <f t="shared" si="68"/>
        <v>16159</v>
      </c>
      <c r="I331" s="134">
        <v>-16159</v>
      </c>
      <c r="J331" s="134">
        <f t="shared" si="69"/>
        <v>0</v>
      </c>
      <c r="K331" s="134">
        <v>0</v>
      </c>
      <c r="L331" s="134">
        <v>0</v>
      </c>
      <c r="M331" s="134">
        <f t="shared" si="70"/>
        <v>0</v>
      </c>
      <c r="N331" s="134">
        <f t="shared" si="71"/>
        <v>0</v>
      </c>
    </row>
    <row r="332" spans="1:14" s="100" customFormat="1" ht="15" customHeight="1" outlineLevel="1" x14ac:dyDescent="0.35">
      <c r="A332" s="135" t="s">
        <v>643</v>
      </c>
      <c r="B332" s="108" t="s">
        <v>196</v>
      </c>
      <c r="C332" s="134">
        <v>6325</v>
      </c>
      <c r="D332" s="134">
        <v>-633</v>
      </c>
      <c r="E332" s="134">
        <v>0</v>
      </c>
      <c r="F332" s="134">
        <v>0</v>
      </c>
      <c r="G332" s="134">
        <v>0</v>
      </c>
      <c r="H332" s="134">
        <f t="shared" si="68"/>
        <v>5692</v>
      </c>
      <c r="I332" s="134">
        <v>-5692</v>
      </c>
      <c r="J332" s="134">
        <f t="shared" si="69"/>
        <v>0</v>
      </c>
      <c r="K332" s="134">
        <v>0</v>
      </c>
      <c r="L332" s="134">
        <v>0</v>
      </c>
      <c r="M332" s="134">
        <f t="shared" si="70"/>
        <v>0</v>
      </c>
      <c r="N332" s="134">
        <f t="shared" si="71"/>
        <v>0</v>
      </c>
    </row>
    <row r="333" spans="1:14" s="125" customFormat="1" outlineLevel="1" x14ac:dyDescent="0.35">
      <c r="A333" s="135" t="s">
        <v>643</v>
      </c>
      <c r="B333" s="108" t="s">
        <v>195</v>
      </c>
      <c r="C333" s="134">
        <v>4894</v>
      </c>
      <c r="D333" s="134">
        <v>-489</v>
      </c>
      <c r="E333" s="134">
        <v>0</v>
      </c>
      <c r="F333" s="134">
        <v>0</v>
      </c>
      <c r="G333" s="134">
        <v>0</v>
      </c>
      <c r="H333" s="134">
        <f t="shared" si="68"/>
        <v>4405</v>
      </c>
      <c r="I333" s="134">
        <v>-4405</v>
      </c>
      <c r="J333" s="134">
        <f t="shared" si="69"/>
        <v>0</v>
      </c>
      <c r="K333" s="134">
        <v>0</v>
      </c>
      <c r="L333" s="134">
        <v>0</v>
      </c>
      <c r="M333" s="134">
        <f t="shared" si="70"/>
        <v>0</v>
      </c>
      <c r="N333" s="134">
        <f t="shared" si="71"/>
        <v>0</v>
      </c>
    </row>
    <row r="334" spans="1:14" s="125" customFormat="1" outlineLevel="2" x14ac:dyDescent="0.35">
      <c r="A334" s="135" t="s">
        <v>643</v>
      </c>
      <c r="B334" s="108" t="s">
        <v>194</v>
      </c>
      <c r="C334" s="134">
        <v>8844</v>
      </c>
      <c r="D334" s="134">
        <v>-884</v>
      </c>
      <c r="E334" s="134">
        <v>0</v>
      </c>
      <c r="F334" s="134">
        <v>0</v>
      </c>
      <c r="G334" s="134">
        <v>0</v>
      </c>
      <c r="H334" s="134">
        <f t="shared" si="68"/>
        <v>7960</v>
      </c>
      <c r="I334" s="134">
        <v>-7960</v>
      </c>
      <c r="J334" s="134">
        <f t="shared" si="69"/>
        <v>0</v>
      </c>
      <c r="K334" s="134">
        <v>0</v>
      </c>
      <c r="L334" s="134">
        <v>0</v>
      </c>
      <c r="M334" s="134">
        <f t="shared" si="70"/>
        <v>0</v>
      </c>
      <c r="N334" s="134">
        <f t="shared" si="71"/>
        <v>0</v>
      </c>
    </row>
    <row r="335" spans="1:14" s="125" customFormat="1" outlineLevel="2" x14ac:dyDescent="0.35">
      <c r="A335" s="135" t="s">
        <v>643</v>
      </c>
      <c r="B335" s="108" t="s">
        <v>193</v>
      </c>
      <c r="C335" s="134">
        <v>6360</v>
      </c>
      <c r="D335" s="134">
        <v>-636</v>
      </c>
      <c r="E335" s="134">
        <v>0</v>
      </c>
      <c r="F335" s="134">
        <v>0</v>
      </c>
      <c r="G335" s="134">
        <v>0</v>
      </c>
      <c r="H335" s="134">
        <f t="shared" si="68"/>
        <v>5724</v>
      </c>
      <c r="I335" s="134">
        <v>-5724</v>
      </c>
      <c r="J335" s="134">
        <f t="shared" si="69"/>
        <v>0</v>
      </c>
      <c r="K335" s="134">
        <v>0</v>
      </c>
      <c r="L335" s="134">
        <v>0</v>
      </c>
      <c r="M335" s="134">
        <f t="shared" si="70"/>
        <v>0</v>
      </c>
      <c r="N335" s="134">
        <f t="shared" si="71"/>
        <v>0</v>
      </c>
    </row>
    <row r="336" spans="1:14" s="100" customFormat="1" ht="15" customHeight="1" outlineLevel="1" thickBot="1" x14ac:dyDescent="0.4">
      <c r="A336" s="105" t="s">
        <v>608</v>
      </c>
      <c r="B336" s="133" t="s">
        <v>12</v>
      </c>
      <c r="C336" s="78">
        <f>SUBTOTAL(109,Program240[(C)
Program
Costs])</f>
        <v>45726</v>
      </c>
      <c r="D336" s="78">
        <f>SUBTOTAL(109,Program240[(D)
Prior Period Adjustments])</f>
        <v>-4438</v>
      </c>
      <c r="E336" s="78">
        <f>SUBTOTAL(109,Program240[(E)
Current Period Desk 
Reviews])</f>
        <v>0</v>
      </c>
      <c r="F336" s="78">
        <f>SUBTOTAL(109,Program240[(F)
Current Period 
Final 
Audits])</f>
        <v>0</v>
      </c>
      <c r="G336" s="78">
        <f>SUBTOTAL(109,Program240[(G)
Current Period 
Other Adjustments])</f>
        <v>0</v>
      </c>
      <c r="H336" s="78">
        <f>SUBTOTAL(109,Program240[(H)
Net Program Costs
Sum (C through G)])</f>
        <v>41288</v>
      </c>
      <c r="I336" s="78">
        <f>SUBTOTAL(109,Program240[(I)
Payments
 and Offsets])</f>
        <v>-41288</v>
      </c>
      <c r="J336" s="78">
        <f>SUBTOTAL(109,Program240[(J)
Accounts Payable Balance
(H + I)])</f>
        <v>0</v>
      </c>
      <c r="K336" s="78">
        <f>SUBTOTAL(109,Program240[(K)
Established 
Accounts Receivable])</f>
        <v>0</v>
      </c>
      <c r="L336" s="78">
        <f>SUBTOTAL(109,Program240[(L)
Recovered
 Accounts Receivable])</f>
        <v>0</v>
      </c>
      <c r="M336" s="78">
        <f>SUBTOTAL(109,Program240[(M)
Accounts Receivable Balance
(K + L)])</f>
        <v>0</v>
      </c>
      <c r="N336" s="78">
        <f>SUBTOTAL(109,Program240[(N)
Net Balance
(J minus M)])</f>
        <v>0</v>
      </c>
    </row>
    <row r="337" spans="1:14" s="125" customFormat="1" outlineLevel="1" x14ac:dyDescent="0.35">
      <c r="A337" s="116" t="s">
        <v>33</v>
      </c>
      <c r="B337" s="115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</row>
    <row r="338" spans="1:14" s="125" customFormat="1" ht="77.5" outlineLevel="2" x14ac:dyDescent="0.35">
      <c r="A338" s="60" t="s">
        <v>185</v>
      </c>
      <c r="B338" s="59" t="s">
        <v>184</v>
      </c>
      <c r="C338" s="58" t="s">
        <v>183</v>
      </c>
      <c r="D338" s="58" t="s">
        <v>182</v>
      </c>
      <c r="E338" s="56" t="s">
        <v>181</v>
      </c>
      <c r="F338" s="56" t="s">
        <v>180</v>
      </c>
      <c r="G338" s="56" t="s">
        <v>179</v>
      </c>
      <c r="H338" s="57" t="s">
        <v>674</v>
      </c>
      <c r="I338" s="55" t="s">
        <v>178</v>
      </c>
      <c r="J338" s="55" t="s">
        <v>177</v>
      </c>
      <c r="K338" s="56" t="s">
        <v>176</v>
      </c>
      <c r="L338" s="55" t="s">
        <v>175</v>
      </c>
      <c r="M338" s="55" t="s">
        <v>174</v>
      </c>
      <c r="N338" s="54" t="s">
        <v>173</v>
      </c>
    </row>
    <row r="339" spans="1:14" s="136" customFormat="1" outlineLevel="1" x14ac:dyDescent="0.35">
      <c r="A339" s="135" t="s">
        <v>642</v>
      </c>
      <c r="B339" s="108" t="s">
        <v>208</v>
      </c>
      <c r="C339" s="134">
        <v>58890</v>
      </c>
      <c r="D339" s="134">
        <v>0</v>
      </c>
      <c r="E339" s="134">
        <v>0</v>
      </c>
      <c r="F339" s="134">
        <v>0</v>
      </c>
      <c r="G339" s="134">
        <v>0</v>
      </c>
      <c r="H339" s="134">
        <f t="shared" ref="H339:H347" si="72">SUM(C339:G339)</f>
        <v>58890</v>
      </c>
      <c r="I339" s="134">
        <v>-58890</v>
      </c>
      <c r="J339" s="134">
        <f t="shared" ref="J339:J347" si="73">H339+I339</f>
        <v>0</v>
      </c>
      <c r="K339" s="134">
        <v>0</v>
      </c>
      <c r="L339" s="134">
        <v>0</v>
      </c>
      <c r="M339" s="134">
        <f t="shared" ref="M339:M347" si="74">K339+L339</f>
        <v>0</v>
      </c>
      <c r="N339" s="134">
        <f t="shared" ref="N339:N347" si="75">J339-M339</f>
        <v>0</v>
      </c>
    </row>
    <row r="340" spans="1:14" s="100" customFormat="1" ht="15" customHeight="1" outlineLevel="1" x14ac:dyDescent="0.35">
      <c r="A340" s="135" t="s">
        <v>642</v>
      </c>
      <c r="B340" s="108" t="s">
        <v>206</v>
      </c>
      <c r="C340" s="134">
        <v>71811</v>
      </c>
      <c r="D340" s="134">
        <v>0</v>
      </c>
      <c r="E340" s="134">
        <v>0</v>
      </c>
      <c r="F340" s="134">
        <v>0</v>
      </c>
      <c r="G340" s="134">
        <v>0</v>
      </c>
      <c r="H340" s="134">
        <f t="shared" si="72"/>
        <v>71811</v>
      </c>
      <c r="I340" s="134">
        <v>-71811</v>
      </c>
      <c r="J340" s="134">
        <f t="shared" si="73"/>
        <v>0</v>
      </c>
      <c r="K340" s="134">
        <v>0</v>
      </c>
      <c r="L340" s="134">
        <v>0</v>
      </c>
      <c r="M340" s="134">
        <f t="shared" si="74"/>
        <v>0</v>
      </c>
      <c r="N340" s="134">
        <f t="shared" si="75"/>
        <v>0</v>
      </c>
    </row>
    <row r="341" spans="1:14" s="125" customFormat="1" outlineLevel="1" x14ac:dyDescent="0.35">
      <c r="A341" s="135" t="s">
        <v>642</v>
      </c>
      <c r="B341" s="108" t="s">
        <v>205</v>
      </c>
      <c r="C341" s="134">
        <v>83173</v>
      </c>
      <c r="D341" s="134">
        <v>0</v>
      </c>
      <c r="E341" s="134">
        <v>0</v>
      </c>
      <c r="F341" s="134">
        <v>0</v>
      </c>
      <c r="G341" s="134">
        <v>0</v>
      </c>
      <c r="H341" s="134">
        <f t="shared" si="72"/>
        <v>83173</v>
      </c>
      <c r="I341" s="134">
        <v>-83173</v>
      </c>
      <c r="J341" s="134">
        <f t="shared" si="73"/>
        <v>0</v>
      </c>
      <c r="K341" s="134">
        <v>0</v>
      </c>
      <c r="L341" s="134">
        <v>0</v>
      </c>
      <c r="M341" s="134">
        <f t="shared" si="74"/>
        <v>0</v>
      </c>
      <c r="N341" s="134">
        <f t="shared" si="75"/>
        <v>0</v>
      </c>
    </row>
    <row r="342" spans="1:14" s="125" customFormat="1" outlineLevel="2" x14ac:dyDescent="0.35">
      <c r="A342" s="135" t="s">
        <v>642</v>
      </c>
      <c r="B342" s="108" t="s">
        <v>204</v>
      </c>
      <c r="C342" s="134">
        <v>63845</v>
      </c>
      <c r="D342" s="134">
        <v>0</v>
      </c>
      <c r="E342" s="134">
        <v>0</v>
      </c>
      <c r="F342" s="134">
        <v>0</v>
      </c>
      <c r="G342" s="134">
        <v>0</v>
      </c>
      <c r="H342" s="134">
        <f t="shared" si="72"/>
        <v>63845</v>
      </c>
      <c r="I342" s="134">
        <v>-63845</v>
      </c>
      <c r="J342" s="134">
        <f t="shared" si="73"/>
        <v>0</v>
      </c>
      <c r="K342" s="134">
        <v>0</v>
      </c>
      <c r="L342" s="134">
        <v>0</v>
      </c>
      <c r="M342" s="134">
        <f t="shared" si="74"/>
        <v>0</v>
      </c>
      <c r="N342" s="134">
        <f t="shared" si="75"/>
        <v>0</v>
      </c>
    </row>
    <row r="343" spans="1:14" s="125" customFormat="1" outlineLevel="2" x14ac:dyDescent="0.35">
      <c r="A343" s="135" t="s">
        <v>642</v>
      </c>
      <c r="B343" s="108" t="s">
        <v>203</v>
      </c>
      <c r="C343" s="134">
        <v>86420</v>
      </c>
      <c r="D343" s="134">
        <v>0</v>
      </c>
      <c r="E343" s="134">
        <v>0</v>
      </c>
      <c r="F343" s="134">
        <v>0</v>
      </c>
      <c r="G343" s="134">
        <v>0</v>
      </c>
      <c r="H343" s="134">
        <f t="shared" si="72"/>
        <v>86420</v>
      </c>
      <c r="I343" s="134">
        <v>-86420</v>
      </c>
      <c r="J343" s="134">
        <f t="shared" si="73"/>
        <v>0</v>
      </c>
      <c r="K343" s="134">
        <v>0</v>
      </c>
      <c r="L343" s="134">
        <v>0</v>
      </c>
      <c r="M343" s="134">
        <f t="shared" si="74"/>
        <v>0</v>
      </c>
      <c r="N343" s="134">
        <f t="shared" si="75"/>
        <v>0</v>
      </c>
    </row>
    <row r="344" spans="1:14" s="125" customFormat="1" outlineLevel="2" x14ac:dyDescent="0.35">
      <c r="A344" s="135" t="s">
        <v>642</v>
      </c>
      <c r="B344" s="108" t="s">
        <v>202</v>
      </c>
      <c r="C344" s="134">
        <v>72835</v>
      </c>
      <c r="D344" s="134">
        <v>0</v>
      </c>
      <c r="E344" s="134">
        <v>0</v>
      </c>
      <c r="F344" s="134">
        <v>0</v>
      </c>
      <c r="G344" s="134">
        <v>0</v>
      </c>
      <c r="H344" s="134">
        <f t="shared" si="72"/>
        <v>72835</v>
      </c>
      <c r="I344" s="134">
        <v>-72835</v>
      </c>
      <c r="J344" s="134">
        <f t="shared" si="73"/>
        <v>0</v>
      </c>
      <c r="K344" s="134">
        <v>0</v>
      </c>
      <c r="L344" s="134">
        <v>0</v>
      </c>
      <c r="M344" s="134">
        <f t="shared" si="74"/>
        <v>0</v>
      </c>
      <c r="N344" s="134">
        <f t="shared" si="75"/>
        <v>0</v>
      </c>
    </row>
    <row r="345" spans="1:14" s="125" customFormat="1" outlineLevel="2" x14ac:dyDescent="0.35">
      <c r="A345" s="135" t="s">
        <v>642</v>
      </c>
      <c r="B345" s="108" t="s">
        <v>201</v>
      </c>
      <c r="C345" s="134">
        <v>159685</v>
      </c>
      <c r="D345" s="134">
        <v>-7876</v>
      </c>
      <c r="E345" s="134">
        <v>0</v>
      </c>
      <c r="F345" s="134">
        <v>0</v>
      </c>
      <c r="G345" s="134">
        <v>0</v>
      </c>
      <c r="H345" s="134">
        <f t="shared" si="72"/>
        <v>151809</v>
      </c>
      <c r="I345" s="134">
        <v>-151809</v>
      </c>
      <c r="J345" s="134">
        <f t="shared" si="73"/>
        <v>0</v>
      </c>
      <c r="K345" s="134">
        <v>0</v>
      </c>
      <c r="L345" s="134">
        <v>0</v>
      </c>
      <c r="M345" s="134">
        <f t="shared" si="74"/>
        <v>0</v>
      </c>
      <c r="N345" s="134">
        <f t="shared" si="75"/>
        <v>0</v>
      </c>
    </row>
    <row r="346" spans="1:14" s="125" customFormat="1" outlineLevel="2" x14ac:dyDescent="0.35">
      <c r="A346" s="135" t="s">
        <v>642</v>
      </c>
      <c r="B346" s="108" t="s">
        <v>200</v>
      </c>
      <c r="C346" s="134">
        <v>39068</v>
      </c>
      <c r="D346" s="134">
        <v>0</v>
      </c>
      <c r="E346" s="134">
        <v>0</v>
      </c>
      <c r="F346" s="134">
        <v>0</v>
      </c>
      <c r="G346" s="134">
        <v>0</v>
      </c>
      <c r="H346" s="134">
        <f t="shared" si="72"/>
        <v>39068</v>
      </c>
      <c r="I346" s="134">
        <v>-39068</v>
      </c>
      <c r="J346" s="134">
        <f t="shared" si="73"/>
        <v>0</v>
      </c>
      <c r="K346" s="134">
        <v>0</v>
      </c>
      <c r="L346" s="134">
        <v>0</v>
      </c>
      <c r="M346" s="134">
        <f t="shared" si="74"/>
        <v>0</v>
      </c>
      <c r="N346" s="134">
        <f t="shared" si="75"/>
        <v>0</v>
      </c>
    </row>
    <row r="347" spans="1:14" s="125" customFormat="1" outlineLevel="2" x14ac:dyDescent="0.35">
      <c r="A347" s="135" t="s">
        <v>642</v>
      </c>
      <c r="B347" s="108" t="s">
        <v>199</v>
      </c>
      <c r="C347" s="134">
        <v>28285</v>
      </c>
      <c r="D347" s="134">
        <v>0</v>
      </c>
      <c r="E347" s="134">
        <v>0</v>
      </c>
      <c r="F347" s="134">
        <v>0</v>
      </c>
      <c r="G347" s="134">
        <v>0</v>
      </c>
      <c r="H347" s="134">
        <f t="shared" si="72"/>
        <v>28285</v>
      </c>
      <c r="I347" s="134">
        <v>-28285</v>
      </c>
      <c r="J347" s="134">
        <f t="shared" si="73"/>
        <v>0</v>
      </c>
      <c r="K347" s="134">
        <v>0</v>
      </c>
      <c r="L347" s="134">
        <v>0</v>
      </c>
      <c r="M347" s="134">
        <f t="shared" si="74"/>
        <v>0</v>
      </c>
      <c r="N347" s="134">
        <f t="shared" si="75"/>
        <v>0</v>
      </c>
    </row>
    <row r="348" spans="1:14" s="125" customFormat="1" ht="16" outlineLevel="2" thickBot="1" x14ac:dyDescent="0.4">
      <c r="A348" s="105" t="s">
        <v>607</v>
      </c>
      <c r="B348" s="133" t="s">
        <v>12</v>
      </c>
      <c r="C348" s="78">
        <f>SUBTOTAL(109,Program303[(C)
Program
Costs])</f>
        <v>664012</v>
      </c>
      <c r="D348" s="78">
        <f>SUBTOTAL(109,Program303[(D)
Prior Period Adjustments])</f>
        <v>-7876</v>
      </c>
      <c r="E348" s="78">
        <f>SUBTOTAL(109,Program303[(E)
Current Period Desk 
Reviews])</f>
        <v>0</v>
      </c>
      <c r="F348" s="78">
        <f>SUBTOTAL(109,Program303[(F)
Current Period 
Final 
Audits])</f>
        <v>0</v>
      </c>
      <c r="G348" s="78">
        <f>SUBTOTAL(109,Program303[(G)
Current Period 
Other Adjustments])</f>
        <v>0</v>
      </c>
      <c r="H348" s="78">
        <f>SUBTOTAL(109,Program303[(H)
Net Program Costs
Sum (C through G)])</f>
        <v>656136</v>
      </c>
      <c r="I348" s="78">
        <f>SUBTOTAL(109,Program303[(I)
Payments
 and Offsets])</f>
        <v>-656136</v>
      </c>
      <c r="J348" s="78">
        <f>SUBTOTAL(109,Program303[(J)
Accounts Payable Balance
(H + I)])</f>
        <v>0</v>
      </c>
      <c r="K348" s="78">
        <f>SUBTOTAL(109,Program303[(K)
Established 
Accounts Receivable])</f>
        <v>0</v>
      </c>
      <c r="L348" s="78">
        <f>SUBTOTAL(109,Program303[(L)
Recovered
 Accounts Receivable])</f>
        <v>0</v>
      </c>
      <c r="M348" s="78">
        <f>SUBTOTAL(109,Program303[(M)
Accounts Receivable Balance
(K + L)])</f>
        <v>0</v>
      </c>
      <c r="N348" s="78">
        <f>SUBTOTAL(109,Program303[(N)
Net Balance
(J minus M)])</f>
        <v>0</v>
      </c>
    </row>
    <row r="349" spans="1:14" s="125" customFormat="1" outlineLevel="2" x14ac:dyDescent="0.35">
      <c r="A349" s="116" t="s">
        <v>33</v>
      </c>
      <c r="B349" s="115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</row>
    <row r="350" spans="1:14" s="125" customFormat="1" ht="77.5" outlineLevel="2" x14ac:dyDescent="0.35">
      <c r="A350" s="60" t="s">
        <v>185</v>
      </c>
      <c r="B350" s="59" t="s">
        <v>184</v>
      </c>
      <c r="C350" s="58" t="s">
        <v>183</v>
      </c>
      <c r="D350" s="58" t="s">
        <v>182</v>
      </c>
      <c r="E350" s="56" t="s">
        <v>181</v>
      </c>
      <c r="F350" s="56" t="s">
        <v>180</v>
      </c>
      <c r="G350" s="56" t="s">
        <v>179</v>
      </c>
      <c r="H350" s="57" t="s">
        <v>674</v>
      </c>
      <c r="I350" s="55" t="s">
        <v>178</v>
      </c>
      <c r="J350" s="55" t="s">
        <v>177</v>
      </c>
      <c r="K350" s="56" t="s">
        <v>176</v>
      </c>
      <c r="L350" s="55" t="s">
        <v>175</v>
      </c>
      <c r="M350" s="55" t="s">
        <v>174</v>
      </c>
      <c r="N350" s="54" t="s">
        <v>173</v>
      </c>
    </row>
    <row r="351" spans="1:14" s="125" customFormat="1" ht="31" outlineLevel="2" x14ac:dyDescent="0.35">
      <c r="A351" s="141" t="s">
        <v>641</v>
      </c>
      <c r="B351" s="108" t="s">
        <v>205</v>
      </c>
      <c r="C351" s="134">
        <v>1031</v>
      </c>
      <c r="D351" s="134">
        <v>0</v>
      </c>
      <c r="E351" s="134">
        <v>0</v>
      </c>
      <c r="F351" s="134">
        <v>0</v>
      </c>
      <c r="G351" s="134">
        <v>0</v>
      </c>
      <c r="H351" s="134">
        <f>SUM(C351:G351)</f>
        <v>1031</v>
      </c>
      <c r="I351" s="134">
        <v>-1031</v>
      </c>
      <c r="J351" s="134">
        <f>H351+I351</f>
        <v>0</v>
      </c>
      <c r="K351" s="134">
        <v>0</v>
      </c>
      <c r="L351" s="134">
        <v>0</v>
      </c>
      <c r="M351" s="134">
        <f>K351+L351</f>
        <v>0</v>
      </c>
      <c r="N351" s="134">
        <f>J351-M351</f>
        <v>0</v>
      </c>
    </row>
    <row r="352" spans="1:14" s="136" customFormat="1" ht="31" outlineLevel="1" x14ac:dyDescent="0.35">
      <c r="A352" s="141" t="s">
        <v>641</v>
      </c>
      <c r="B352" s="108" t="s">
        <v>204</v>
      </c>
      <c r="C352" s="134">
        <v>14940</v>
      </c>
      <c r="D352" s="134">
        <v>0</v>
      </c>
      <c r="E352" s="134">
        <v>0</v>
      </c>
      <c r="F352" s="134">
        <v>0</v>
      </c>
      <c r="G352" s="134">
        <v>0</v>
      </c>
      <c r="H352" s="134">
        <f>SUM(C352:G352)</f>
        <v>14940</v>
      </c>
      <c r="I352" s="134">
        <v>-14140</v>
      </c>
      <c r="J352" s="134">
        <f>H352+I352</f>
        <v>800</v>
      </c>
      <c r="K352" s="134">
        <v>0</v>
      </c>
      <c r="L352" s="134">
        <v>0</v>
      </c>
      <c r="M352" s="134">
        <f>K352+L352</f>
        <v>0</v>
      </c>
      <c r="N352" s="134">
        <f>J352-M352</f>
        <v>800</v>
      </c>
    </row>
    <row r="353" spans="1:15" s="100" customFormat="1" ht="30" customHeight="1" outlineLevel="1" x14ac:dyDescent="0.35">
      <c r="A353" s="141" t="s">
        <v>641</v>
      </c>
      <c r="B353" s="108" t="s">
        <v>203</v>
      </c>
      <c r="C353" s="134">
        <v>29808</v>
      </c>
      <c r="D353" s="134">
        <v>-1260</v>
      </c>
      <c r="E353" s="134">
        <v>0</v>
      </c>
      <c r="F353" s="134">
        <v>0</v>
      </c>
      <c r="G353" s="134">
        <v>0</v>
      </c>
      <c r="H353" s="134">
        <f>SUM(C353:G353)</f>
        <v>28548</v>
      </c>
      <c r="I353" s="134">
        <v>-11337</v>
      </c>
      <c r="J353" s="134">
        <f>H353+I353</f>
        <v>17211</v>
      </c>
      <c r="K353" s="134">
        <v>0</v>
      </c>
      <c r="L353" s="134">
        <v>0</v>
      </c>
      <c r="M353" s="134">
        <f>K353+L353</f>
        <v>0</v>
      </c>
      <c r="N353" s="134">
        <f>J353-M353</f>
        <v>17211</v>
      </c>
    </row>
    <row r="354" spans="1:15" s="136" customFormat="1" ht="31" outlineLevel="1" x14ac:dyDescent="0.35">
      <c r="A354" s="141" t="s">
        <v>641</v>
      </c>
      <c r="B354" s="108" t="s">
        <v>202</v>
      </c>
      <c r="C354" s="134">
        <v>11708</v>
      </c>
      <c r="D354" s="134">
        <v>0</v>
      </c>
      <c r="E354" s="134">
        <v>0</v>
      </c>
      <c r="F354" s="134">
        <v>0</v>
      </c>
      <c r="G354" s="134">
        <v>0</v>
      </c>
      <c r="H354" s="134">
        <f>SUM(C354:G354)</f>
        <v>11708</v>
      </c>
      <c r="I354" s="134">
        <v>-11708</v>
      </c>
      <c r="J354" s="134">
        <f>H354+I354</f>
        <v>0</v>
      </c>
      <c r="K354" s="134">
        <v>0</v>
      </c>
      <c r="L354" s="134">
        <v>0</v>
      </c>
      <c r="M354" s="134">
        <f>K354+L354</f>
        <v>0</v>
      </c>
      <c r="N354" s="134">
        <f>J354-M354</f>
        <v>0</v>
      </c>
    </row>
    <row r="355" spans="1:15" s="100" customFormat="1" ht="15" customHeight="1" outlineLevel="1" thickBot="1" x14ac:dyDescent="0.4">
      <c r="A355" s="105" t="s">
        <v>606</v>
      </c>
      <c r="B355" s="133" t="s">
        <v>12</v>
      </c>
      <c r="C355" s="78">
        <f>SUBTOTAL(109,Program294[(C)
Program
Costs])</f>
        <v>57487</v>
      </c>
      <c r="D355" s="78">
        <f>SUBTOTAL(109,Program294[(D)
Prior Period Adjustments])</f>
        <v>-1260</v>
      </c>
      <c r="E355" s="78">
        <f>SUBTOTAL(109,Program294[(E)
Current Period Desk 
Reviews])</f>
        <v>0</v>
      </c>
      <c r="F355" s="78">
        <f>SUBTOTAL(109,Program294[(F)
Current Period 
Final 
Audits])</f>
        <v>0</v>
      </c>
      <c r="G355" s="78">
        <f>SUBTOTAL(109,Program294[(G)
Current Period 
Other Adjustments])</f>
        <v>0</v>
      </c>
      <c r="H355" s="78">
        <f>SUBTOTAL(109,Program294[(H)
Net Program Costs
Sum (C through G)])</f>
        <v>56227</v>
      </c>
      <c r="I355" s="78">
        <f>SUBTOTAL(109,Program294[(I)
Payments
 and Offsets])</f>
        <v>-38216</v>
      </c>
      <c r="J355" s="78">
        <f>SUBTOTAL(109,Program294[(J)
Accounts Payable Balance
(H + I)])</f>
        <v>18011</v>
      </c>
      <c r="K355" s="78">
        <f>SUBTOTAL(109,Program294[(K)
Established 
Accounts Receivable])</f>
        <v>0</v>
      </c>
      <c r="L355" s="78">
        <f>SUBTOTAL(109,Program294[(L)
Recovered
 Accounts Receivable])</f>
        <v>0</v>
      </c>
      <c r="M355" s="78">
        <f>SUBTOTAL(109,Program294[(M)
Accounts Receivable Balance
(K + L)])</f>
        <v>0</v>
      </c>
      <c r="N355" s="78">
        <f>SUBTOTAL(109,Program294[(N)
Net Balance
(J minus M)])</f>
        <v>18011</v>
      </c>
    </row>
    <row r="356" spans="1:15" x14ac:dyDescent="0.35">
      <c r="A356" s="116" t="s">
        <v>33</v>
      </c>
      <c r="B356" s="115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</row>
    <row r="357" spans="1:15" ht="77.5" x14ac:dyDescent="0.35">
      <c r="A357" s="60" t="s">
        <v>185</v>
      </c>
      <c r="B357" s="59" t="s">
        <v>184</v>
      </c>
      <c r="C357" s="58" t="s">
        <v>183</v>
      </c>
      <c r="D357" s="58" t="s">
        <v>182</v>
      </c>
      <c r="E357" s="56" t="s">
        <v>181</v>
      </c>
      <c r="F357" s="56" t="s">
        <v>180</v>
      </c>
      <c r="G357" s="56" t="s">
        <v>179</v>
      </c>
      <c r="H357" s="57" t="s">
        <v>674</v>
      </c>
      <c r="I357" s="55" t="s">
        <v>178</v>
      </c>
      <c r="J357" s="55" t="s">
        <v>177</v>
      </c>
      <c r="K357" s="56" t="s">
        <v>176</v>
      </c>
      <c r="L357" s="55" t="s">
        <v>175</v>
      </c>
      <c r="M357" s="55" t="s">
        <v>174</v>
      </c>
      <c r="N357" s="54" t="s">
        <v>173</v>
      </c>
      <c r="O357" s="45"/>
    </row>
    <row r="358" spans="1:15" ht="31" x14ac:dyDescent="0.35">
      <c r="A358" s="141" t="s">
        <v>640</v>
      </c>
      <c r="B358" s="108" t="s">
        <v>197</v>
      </c>
      <c r="C358" s="134">
        <v>2097</v>
      </c>
      <c r="D358" s="134">
        <v>0</v>
      </c>
      <c r="E358" s="134">
        <v>0</v>
      </c>
      <c r="F358" s="134">
        <v>0</v>
      </c>
      <c r="G358" s="134">
        <v>0</v>
      </c>
      <c r="H358" s="134">
        <f>SUM(C358:G358)</f>
        <v>2097</v>
      </c>
      <c r="I358" s="134">
        <v>-2097</v>
      </c>
      <c r="J358" s="134">
        <f>H358+I358</f>
        <v>0</v>
      </c>
      <c r="K358" s="134">
        <v>0</v>
      </c>
      <c r="L358" s="134">
        <v>0</v>
      </c>
      <c r="M358" s="134">
        <f>K358+L358</f>
        <v>0</v>
      </c>
      <c r="N358" s="134">
        <f>J358-M358</f>
        <v>0</v>
      </c>
    </row>
    <row r="359" spans="1:15" ht="16" thickBot="1" x14ac:dyDescent="0.4">
      <c r="A359" s="105" t="s">
        <v>605</v>
      </c>
      <c r="B359" s="133" t="s">
        <v>12</v>
      </c>
      <c r="C359" s="48">
        <f>SUBTOTAL(109,Program241[(C)
Program
Costs])</f>
        <v>2097</v>
      </c>
      <c r="D359" s="48">
        <f>SUBTOTAL(109,Program241[(D)
Prior Period Adjustments])</f>
        <v>0</v>
      </c>
      <c r="E359" s="48">
        <f>SUBTOTAL(109,Program241[(E)
Current Period Desk 
Reviews])</f>
        <v>0</v>
      </c>
      <c r="F359" s="48">
        <f>SUBTOTAL(109,Program241[(F)
Current Period 
Final 
Audits])</f>
        <v>0</v>
      </c>
      <c r="G359" s="48">
        <f>SUBTOTAL(109,Program241[(G)
Current Period 
Other Adjustments])</f>
        <v>0</v>
      </c>
      <c r="H359" s="48">
        <f>SUBTOTAL(109,Program241[(H)
Net Program Costs
Sum (C through G)])</f>
        <v>2097</v>
      </c>
      <c r="I359" s="48">
        <f>SUBTOTAL(109,Program241[(I)
Payments
 and Offsets])</f>
        <v>-2097</v>
      </c>
      <c r="J359" s="48">
        <f>SUBTOTAL(109,Program241[(J)
Accounts Payable Balance
(H + I)])</f>
        <v>0</v>
      </c>
      <c r="K359" s="48">
        <f>SUBTOTAL(109,Program241[(K)
Established 
Accounts Receivable])</f>
        <v>0</v>
      </c>
      <c r="L359" s="48">
        <f>SUBTOTAL(109,Program241[(L)
Recovered
 Accounts Receivable])</f>
        <v>0</v>
      </c>
      <c r="M359" s="48">
        <f>SUBTOTAL(109,Program241[(M)
Accounts Receivable Balance
(K + L)])</f>
        <v>0</v>
      </c>
      <c r="N359" s="48">
        <f>SUBTOTAL(109,Program241[(N)
Net Balance
(J minus M)])</f>
        <v>0</v>
      </c>
    </row>
    <row r="360" spans="1:15" x14ac:dyDescent="0.35">
      <c r="A360" s="116" t="s">
        <v>33</v>
      </c>
      <c r="B360" s="115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</row>
    <row r="361" spans="1:15" ht="77.5" x14ac:dyDescent="0.35">
      <c r="A361" s="60" t="s">
        <v>185</v>
      </c>
      <c r="B361" s="59" t="s">
        <v>184</v>
      </c>
      <c r="C361" s="58" t="s">
        <v>183</v>
      </c>
      <c r="D361" s="58" t="s">
        <v>182</v>
      </c>
      <c r="E361" s="56" t="s">
        <v>181</v>
      </c>
      <c r="F361" s="56" t="s">
        <v>180</v>
      </c>
      <c r="G361" s="56" t="s">
        <v>179</v>
      </c>
      <c r="H361" s="57" t="s">
        <v>674</v>
      </c>
      <c r="I361" s="55" t="s">
        <v>178</v>
      </c>
      <c r="J361" s="55" t="s">
        <v>177</v>
      </c>
      <c r="K361" s="56" t="s">
        <v>176</v>
      </c>
      <c r="L361" s="55" t="s">
        <v>175</v>
      </c>
      <c r="M361" s="55" t="s">
        <v>174</v>
      </c>
      <c r="N361" s="54" t="s">
        <v>173</v>
      </c>
    </row>
    <row r="362" spans="1:15" x14ac:dyDescent="0.35">
      <c r="A362" s="135" t="s">
        <v>639</v>
      </c>
      <c r="B362" s="108" t="s">
        <v>205</v>
      </c>
      <c r="C362" s="134">
        <v>1421</v>
      </c>
      <c r="D362" s="134">
        <v>0</v>
      </c>
      <c r="E362" s="134">
        <v>0</v>
      </c>
      <c r="F362" s="134">
        <v>0</v>
      </c>
      <c r="G362" s="134">
        <v>0</v>
      </c>
      <c r="H362" s="134">
        <f>SUM(C362:G362)</f>
        <v>1421</v>
      </c>
      <c r="I362" s="134">
        <v>0</v>
      </c>
      <c r="J362" s="134">
        <f>H362+I362</f>
        <v>1421</v>
      </c>
      <c r="K362" s="134">
        <v>0</v>
      </c>
      <c r="L362" s="134">
        <v>0</v>
      </c>
      <c r="M362" s="134">
        <f>K362+L362</f>
        <v>0</v>
      </c>
      <c r="N362" s="134">
        <f>J362-M362</f>
        <v>1421</v>
      </c>
    </row>
    <row r="363" spans="1:15" x14ac:dyDescent="0.35">
      <c r="A363" s="135" t="s">
        <v>639</v>
      </c>
      <c r="B363" s="108" t="s">
        <v>204</v>
      </c>
      <c r="C363" s="134">
        <v>2959</v>
      </c>
      <c r="D363" s="134">
        <v>0</v>
      </c>
      <c r="E363" s="134">
        <v>0</v>
      </c>
      <c r="F363" s="134">
        <v>0</v>
      </c>
      <c r="G363" s="134">
        <v>0</v>
      </c>
      <c r="H363" s="134">
        <f>SUM(C363:G363)</f>
        <v>2959</v>
      </c>
      <c r="I363" s="134">
        <v>-2959</v>
      </c>
      <c r="J363" s="134">
        <f>H363+I363</f>
        <v>0</v>
      </c>
      <c r="K363" s="134">
        <v>0</v>
      </c>
      <c r="L363" s="134">
        <v>0</v>
      </c>
      <c r="M363" s="134">
        <f>K363+L363</f>
        <v>0</v>
      </c>
      <c r="N363" s="134">
        <f>J363-M363</f>
        <v>0</v>
      </c>
    </row>
    <row r="364" spans="1:15" ht="16" thickBot="1" x14ac:dyDescent="0.4">
      <c r="A364" s="105" t="s">
        <v>604</v>
      </c>
      <c r="B364" s="133" t="s">
        <v>12</v>
      </c>
      <c r="C364" s="48">
        <f>SUBTOTAL(109,Program247[(C)
Program
Costs])</f>
        <v>4380</v>
      </c>
      <c r="D364" s="48">
        <f>SUBTOTAL(109,Program247[(D)
Prior Period Adjustments])</f>
        <v>0</v>
      </c>
      <c r="E364" s="48">
        <f>SUBTOTAL(107,Program247[(E)
Current Period Desk 
Reviews])</f>
        <v>0</v>
      </c>
      <c r="F364" s="48">
        <f>SUBTOTAL(109,Program247[(F)
Current Period 
Final 
Audits])</f>
        <v>0</v>
      </c>
      <c r="G364" s="48">
        <f>SUBTOTAL(109,Program247[(G)
Current Period 
Other Adjustments])</f>
        <v>0</v>
      </c>
      <c r="H364" s="48">
        <f>SUBTOTAL(109,Program247[(H)
Net Program Costs
Sum (C through G)])</f>
        <v>4380</v>
      </c>
      <c r="I364" s="48">
        <f>SUBTOTAL(109,Program247[(I)
Payments
 and Offsets])</f>
        <v>-2959</v>
      </c>
      <c r="J364" s="48">
        <f>SUBTOTAL(109,Program247[(J)
Accounts Payable Balance
(H + I)])</f>
        <v>1421</v>
      </c>
      <c r="K364" s="48">
        <f>SUBTOTAL(109,Program247[(K)
Established 
Accounts Receivable])</f>
        <v>0</v>
      </c>
      <c r="L364" s="48">
        <f>SUBTOTAL(109,Program247[(L)
Recovered
 Accounts Receivable])</f>
        <v>0</v>
      </c>
      <c r="M364" s="48">
        <f>SUBTOTAL(109,Program247[(M)
Accounts Receivable Balance
(K + L)])</f>
        <v>0</v>
      </c>
      <c r="N364" s="48">
        <f>SUBTOTAL(109,Program247[(N)
Net Balance
(J minus M)])</f>
        <v>1421</v>
      </c>
    </row>
    <row r="365" spans="1:15" x14ac:dyDescent="0.35">
      <c r="A365" s="116" t="s">
        <v>33</v>
      </c>
      <c r="B365" s="115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</row>
    <row r="366" spans="1:15" ht="77.5" x14ac:dyDescent="0.35">
      <c r="A366" s="60" t="s">
        <v>185</v>
      </c>
      <c r="B366" s="59" t="s">
        <v>184</v>
      </c>
      <c r="C366" s="58" t="s">
        <v>183</v>
      </c>
      <c r="D366" s="58" t="s">
        <v>182</v>
      </c>
      <c r="E366" s="56" t="s">
        <v>181</v>
      </c>
      <c r="F366" s="56" t="s">
        <v>180</v>
      </c>
      <c r="G366" s="56" t="s">
        <v>179</v>
      </c>
      <c r="H366" s="57" t="s">
        <v>674</v>
      </c>
      <c r="I366" s="55" t="s">
        <v>178</v>
      </c>
      <c r="J366" s="55" t="s">
        <v>177</v>
      </c>
      <c r="K366" s="56" t="s">
        <v>176</v>
      </c>
      <c r="L366" s="55" t="s">
        <v>175</v>
      </c>
      <c r="M366" s="55" t="s">
        <v>174</v>
      </c>
      <c r="N366" s="54" t="s">
        <v>173</v>
      </c>
    </row>
    <row r="367" spans="1:15" x14ac:dyDescent="0.35">
      <c r="A367" s="135" t="s">
        <v>638</v>
      </c>
      <c r="B367" s="108" t="s">
        <v>205</v>
      </c>
      <c r="C367" s="134">
        <v>1170</v>
      </c>
      <c r="D367" s="134">
        <v>0</v>
      </c>
      <c r="E367" s="134">
        <v>0</v>
      </c>
      <c r="F367" s="134">
        <v>0</v>
      </c>
      <c r="G367" s="134">
        <v>0</v>
      </c>
      <c r="H367" s="134">
        <f>SUM(C367:G367)</f>
        <v>1170</v>
      </c>
      <c r="I367" s="134">
        <v>0</v>
      </c>
      <c r="J367" s="134">
        <f>H367+I367</f>
        <v>1170</v>
      </c>
      <c r="K367" s="134">
        <v>0</v>
      </c>
      <c r="L367" s="134">
        <v>0</v>
      </c>
      <c r="M367" s="134">
        <f>K367+L367</f>
        <v>0</v>
      </c>
      <c r="N367" s="134">
        <f>J367-M367</f>
        <v>1170</v>
      </c>
    </row>
    <row r="368" spans="1:15" ht="16" thickBot="1" x14ac:dyDescent="0.4">
      <c r="A368" s="105" t="s">
        <v>603</v>
      </c>
      <c r="B368" s="133" t="s">
        <v>12</v>
      </c>
      <c r="C368" s="48">
        <f>SUBTOTAL(109,Program307[(C)
Program
Costs])</f>
        <v>1170</v>
      </c>
      <c r="D368" s="48">
        <f>SUBTOTAL(109,Program307[(D)
Prior Period Adjustments])</f>
        <v>0</v>
      </c>
      <c r="E368" s="48">
        <f>SUBTOTAL(109,Program307[(E)
Current Period Desk 
Reviews])</f>
        <v>0</v>
      </c>
      <c r="F368" s="48">
        <f>SUBTOTAL(109,Program307[(F)
Current Period 
Final 
Audits])</f>
        <v>0</v>
      </c>
      <c r="G368" s="48">
        <f>SUBTOTAL(109,Program307[(G)
Current Period 
Other Adjustments])</f>
        <v>0</v>
      </c>
      <c r="H368" s="48">
        <f>SUBTOTAL(109,Program307[(H)
Net Program Costs
Sum (C through G)])</f>
        <v>1170</v>
      </c>
      <c r="I368" s="48">
        <f>SUBTOTAL(109,Program307[(I)
Payments
 and Offsets])</f>
        <v>0</v>
      </c>
      <c r="J368" s="48">
        <f>SUBTOTAL(109,Program307[(J)
Accounts Payable Balance
(H + I)])</f>
        <v>1170</v>
      </c>
      <c r="K368" s="48">
        <f>SUBTOTAL(109,Program307[(K)
Established 
Accounts Receivable])</f>
        <v>0</v>
      </c>
      <c r="L368" s="48">
        <f>SUBTOTAL(109,Program307[(L)
Recovered
 Accounts Receivable])</f>
        <v>0</v>
      </c>
      <c r="M368" s="48">
        <f>SUBTOTAL(109,Program307[(M)
Accounts Receivable Balance
(K + L)])</f>
        <v>0</v>
      </c>
      <c r="N368" s="48">
        <f>SUBTOTAL(109,Program307[(N)
Net Balance
(J minus M)])</f>
        <v>1170</v>
      </c>
    </row>
    <row r="369" spans="1:14" x14ac:dyDescent="0.35">
      <c r="A369" s="116" t="s">
        <v>33</v>
      </c>
      <c r="B369" s="115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</row>
    <row r="370" spans="1:14" ht="77.5" x14ac:dyDescent="0.35">
      <c r="A370" s="60" t="s">
        <v>185</v>
      </c>
      <c r="B370" s="59" t="s">
        <v>184</v>
      </c>
      <c r="C370" s="58" t="s">
        <v>183</v>
      </c>
      <c r="D370" s="58" t="s">
        <v>182</v>
      </c>
      <c r="E370" s="56" t="s">
        <v>181</v>
      </c>
      <c r="F370" s="56" t="s">
        <v>180</v>
      </c>
      <c r="G370" s="56" t="s">
        <v>179</v>
      </c>
      <c r="H370" s="57" t="s">
        <v>674</v>
      </c>
      <c r="I370" s="55" t="s">
        <v>178</v>
      </c>
      <c r="J370" s="55" t="s">
        <v>177</v>
      </c>
      <c r="K370" s="56" t="s">
        <v>176</v>
      </c>
      <c r="L370" s="55" t="s">
        <v>175</v>
      </c>
      <c r="M370" s="55" t="s">
        <v>174</v>
      </c>
      <c r="N370" s="54" t="s">
        <v>173</v>
      </c>
    </row>
    <row r="371" spans="1:14" x14ac:dyDescent="0.35">
      <c r="A371" s="135" t="s">
        <v>637</v>
      </c>
      <c r="B371" s="108" t="s">
        <v>208</v>
      </c>
      <c r="C371" s="134">
        <v>764793</v>
      </c>
      <c r="D371" s="134">
        <v>-58885</v>
      </c>
      <c r="E371" s="134">
        <v>0</v>
      </c>
      <c r="F371" s="134">
        <v>0</v>
      </c>
      <c r="G371" s="134">
        <v>0</v>
      </c>
      <c r="H371" s="134">
        <f t="shared" ref="H371:H381" si="76">SUM(C371:G371)</f>
        <v>705908</v>
      </c>
      <c r="I371" s="134">
        <v>-664522</v>
      </c>
      <c r="J371" s="134">
        <f t="shared" ref="J371:J381" si="77">H371+I371</f>
        <v>41386</v>
      </c>
      <c r="K371" s="134">
        <v>0</v>
      </c>
      <c r="L371" s="134">
        <v>0</v>
      </c>
      <c r="M371" s="134">
        <f t="shared" ref="M371:M381" si="78">K371+L371</f>
        <v>0</v>
      </c>
      <c r="N371" s="134">
        <f t="shared" ref="N371:N381" si="79">J371-M371</f>
        <v>41386</v>
      </c>
    </row>
    <row r="372" spans="1:14" x14ac:dyDescent="0.35">
      <c r="A372" s="135" t="s">
        <v>637</v>
      </c>
      <c r="B372" s="108" t="s">
        <v>206</v>
      </c>
      <c r="C372" s="134">
        <v>1002163</v>
      </c>
      <c r="D372" s="134">
        <v>-87104</v>
      </c>
      <c r="E372" s="134">
        <v>0</v>
      </c>
      <c r="F372" s="134">
        <v>0</v>
      </c>
      <c r="G372" s="134">
        <v>0</v>
      </c>
      <c r="H372" s="134">
        <f t="shared" si="76"/>
        <v>915059</v>
      </c>
      <c r="I372" s="134">
        <v>-873666</v>
      </c>
      <c r="J372" s="134">
        <f t="shared" si="77"/>
        <v>41393</v>
      </c>
      <c r="K372" s="134">
        <v>0</v>
      </c>
      <c r="L372" s="134">
        <v>0</v>
      </c>
      <c r="M372" s="134">
        <f t="shared" si="78"/>
        <v>0</v>
      </c>
      <c r="N372" s="134">
        <f t="shared" si="79"/>
        <v>41393</v>
      </c>
    </row>
    <row r="373" spans="1:14" x14ac:dyDescent="0.35">
      <c r="A373" s="135" t="s">
        <v>637</v>
      </c>
      <c r="B373" s="108" t="s">
        <v>205</v>
      </c>
      <c r="C373" s="134">
        <v>763416</v>
      </c>
      <c r="D373" s="134">
        <v>-61038</v>
      </c>
      <c r="E373" s="134">
        <v>0</v>
      </c>
      <c r="F373" s="134">
        <v>0</v>
      </c>
      <c r="G373" s="134">
        <v>0</v>
      </c>
      <c r="H373" s="134">
        <f t="shared" si="76"/>
        <v>702378</v>
      </c>
      <c r="I373" s="134">
        <v>-684557</v>
      </c>
      <c r="J373" s="134">
        <f t="shared" si="77"/>
        <v>17821</v>
      </c>
      <c r="K373" s="134">
        <v>0</v>
      </c>
      <c r="L373" s="134">
        <v>0</v>
      </c>
      <c r="M373" s="134">
        <f t="shared" si="78"/>
        <v>0</v>
      </c>
      <c r="N373" s="134">
        <f t="shared" si="79"/>
        <v>17821</v>
      </c>
    </row>
    <row r="374" spans="1:14" x14ac:dyDescent="0.35">
      <c r="A374" s="135" t="s">
        <v>637</v>
      </c>
      <c r="B374" s="108" t="s">
        <v>204</v>
      </c>
      <c r="C374" s="134">
        <v>643072</v>
      </c>
      <c r="D374" s="134">
        <v>-557</v>
      </c>
      <c r="E374" s="134">
        <v>0</v>
      </c>
      <c r="F374" s="134">
        <v>0</v>
      </c>
      <c r="G374" s="134">
        <v>0</v>
      </c>
      <c r="H374" s="134">
        <f t="shared" si="76"/>
        <v>642515</v>
      </c>
      <c r="I374" s="134">
        <v>-637504</v>
      </c>
      <c r="J374" s="134">
        <f t="shared" si="77"/>
        <v>5011</v>
      </c>
      <c r="K374" s="134">
        <v>0</v>
      </c>
      <c r="L374" s="134">
        <v>0</v>
      </c>
      <c r="M374" s="134">
        <f t="shared" si="78"/>
        <v>0</v>
      </c>
      <c r="N374" s="134">
        <f t="shared" si="79"/>
        <v>5011</v>
      </c>
    </row>
    <row r="375" spans="1:14" x14ac:dyDescent="0.35">
      <c r="A375" s="135" t="s">
        <v>637</v>
      </c>
      <c r="B375" s="108" t="s">
        <v>203</v>
      </c>
      <c r="C375" s="134">
        <v>827623</v>
      </c>
      <c r="D375" s="134">
        <v>-2154</v>
      </c>
      <c r="E375" s="134">
        <v>0</v>
      </c>
      <c r="F375" s="134">
        <v>0</v>
      </c>
      <c r="G375" s="134">
        <v>0</v>
      </c>
      <c r="H375" s="134">
        <f t="shared" si="76"/>
        <v>825469</v>
      </c>
      <c r="I375" s="134">
        <v>-820584</v>
      </c>
      <c r="J375" s="134">
        <f t="shared" si="77"/>
        <v>4885</v>
      </c>
      <c r="K375" s="134">
        <v>0</v>
      </c>
      <c r="L375" s="134">
        <v>0</v>
      </c>
      <c r="M375" s="134">
        <f t="shared" si="78"/>
        <v>0</v>
      </c>
      <c r="N375" s="134">
        <f t="shared" si="79"/>
        <v>4885</v>
      </c>
    </row>
    <row r="376" spans="1:14" x14ac:dyDescent="0.35">
      <c r="A376" s="135" t="s">
        <v>637</v>
      </c>
      <c r="B376" s="108" t="s">
        <v>202</v>
      </c>
      <c r="C376" s="134">
        <v>822073</v>
      </c>
      <c r="D376" s="134">
        <v>-81964</v>
      </c>
      <c r="E376" s="134">
        <v>0</v>
      </c>
      <c r="F376" s="134">
        <v>0</v>
      </c>
      <c r="G376" s="134">
        <v>0</v>
      </c>
      <c r="H376" s="134">
        <f t="shared" si="76"/>
        <v>740109</v>
      </c>
      <c r="I376" s="134">
        <v>-740109</v>
      </c>
      <c r="J376" s="134">
        <f t="shared" si="77"/>
        <v>0</v>
      </c>
      <c r="K376" s="134">
        <v>0</v>
      </c>
      <c r="L376" s="134">
        <v>0</v>
      </c>
      <c r="M376" s="134">
        <f t="shared" si="78"/>
        <v>0</v>
      </c>
      <c r="N376" s="134">
        <f t="shared" si="79"/>
        <v>0</v>
      </c>
    </row>
    <row r="377" spans="1:14" x14ac:dyDescent="0.35">
      <c r="A377" s="135" t="s">
        <v>637</v>
      </c>
      <c r="B377" s="108" t="s">
        <v>201</v>
      </c>
      <c r="C377" s="134">
        <v>771698</v>
      </c>
      <c r="D377" s="134">
        <v>-73955</v>
      </c>
      <c r="E377" s="134">
        <v>0</v>
      </c>
      <c r="F377" s="134">
        <v>0</v>
      </c>
      <c r="G377" s="134">
        <v>0</v>
      </c>
      <c r="H377" s="134">
        <f t="shared" si="76"/>
        <v>697743</v>
      </c>
      <c r="I377" s="134">
        <v>-697743</v>
      </c>
      <c r="J377" s="134">
        <f t="shared" si="77"/>
        <v>0</v>
      </c>
      <c r="K377" s="134">
        <v>0</v>
      </c>
      <c r="L377" s="134">
        <v>0</v>
      </c>
      <c r="M377" s="134">
        <f t="shared" si="78"/>
        <v>0</v>
      </c>
      <c r="N377" s="134">
        <f t="shared" si="79"/>
        <v>0</v>
      </c>
    </row>
    <row r="378" spans="1:14" x14ac:dyDescent="0.35">
      <c r="A378" s="135" t="s">
        <v>637</v>
      </c>
      <c r="B378" s="108" t="s">
        <v>200</v>
      </c>
      <c r="C378" s="134">
        <v>678479</v>
      </c>
      <c r="D378" s="134">
        <v>-55285</v>
      </c>
      <c r="E378" s="134">
        <v>0</v>
      </c>
      <c r="F378" s="134">
        <v>0</v>
      </c>
      <c r="G378" s="134">
        <v>0</v>
      </c>
      <c r="H378" s="134">
        <f t="shared" si="76"/>
        <v>623194</v>
      </c>
      <c r="I378" s="134">
        <v>-623194</v>
      </c>
      <c r="J378" s="134">
        <f t="shared" si="77"/>
        <v>0</v>
      </c>
      <c r="K378" s="134">
        <v>0</v>
      </c>
      <c r="L378" s="134">
        <v>0</v>
      </c>
      <c r="M378" s="134">
        <f t="shared" si="78"/>
        <v>0</v>
      </c>
      <c r="N378" s="134">
        <f t="shared" si="79"/>
        <v>0</v>
      </c>
    </row>
    <row r="379" spans="1:14" x14ac:dyDescent="0.35">
      <c r="A379" s="135" t="s">
        <v>637</v>
      </c>
      <c r="B379" s="108" t="s">
        <v>199</v>
      </c>
      <c r="C379" s="134">
        <v>629680</v>
      </c>
      <c r="D379" s="134">
        <v>-61353</v>
      </c>
      <c r="E379" s="134">
        <v>0</v>
      </c>
      <c r="F379" s="134">
        <v>0</v>
      </c>
      <c r="G379" s="134">
        <v>0</v>
      </c>
      <c r="H379" s="134">
        <f t="shared" si="76"/>
        <v>568327</v>
      </c>
      <c r="I379" s="134">
        <v>-568327</v>
      </c>
      <c r="J379" s="134">
        <f t="shared" si="77"/>
        <v>0</v>
      </c>
      <c r="K379" s="134">
        <v>0</v>
      </c>
      <c r="L379" s="134">
        <v>0</v>
      </c>
      <c r="M379" s="134">
        <f t="shared" si="78"/>
        <v>0</v>
      </c>
      <c r="N379" s="134">
        <f t="shared" si="79"/>
        <v>0</v>
      </c>
    </row>
    <row r="380" spans="1:14" x14ac:dyDescent="0.35">
      <c r="A380" s="135" t="s">
        <v>637</v>
      </c>
      <c r="B380" s="108" t="s">
        <v>198</v>
      </c>
      <c r="C380" s="134">
        <v>571810</v>
      </c>
      <c r="D380" s="134">
        <v>-41901</v>
      </c>
      <c r="E380" s="134">
        <v>0</v>
      </c>
      <c r="F380" s="134">
        <v>0</v>
      </c>
      <c r="G380" s="134">
        <v>0</v>
      </c>
      <c r="H380" s="134">
        <f t="shared" si="76"/>
        <v>529909</v>
      </c>
      <c r="I380" s="134">
        <v>-529909</v>
      </c>
      <c r="J380" s="134">
        <f t="shared" si="77"/>
        <v>0</v>
      </c>
      <c r="K380" s="134">
        <v>0</v>
      </c>
      <c r="L380" s="134">
        <v>0</v>
      </c>
      <c r="M380" s="134">
        <f t="shared" si="78"/>
        <v>0</v>
      </c>
      <c r="N380" s="134">
        <f t="shared" si="79"/>
        <v>0</v>
      </c>
    </row>
    <row r="381" spans="1:14" x14ac:dyDescent="0.35">
      <c r="A381" s="135" t="s">
        <v>637</v>
      </c>
      <c r="B381" s="108" t="s">
        <v>197</v>
      </c>
      <c r="C381" s="134">
        <v>475547</v>
      </c>
      <c r="D381" s="134">
        <v>-51017</v>
      </c>
      <c r="E381" s="134">
        <v>0</v>
      </c>
      <c r="F381" s="134">
        <v>0</v>
      </c>
      <c r="G381" s="134">
        <v>0</v>
      </c>
      <c r="H381" s="134">
        <f t="shared" si="76"/>
        <v>424530</v>
      </c>
      <c r="I381" s="134">
        <v>-424530</v>
      </c>
      <c r="J381" s="134">
        <f t="shared" si="77"/>
        <v>0</v>
      </c>
      <c r="K381" s="134">
        <v>0</v>
      </c>
      <c r="L381" s="134">
        <v>0</v>
      </c>
      <c r="M381" s="134">
        <f t="shared" si="78"/>
        <v>0</v>
      </c>
      <c r="N381" s="134">
        <f t="shared" si="79"/>
        <v>0</v>
      </c>
    </row>
    <row r="382" spans="1:14" ht="16" thickBot="1" x14ac:dyDescent="0.4">
      <c r="A382" s="105" t="s">
        <v>602</v>
      </c>
      <c r="B382" s="133" t="s">
        <v>12</v>
      </c>
      <c r="C382" s="78">
        <f>SUBTOTAL(109,Program301[(C)
Program
Costs])</f>
        <v>7950354</v>
      </c>
      <c r="D382" s="78">
        <f>SUBTOTAL(109,Program301[(D)
Prior Period Adjustments])</f>
        <v>-575213</v>
      </c>
      <c r="E382" s="78">
        <f>SUBTOTAL(109,Program301[(E)
Current Period Desk 
Reviews])</f>
        <v>0</v>
      </c>
      <c r="F382" s="78">
        <f>SUBTOTAL(109,Program301[(F)
Current Period 
Final 
Audits])</f>
        <v>0</v>
      </c>
      <c r="G382" s="78">
        <f>SUBTOTAL(109,Program301[(G)
Current Period 
Other Adjustments])</f>
        <v>0</v>
      </c>
      <c r="H382" s="78">
        <f>SUBTOTAL(109,Program301[(H)
Net Program Costs
Sum (C through G)])</f>
        <v>7375141</v>
      </c>
      <c r="I382" s="78">
        <f>SUBTOTAL(109,Program301[(I)
Payments
 and Offsets])</f>
        <v>-7264645</v>
      </c>
      <c r="J382" s="78">
        <f>SUBTOTAL(109,Program301[(J)
Accounts Payable Balance
(H + I)])</f>
        <v>110496</v>
      </c>
      <c r="K382" s="78">
        <f>SUBTOTAL(109,Program301[(K)
Established 
Accounts Receivable])</f>
        <v>0</v>
      </c>
      <c r="L382" s="78">
        <f>SUBTOTAL(109,Program301[(L)
Recovered
 Accounts Receivable])</f>
        <v>0</v>
      </c>
      <c r="M382" s="78">
        <f>SUBTOTAL(109,Program301[(M)
Accounts Receivable Balance
(K + L)])</f>
        <v>0</v>
      </c>
      <c r="N382" s="78">
        <f>SUBTOTAL(109,Program301[(N)
Net Balance
(J minus M)])</f>
        <v>110496</v>
      </c>
    </row>
    <row r="383" spans="1:14" x14ac:dyDescent="0.35">
      <c r="A383" s="116" t="s">
        <v>33</v>
      </c>
      <c r="B383" s="115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</row>
    <row r="384" spans="1:14" ht="77.5" x14ac:dyDescent="0.35">
      <c r="A384" s="60" t="s">
        <v>185</v>
      </c>
      <c r="B384" s="59" t="s">
        <v>184</v>
      </c>
      <c r="C384" s="58" t="s">
        <v>183</v>
      </c>
      <c r="D384" s="58" t="s">
        <v>182</v>
      </c>
      <c r="E384" s="56" t="s">
        <v>181</v>
      </c>
      <c r="F384" s="56" t="s">
        <v>180</v>
      </c>
      <c r="G384" s="56" t="s">
        <v>179</v>
      </c>
      <c r="H384" s="57" t="s">
        <v>674</v>
      </c>
      <c r="I384" s="55" t="s">
        <v>178</v>
      </c>
      <c r="J384" s="55" t="s">
        <v>177</v>
      </c>
      <c r="K384" s="56" t="s">
        <v>176</v>
      </c>
      <c r="L384" s="55" t="s">
        <v>175</v>
      </c>
      <c r="M384" s="55" t="s">
        <v>174</v>
      </c>
      <c r="N384" s="54" t="s">
        <v>173</v>
      </c>
    </row>
    <row r="385" spans="1:14" x14ac:dyDescent="0.35">
      <c r="A385" s="70" t="s">
        <v>636</v>
      </c>
      <c r="B385" s="131" t="s">
        <v>12</v>
      </c>
      <c r="C385" s="142">
        <v>683144</v>
      </c>
      <c r="D385" s="142">
        <v>-1651</v>
      </c>
      <c r="E385" s="143">
        <v>0</v>
      </c>
      <c r="F385" s="143">
        <v>0</v>
      </c>
      <c r="G385" s="143">
        <v>0</v>
      </c>
      <c r="H385" s="144">
        <v>681493</v>
      </c>
      <c r="I385" s="145">
        <v>-681493</v>
      </c>
      <c r="J385" s="145">
        <v>0</v>
      </c>
      <c r="K385" s="143">
        <v>142884</v>
      </c>
      <c r="L385" s="145">
        <v>-142884</v>
      </c>
      <c r="M385" s="145">
        <v>0</v>
      </c>
      <c r="N385" s="145">
        <v>0</v>
      </c>
    </row>
    <row r="386" spans="1:14" x14ac:dyDescent="0.35">
      <c r="A386" s="70" t="s">
        <v>635</v>
      </c>
      <c r="B386" s="131" t="s">
        <v>12</v>
      </c>
      <c r="C386" s="142">
        <v>650768</v>
      </c>
      <c r="D386" s="142">
        <v>-35315</v>
      </c>
      <c r="E386" s="143">
        <v>0</v>
      </c>
      <c r="F386" s="143">
        <v>0</v>
      </c>
      <c r="G386" s="143">
        <v>0</v>
      </c>
      <c r="H386" s="144">
        <v>615453</v>
      </c>
      <c r="I386" s="145">
        <v>-611027</v>
      </c>
      <c r="J386" s="145">
        <v>4426</v>
      </c>
      <c r="K386" s="143">
        <v>0</v>
      </c>
      <c r="L386" s="145">
        <v>0</v>
      </c>
      <c r="M386" s="145">
        <v>0</v>
      </c>
      <c r="N386" s="145">
        <v>4426</v>
      </c>
    </row>
    <row r="387" spans="1:14" x14ac:dyDescent="0.35">
      <c r="A387" s="70" t="s">
        <v>634</v>
      </c>
      <c r="B387" s="131" t="s">
        <v>12</v>
      </c>
      <c r="C387" s="142">
        <v>233058</v>
      </c>
      <c r="D387" s="142">
        <v>-15578</v>
      </c>
      <c r="E387" s="143">
        <v>0</v>
      </c>
      <c r="F387" s="143">
        <v>0</v>
      </c>
      <c r="G387" s="143">
        <v>0</v>
      </c>
      <c r="H387" s="144">
        <v>217480</v>
      </c>
      <c r="I387" s="145">
        <v>-212319</v>
      </c>
      <c r="J387" s="145">
        <v>5161</v>
      </c>
      <c r="K387" s="143">
        <v>0</v>
      </c>
      <c r="L387" s="145">
        <v>0</v>
      </c>
      <c r="M387" s="145">
        <v>0</v>
      </c>
      <c r="N387" s="145">
        <v>5161</v>
      </c>
    </row>
    <row r="388" spans="1:14" x14ac:dyDescent="0.35">
      <c r="A388" s="70" t="s">
        <v>633</v>
      </c>
      <c r="B388" s="131" t="s">
        <v>12</v>
      </c>
      <c r="C388" s="142">
        <v>190979</v>
      </c>
      <c r="D388" s="142">
        <v>-12651</v>
      </c>
      <c r="E388" s="143">
        <v>0</v>
      </c>
      <c r="F388" s="143">
        <v>0</v>
      </c>
      <c r="G388" s="143">
        <v>0</v>
      </c>
      <c r="H388" s="144">
        <v>178328</v>
      </c>
      <c r="I388" s="145">
        <v>-107001</v>
      </c>
      <c r="J388" s="145">
        <v>71327</v>
      </c>
      <c r="K388" s="143">
        <v>0</v>
      </c>
      <c r="L388" s="145">
        <v>0</v>
      </c>
      <c r="M388" s="145">
        <v>0</v>
      </c>
      <c r="N388" s="145">
        <v>71327</v>
      </c>
    </row>
    <row r="389" spans="1:14" x14ac:dyDescent="0.35">
      <c r="A389" s="70" t="s">
        <v>632</v>
      </c>
      <c r="B389" s="131" t="s">
        <v>12</v>
      </c>
      <c r="C389" s="142">
        <v>591402</v>
      </c>
      <c r="D389" s="142">
        <v>-8550</v>
      </c>
      <c r="E389" s="143">
        <v>0</v>
      </c>
      <c r="F389" s="143">
        <v>0</v>
      </c>
      <c r="G389" s="143">
        <v>0</v>
      </c>
      <c r="H389" s="144">
        <v>582852</v>
      </c>
      <c r="I389" s="145">
        <v>-574109</v>
      </c>
      <c r="J389" s="145">
        <v>8743</v>
      </c>
      <c r="K389" s="143">
        <v>0</v>
      </c>
      <c r="L389" s="145">
        <v>0</v>
      </c>
      <c r="M389" s="145">
        <v>0</v>
      </c>
      <c r="N389" s="145">
        <v>8743</v>
      </c>
    </row>
    <row r="390" spans="1:14" x14ac:dyDescent="0.35">
      <c r="A390" s="70" t="s">
        <v>631</v>
      </c>
      <c r="B390" s="131" t="s">
        <v>12</v>
      </c>
      <c r="C390" s="142">
        <v>99246984</v>
      </c>
      <c r="D390" s="142">
        <v>-8781876</v>
      </c>
      <c r="E390" s="143">
        <v>0</v>
      </c>
      <c r="F390" s="143">
        <v>0</v>
      </c>
      <c r="G390" s="143">
        <v>0</v>
      </c>
      <c r="H390" s="144">
        <v>90465108</v>
      </c>
      <c r="I390" s="145">
        <v>-88949031</v>
      </c>
      <c r="J390" s="145">
        <v>1516077</v>
      </c>
      <c r="K390" s="143">
        <v>3374112</v>
      </c>
      <c r="L390" s="145">
        <v>-3111328</v>
      </c>
      <c r="M390" s="145">
        <v>262784</v>
      </c>
      <c r="N390" s="145">
        <v>1253293</v>
      </c>
    </row>
    <row r="391" spans="1:14" x14ac:dyDescent="0.35">
      <c r="A391" s="70" t="s">
        <v>630</v>
      </c>
      <c r="B391" s="131" t="s">
        <v>12</v>
      </c>
      <c r="C391" s="142">
        <v>652112</v>
      </c>
      <c r="D391" s="142">
        <v>-34819</v>
      </c>
      <c r="E391" s="143">
        <v>0</v>
      </c>
      <c r="F391" s="143">
        <v>0</v>
      </c>
      <c r="G391" s="143">
        <v>0</v>
      </c>
      <c r="H391" s="144">
        <v>617293</v>
      </c>
      <c r="I391" s="145">
        <v>-393768</v>
      </c>
      <c r="J391" s="145">
        <v>223525</v>
      </c>
      <c r="K391" s="143">
        <v>0</v>
      </c>
      <c r="L391" s="145">
        <v>0</v>
      </c>
      <c r="M391" s="145">
        <v>0</v>
      </c>
      <c r="N391" s="145">
        <v>223525</v>
      </c>
    </row>
    <row r="392" spans="1:14" x14ac:dyDescent="0.35">
      <c r="A392" s="70" t="s">
        <v>629</v>
      </c>
      <c r="B392" s="131" t="s">
        <v>12</v>
      </c>
      <c r="C392" s="142">
        <v>337813</v>
      </c>
      <c r="D392" s="142">
        <v>0</v>
      </c>
      <c r="E392" s="143">
        <v>0</v>
      </c>
      <c r="F392" s="143">
        <v>0</v>
      </c>
      <c r="G392" s="143">
        <v>0</v>
      </c>
      <c r="H392" s="144">
        <v>337813</v>
      </c>
      <c r="I392" s="145">
        <v>-337813</v>
      </c>
      <c r="J392" s="145">
        <v>0</v>
      </c>
      <c r="K392" s="143">
        <v>0</v>
      </c>
      <c r="L392" s="145">
        <v>0</v>
      </c>
      <c r="M392" s="145">
        <v>0</v>
      </c>
      <c r="N392" s="145">
        <v>0</v>
      </c>
    </row>
    <row r="393" spans="1:14" x14ac:dyDescent="0.35">
      <c r="A393" s="70" t="s">
        <v>628</v>
      </c>
      <c r="B393" s="131" t="s">
        <v>12</v>
      </c>
      <c r="C393" s="142">
        <v>359825</v>
      </c>
      <c r="D393" s="142">
        <v>0</v>
      </c>
      <c r="E393" s="143">
        <v>0</v>
      </c>
      <c r="F393" s="143">
        <v>0</v>
      </c>
      <c r="G393" s="143">
        <v>0</v>
      </c>
      <c r="H393" s="144">
        <v>359825</v>
      </c>
      <c r="I393" s="145">
        <v>-359825</v>
      </c>
      <c r="J393" s="145">
        <v>0</v>
      </c>
      <c r="K393" s="143">
        <v>0</v>
      </c>
      <c r="L393" s="145">
        <v>0</v>
      </c>
      <c r="M393" s="145">
        <v>0</v>
      </c>
      <c r="N393" s="145">
        <v>0</v>
      </c>
    </row>
    <row r="394" spans="1:14" x14ac:dyDescent="0.35">
      <c r="A394" s="70" t="s">
        <v>627</v>
      </c>
      <c r="B394" s="131" t="s">
        <v>12</v>
      </c>
      <c r="C394" s="142">
        <v>5349570</v>
      </c>
      <c r="D394" s="142">
        <v>0</v>
      </c>
      <c r="E394" s="143">
        <v>0</v>
      </c>
      <c r="F394" s="143">
        <v>0</v>
      </c>
      <c r="G394" s="143">
        <v>0</v>
      </c>
      <c r="H394" s="144">
        <v>5349570</v>
      </c>
      <c r="I394" s="145">
        <v>-4001302</v>
      </c>
      <c r="J394" s="145">
        <v>1348268</v>
      </c>
      <c r="K394" s="143">
        <v>0</v>
      </c>
      <c r="L394" s="145">
        <v>0</v>
      </c>
      <c r="M394" s="145">
        <v>0</v>
      </c>
      <c r="N394" s="145">
        <v>1348268</v>
      </c>
    </row>
    <row r="395" spans="1:14" x14ac:dyDescent="0.35">
      <c r="A395" s="70" t="s">
        <v>626</v>
      </c>
      <c r="B395" s="131" t="s">
        <v>12</v>
      </c>
      <c r="C395" s="142">
        <v>59447</v>
      </c>
      <c r="D395" s="142">
        <v>0</v>
      </c>
      <c r="E395" s="143">
        <v>0</v>
      </c>
      <c r="F395" s="143">
        <v>0</v>
      </c>
      <c r="G395" s="143">
        <v>0</v>
      </c>
      <c r="H395" s="144">
        <v>59447</v>
      </c>
      <c r="I395" s="145">
        <v>-59447</v>
      </c>
      <c r="J395" s="145">
        <v>0</v>
      </c>
      <c r="K395" s="143">
        <v>0</v>
      </c>
      <c r="L395" s="145">
        <v>0</v>
      </c>
      <c r="M395" s="145">
        <v>0</v>
      </c>
      <c r="N395" s="145">
        <v>0</v>
      </c>
    </row>
    <row r="396" spans="1:14" x14ac:dyDescent="0.35">
      <c r="A396" s="70" t="s">
        <v>625</v>
      </c>
      <c r="B396" s="131" t="s">
        <v>12</v>
      </c>
      <c r="C396" s="142">
        <v>2714109</v>
      </c>
      <c r="D396" s="142">
        <v>0</v>
      </c>
      <c r="E396" s="143">
        <v>0</v>
      </c>
      <c r="F396" s="143">
        <v>0</v>
      </c>
      <c r="G396" s="143">
        <v>0</v>
      </c>
      <c r="H396" s="144">
        <v>2714109</v>
      </c>
      <c r="I396" s="145">
        <v>-2714109</v>
      </c>
      <c r="J396" s="145">
        <v>0</v>
      </c>
      <c r="K396" s="143">
        <v>0</v>
      </c>
      <c r="L396" s="145">
        <v>0</v>
      </c>
      <c r="M396" s="145">
        <v>0</v>
      </c>
      <c r="N396" s="145">
        <v>0</v>
      </c>
    </row>
    <row r="397" spans="1:14" x14ac:dyDescent="0.35">
      <c r="A397" s="70" t="s">
        <v>624</v>
      </c>
      <c r="B397" s="131" t="s">
        <v>12</v>
      </c>
      <c r="C397" s="142">
        <v>266850110</v>
      </c>
      <c r="D397" s="142">
        <v>-185104511</v>
      </c>
      <c r="E397" s="143">
        <v>0</v>
      </c>
      <c r="F397" s="143">
        <v>0</v>
      </c>
      <c r="G397" s="143">
        <v>0</v>
      </c>
      <c r="H397" s="144">
        <v>81745599</v>
      </c>
      <c r="I397" s="145">
        <v>-76102453</v>
      </c>
      <c r="J397" s="145">
        <v>5643146</v>
      </c>
      <c r="K397" s="143">
        <v>8794865</v>
      </c>
      <c r="L397" s="145">
        <v>-4514984</v>
      </c>
      <c r="M397" s="145">
        <v>4279881</v>
      </c>
      <c r="N397" s="145">
        <v>1363265</v>
      </c>
    </row>
    <row r="398" spans="1:14" x14ac:dyDescent="0.35">
      <c r="A398" s="70" t="s">
        <v>623</v>
      </c>
      <c r="B398" s="131" t="s">
        <v>12</v>
      </c>
      <c r="C398" s="142">
        <v>35071</v>
      </c>
      <c r="D398" s="142">
        <v>-216</v>
      </c>
      <c r="E398" s="143">
        <v>0</v>
      </c>
      <c r="F398" s="143">
        <v>0</v>
      </c>
      <c r="G398" s="143">
        <v>0</v>
      </c>
      <c r="H398" s="144">
        <v>34855</v>
      </c>
      <c r="I398" s="145">
        <v>-34855</v>
      </c>
      <c r="J398" s="145">
        <v>0</v>
      </c>
      <c r="K398" s="143">
        <v>0</v>
      </c>
      <c r="L398" s="145">
        <v>0</v>
      </c>
      <c r="M398" s="145">
        <v>0</v>
      </c>
      <c r="N398" s="145">
        <v>0</v>
      </c>
    </row>
    <row r="399" spans="1:14" x14ac:dyDescent="0.35">
      <c r="A399" s="70" t="s">
        <v>622</v>
      </c>
      <c r="B399" s="131" t="s">
        <v>12</v>
      </c>
      <c r="C399" s="142">
        <v>4811</v>
      </c>
      <c r="D399" s="142">
        <v>0</v>
      </c>
      <c r="E399" s="143">
        <v>0</v>
      </c>
      <c r="F399" s="143">
        <v>0</v>
      </c>
      <c r="G399" s="143">
        <v>0</v>
      </c>
      <c r="H399" s="144">
        <v>4811</v>
      </c>
      <c r="I399" s="145">
        <v>-4811</v>
      </c>
      <c r="J399" s="145">
        <v>0</v>
      </c>
      <c r="K399" s="143">
        <v>0</v>
      </c>
      <c r="L399" s="145">
        <v>0</v>
      </c>
      <c r="M399" s="145">
        <v>0</v>
      </c>
      <c r="N399" s="145">
        <v>0</v>
      </c>
    </row>
    <row r="400" spans="1:14" x14ac:dyDescent="0.35">
      <c r="A400" s="70" t="s">
        <v>621</v>
      </c>
      <c r="B400" s="131" t="s">
        <v>12</v>
      </c>
      <c r="C400" s="142">
        <v>4555127</v>
      </c>
      <c r="D400" s="142">
        <v>-208115</v>
      </c>
      <c r="E400" s="143">
        <v>0</v>
      </c>
      <c r="F400" s="143">
        <v>0</v>
      </c>
      <c r="G400" s="143">
        <v>0</v>
      </c>
      <c r="H400" s="144">
        <v>4347012</v>
      </c>
      <c r="I400" s="145">
        <v>-4347012</v>
      </c>
      <c r="J400" s="145">
        <v>0</v>
      </c>
      <c r="K400" s="143">
        <v>557111</v>
      </c>
      <c r="L400" s="145">
        <v>-557111</v>
      </c>
      <c r="M400" s="145">
        <v>0</v>
      </c>
      <c r="N400" s="145">
        <v>0</v>
      </c>
    </row>
    <row r="401" spans="1:14" x14ac:dyDescent="0.35">
      <c r="A401" s="70" t="s">
        <v>620</v>
      </c>
      <c r="B401" s="131" t="s">
        <v>12</v>
      </c>
      <c r="C401" s="142">
        <v>130589059</v>
      </c>
      <c r="D401" s="142">
        <v>-50266068</v>
      </c>
      <c r="E401" s="143">
        <v>0</v>
      </c>
      <c r="F401" s="143">
        <v>0</v>
      </c>
      <c r="G401" s="143">
        <v>0</v>
      </c>
      <c r="H401" s="144">
        <v>80322991</v>
      </c>
      <c r="I401" s="145">
        <v>-79502975</v>
      </c>
      <c r="J401" s="145">
        <v>820016</v>
      </c>
      <c r="K401" s="143">
        <v>18990127</v>
      </c>
      <c r="L401" s="145">
        <v>-10938586</v>
      </c>
      <c r="M401" s="145">
        <v>8051541</v>
      </c>
      <c r="N401" s="145">
        <v>-7231525</v>
      </c>
    </row>
    <row r="402" spans="1:14" x14ac:dyDescent="0.35">
      <c r="A402" s="70" t="s">
        <v>619</v>
      </c>
      <c r="B402" s="131" t="s">
        <v>12</v>
      </c>
      <c r="C402" s="142">
        <v>43337845</v>
      </c>
      <c r="D402" s="142">
        <v>-31739442</v>
      </c>
      <c r="E402" s="143">
        <v>0</v>
      </c>
      <c r="F402" s="143">
        <v>0</v>
      </c>
      <c r="G402" s="143">
        <v>0</v>
      </c>
      <c r="H402" s="144">
        <v>11598403</v>
      </c>
      <c r="I402" s="145">
        <v>-11305769</v>
      </c>
      <c r="J402" s="145">
        <v>292634</v>
      </c>
      <c r="K402" s="143">
        <v>1424443</v>
      </c>
      <c r="L402" s="145">
        <v>-1295123</v>
      </c>
      <c r="M402" s="145">
        <v>129320</v>
      </c>
      <c r="N402" s="145">
        <v>163314</v>
      </c>
    </row>
    <row r="403" spans="1:14" x14ac:dyDescent="0.35">
      <c r="A403" s="70" t="s">
        <v>618</v>
      </c>
      <c r="B403" s="131" t="s">
        <v>12</v>
      </c>
      <c r="C403" s="142">
        <v>198631</v>
      </c>
      <c r="D403" s="142">
        <v>-43578</v>
      </c>
      <c r="E403" s="143">
        <v>0</v>
      </c>
      <c r="F403" s="143">
        <v>0</v>
      </c>
      <c r="G403" s="143">
        <v>0</v>
      </c>
      <c r="H403" s="144">
        <v>155053</v>
      </c>
      <c r="I403" s="145">
        <v>-155053</v>
      </c>
      <c r="J403" s="145">
        <v>0</v>
      </c>
      <c r="K403" s="143">
        <v>5354</v>
      </c>
      <c r="L403" s="145">
        <v>-5354</v>
      </c>
      <c r="M403" s="145">
        <v>0</v>
      </c>
      <c r="N403" s="145">
        <v>0</v>
      </c>
    </row>
    <row r="404" spans="1:14" x14ac:dyDescent="0.35">
      <c r="A404" s="70" t="s">
        <v>617</v>
      </c>
      <c r="B404" s="131" t="s">
        <v>12</v>
      </c>
      <c r="C404" s="142">
        <v>693579</v>
      </c>
      <c r="D404" s="142">
        <v>-657876</v>
      </c>
      <c r="E404" s="143">
        <v>0</v>
      </c>
      <c r="F404" s="143">
        <v>0</v>
      </c>
      <c r="G404" s="143">
        <v>0</v>
      </c>
      <c r="H404" s="144">
        <v>35703</v>
      </c>
      <c r="I404" s="145">
        <v>-35703</v>
      </c>
      <c r="J404" s="145">
        <v>0</v>
      </c>
      <c r="K404" s="143">
        <v>616705</v>
      </c>
      <c r="L404" s="145">
        <v>-616705</v>
      </c>
      <c r="M404" s="145">
        <v>0</v>
      </c>
      <c r="N404" s="145">
        <v>0</v>
      </c>
    </row>
    <row r="405" spans="1:14" x14ac:dyDescent="0.35">
      <c r="A405" s="70" t="s">
        <v>616</v>
      </c>
      <c r="B405" s="131" t="s">
        <v>12</v>
      </c>
      <c r="C405" s="142">
        <v>3916</v>
      </c>
      <c r="D405" s="142">
        <v>0</v>
      </c>
      <c r="E405" s="143">
        <v>0</v>
      </c>
      <c r="F405" s="143">
        <v>0</v>
      </c>
      <c r="G405" s="143">
        <v>0</v>
      </c>
      <c r="H405" s="144">
        <v>3916</v>
      </c>
      <c r="I405" s="145">
        <v>-3916</v>
      </c>
      <c r="J405" s="145">
        <v>0</v>
      </c>
      <c r="K405" s="143">
        <v>0</v>
      </c>
      <c r="L405" s="145">
        <v>0</v>
      </c>
      <c r="M405" s="145">
        <v>0</v>
      </c>
      <c r="N405" s="145">
        <v>0</v>
      </c>
    </row>
    <row r="406" spans="1:14" x14ac:dyDescent="0.35">
      <c r="A406" s="70" t="s">
        <v>615</v>
      </c>
      <c r="B406" s="131" t="s">
        <v>12</v>
      </c>
      <c r="C406" s="142">
        <v>8461909</v>
      </c>
      <c r="D406" s="142">
        <v>-179011</v>
      </c>
      <c r="E406" s="143">
        <v>0</v>
      </c>
      <c r="F406" s="143">
        <v>0</v>
      </c>
      <c r="G406" s="143">
        <v>0</v>
      </c>
      <c r="H406" s="144">
        <v>8282898</v>
      </c>
      <c r="I406" s="145">
        <v>-8022235</v>
      </c>
      <c r="J406" s="145">
        <v>260663</v>
      </c>
      <c r="K406" s="143">
        <v>189019</v>
      </c>
      <c r="L406" s="145">
        <v>-165196</v>
      </c>
      <c r="M406" s="145">
        <v>23823</v>
      </c>
      <c r="N406" s="145">
        <v>236840</v>
      </c>
    </row>
    <row r="407" spans="1:14" x14ac:dyDescent="0.35">
      <c r="A407" s="70" t="s">
        <v>614</v>
      </c>
      <c r="B407" s="131" t="s">
        <v>12</v>
      </c>
      <c r="C407" s="142">
        <v>675007</v>
      </c>
      <c r="D407" s="142">
        <v>-5404</v>
      </c>
      <c r="E407" s="143">
        <v>0</v>
      </c>
      <c r="F407" s="143">
        <v>0</v>
      </c>
      <c r="G407" s="143">
        <v>0</v>
      </c>
      <c r="H407" s="144">
        <v>669603</v>
      </c>
      <c r="I407" s="145">
        <v>-568798</v>
      </c>
      <c r="J407" s="145">
        <v>100805</v>
      </c>
      <c r="K407" s="143">
        <v>0</v>
      </c>
      <c r="L407" s="145">
        <v>0</v>
      </c>
      <c r="M407" s="145">
        <v>0</v>
      </c>
      <c r="N407" s="145">
        <v>100805</v>
      </c>
    </row>
    <row r="408" spans="1:14" x14ac:dyDescent="0.35">
      <c r="A408" s="70" t="s">
        <v>613</v>
      </c>
      <c r="B408" s="131" t="s">
        <v>12</v>
      </c>
      <c r="C408" s="142">
        <v>3057</v>
      </c>
      <c r="D408" s="142">
        <v>-3057</v>
      </c>
      <c r="E408" s="143">
        <v>0</v>
      </c>
      <c r="F408" s="143">
        <v>0</v>
      </c>
      <c r="G408" s="143">
        <v>0</v>
      </c>
      <c r="H408" s="144">
        <v>0</v>
      </c>
      <c r="I408" s="145">
        <v>0</v>
      </c>
      <c r="J408" s="145">
        <v>0</v>
      </c>
      <c r="K408" s="143">
        <v>0</v>
      </c>
      <c r="L408" s="145">
        <v>0</v>
      </c>
      <c r="M408" s="145">
        <v>0</v>
      </c>
      <c r="N408" s="145">
        <v>0</v>
      </c>
    </row>
    <row r="409" spans="1:14" x14ac:dyDescent="0.35">
      <c r="A409" s="70" t="s">
        <v>612</v>
      </c>
      <c r="B409" s="131" t="s">
        <v>12</v>
      </c>
      <c r="C409" s="142">
        <v>354647536</v>
      </c>
      <c r="D409" s="142">
        <v>-200370723</v>
      </c>
      <c r="E409" s="143">
        <v>0</v>
      </c>
      <c r="F409" s="143">
        <v>-80286267</v>
      </c>
      <c r="G409" s="143">
        <v>0</v>
      </c>
      <c r="H409" s="144">
        <v>73990546</v>
      </c>
      <c r="I409" s="145">
        <v>-51581028</v>
      </c>
      <c r="J409" s="145">
        <v>22409518</v>
      </c>
      <c r="K409" s="143">
        <v>12265572</v>
      </c>
      <c r="L409" s="145">
        <v>-12262572</v>
      </c>
      <c r="M409" s="145">
        <v>3000</v>
      </c>
      <c r="N409" s="145">
        <v>22406518</v>
      </c>
    </row>
    <row r="410" spans="1:14" x14ac:dyDescent="0.35">
      <c r="A410" s="70" t="s">
        <v>611</v>
      </c>
      <c r="B410" s="131" t="s">
        <v>12</v>
      </c>
      <c r="C410" s="142">
        <v>1097915</v>
      </c>
      <c r="D410" s="142">
        <v>-6185</v>
      </c>
      <c r="E410" s="143">
        <v>0</v>
      </c>
      <c r="F410" s="143">
        <v>0</v>
      </c>
      <c r="G410" s="143">
        <v>0</v>
      </c>
      <c r="H410" s="144">
        <v>1091730</v>
      </c>
      <c r="I410" s="145">
        <v>-1091730</v>
      </c>
      <c r="J410" s="145">
        <v>0</v>
      </c>
      <c r="K410" s="143">
        <v>50548</v>
      </c>
      <c r="L410" s="145">
        <v>-50548</v>
      </c>
      <c r="M410" s="145">
        <v>0</v>
      </c>
      <c r="N410" s="145">
        <v>0</v>
      </c>
    </row>
    <row r="411" spans="1:14" x14ac:dyDescent="0.35">
      <c r="A411" s="70" t="s">
        <v>610</v>
      </c>
      <c r="B411" s="131" t="s">
        <v>12</v>
      </c>
      <c r="C411" s="142">
        <v>15181047</v>
      </c>
      <c r="D411" s="142">
        <v>-1780340</v>
      </c>
      <c r="E411" s="143">
        <v>0</v>
      </c>
      <c r="F411" s="143">
        <v>0</v>
      </c>
      <c r="G411" s="143">
        <v>0</v>
      </c>
      <c r="H411" s="144">
        <v>13400707</v>
      </c>
      <c r="I411" s="145">
        <v>-12886926</v>
      </c>
      <c r="J411" s="145">
        <v>513781</v>
      </c>
      <c r="K411" s="143">
        <v>192851</v>
      </c>
      <c r="L411" s="145">
        <v>-151782</v>
      </c>
      <c r="M411" s="145">
        <v>41069</v>
      </c>
      <c r="N411" s="145">
        <v>472712</v>
      </c>
    </row>
    <row r="412" spans="1:14" x14ac:dyDescent="0.35">
      <c r="A412" s="70" t="s">
        <v>609</v>
      </c>
      <c r="B412" s="131" t="s">
        <v>12</v>
      </c>
      <c r="C412" s="142">
        <v>283811</v>
      </c>
      <c r="D412" s="142">
        <v>-21784</v>
      </c>
      <c r="E412" s="143">
        <v>0</v>
      </c>
      <c r="F412" s="143">
        <v>0</v>
      </c>
      <c r="G412" s="143">
        <v>0</v>
      </c>
      <c r="H412" s="144">
        <v>262027</v>
      </c>
      <c r="I412" s="145">
        <v>-262027</v>
      </c>
      <c r="J412" s="145">
        <v>0</v>
      </c>
      <c r="K412" s="143">
        <v>0</v>
      </c>
      <c r="L412" s="145">
        <v>0</v>
      </c>
      <c r="M412" s="145">
        <v>0</v>
      </c>
      <c r="N412" s="145">
        <v>0</v>
      </c>
    </row>
    <row r="413" spans="1:14" x14ac:dyDescent="0.35">
      <c r="A413" s="70" t="s">
        <v>608</v>
      </c>
      <c r="B413" s="131" t="s">
        <v>12</v>
      </c>
      <c r="C413" s="142">
        <v>45726</v>
      </c>
      <c r="D413" s="142">
        <v>-4438</v>
      </c>
      <c r="E413" s="143">
        <v>0</v>
      </c>
      <c r="F413" s="143">
        <v>0</v>
      </c>
      <c r="G413" s="143">
        <v>0</v>
      </c>
      <c r="H413" s="144">
        <v>41288</v>
      </c>
      <c r="I413" s="145">
        <v>-41288</v>
      </c>
      <c r="J413" s="145">
        <v>0</v>
      </c>
      <c r="K413" s="143">
        <v>0</v>
      </c>
      <c r="L413" s="145">
        <v>0</v>
      </c>
      <c r="M413" s="145">
        <v>0</v>
      </c>
      <c r="N413" s="145">
        <v>0</v>
      </c>
    </row>
    <row r="414" spans="1:14" x14ac:dyDescent="0.35">
      <c r="A414" s="70" t="s">
        <v>607</v>
      </c>
      <c r="B414" s="131" t="s">
        <v>12</v>
      </c>
      <c r="C414" s="142">
        <v>664012</v>
      </c>
      <c r="D414" s="142">
        <v>-7876</v>
      </c>
      <c r="E414" s="143">
        <v>0</v>
      </c>
      <c r="F414" s="143">
        <v>0</v>
      </c>
      <c r="G414" s="143">
        <v>0</v>
      </c>
      <c r="H414" s="144">
        <v>656136</v>
      </c>
      <c r="I414" s="145">
        <v>-656136</v>
      </c>
      <c r="J414" s="145">
        <v>0</v>
      </c>
      <c r="K414" s="143">
        <v>0</v>
      </c>
      <c r="L414" s="145">
        <v>0</v>
      </c>
      <c r="M414" s="145">
        <v>0</v>
      </c>
      <c r="N414" s="145">
        <v>0</v>
      </c>
    </row>
    <row r="415" spans="1:14" x14ac:dyDescent="0.35">
      <c r="A415" s="70" t="s">
        <v>606</v>
      </c>
      <c r="B415" s="131" t="s">
        <v>12</v>
      </c>
      <c r="C415" s="142">
        <v>57487</v>
      </c>
      <c r="D415" s="142">
        <v>-1260</v>
      </c>
      <c r="E415" s="143">
        <v>0</v>
      </c>
      <c r="F415" s="143">
        <v>0</v>
      </c>
      <c r="G415" s="143">
        <v>0</v>
      </c>
      <c r="H415" s="144">
        <v>56227</v>
      </c>
      <c r="I415" s="145">
        <v>-38216</v>
      </c>
      <c r="J415" s="145">
        <v>18011</v>
      </c>
      <c r="K415" s="143">
        <v>0</v>
      </c>
      <c r="L415" s="145">
        <v>0</v>
      </c>
      <c r="M415" s="145">
        <v>0</v>
      </c>
      <c r="N415" s="145">
        <v>18011</v>
      </c>
    </row>
    <row r="416" spans="1:14" x14ac:dyDescent="0.35">
      <c r="A416" s="70" t="s">
        <v>605</v>
      </c>
      <c r="B416" s="131" t="s">
        <v>12</v>
      </c>
      <c r="C416" s="142">
        <v>2097</v>
      </c>
      <c r="D416" s="142">
        <v>0</v>
      </c>
      <c r="E416" s="143">
        <v>0</v>
      </c>
      <c r="F416" s="143">
        <v>0</v>
      </c>
      <c r="G416" s="143">
        <v>0</v>
      </c>
      <c r="H416" s="144">
        <v>2097</v>
      </c>
      <c r="I416" s="145">
        <v>-2097</v>
      </c>
      <c r="J416" s="145">
        <v>0</v>
      </c>
      <c r="K416" s="143">
        <v>0</v>
      </c>
      <c r="L416" s="145">
        <v>0</v>
      </c>
      <c r="M416" s="145">
        <v>0</v>
      </c>
      <c r="N416" s="145">
        <v>0</v>
      </c>
    </row>
    <row r="417" spans="1:14" x14ac:dyDescent="0.35">
      <c r="A417" s="70" t="s">
        <v>604</v>
      </c>
      <c r="B417" s="131" t="s">
        <v>12</v>
      </c>
      <c r="C417" s="142">
        <v>4380</v>
      </c>
      <c r="D417" s="142">
        <v>0</v>
      </c>
      <c r="E417" s="143">
        <v>0</v>
      </c>
      <c r="F417" s="143">
        <v>0</v>
      </c>
      <c r="G417" s="143">
        <v>0</v>
      </c>
      <c r="H417" s="144">
        <v>4380</v>
      </c>
      <c r="I417" s="145">
        <v>-2959</v>
      </c>
      <c r="J417" s="145">
        <v>1421</v>
      </c>
      <c r="K417" s="143">
        <v>0</v>
      </c>
      <c r="L417" s="145">
        <v>0</v>
      </c>
      <c r="M417" s="145">
        <v>0</v>
      </c>
      <c r="N417" s="145">
        <v>1421</v>
      </c>
    </row>
    <row r="418" spans="1:14" x14ac:dyDescent="0.35">
      <c r="A418" s="70" t="s">
        <v>603</v>
      </c>
      <c r="B418" s="131" t="s">
        <v>12</v>
      </c>
      <c r="C418" s="142">
        <v>1170</v>
      </c>
      <c r="D418" s="142">
        <v>0</v>
      </c>
      <c r="E418" s="143">
        <v>0</v>
      </c>
      <c r="F418" s="143">
        <v>0</v>
      </c>
      <c r="G418" s="143">
        <v>0</v>
      </c>
      <c r="H418" s="144">
        <v>1170</v>
      </c>
      <c r="I418" s="145">
        <v>0</v>
      </c>
      <c r="J418" s="145">
        <v>1170</v>
      </c>
      <c r="K418" s="143">
        <v>0</v>
      </c>
      <c r="L418" s="145">
        <v>0</v>
      </c>
      <c r="M418" s="145">
        <v>0</v>
      </c>
      <c r="N418" s="145">
        <v>1170</v>
      </c>
    </row>
    <row r="419" spans="1:14" x14ac:dyDescent="0.35">
      <c r="A419" s="70" t="s">
        <v>602</v>
      </c>
      <c r="B419" s="131" t="s">
        <v>12</v>
      </c>
      <c r="C419" s="142">
        <v>7950354</v>
      </c>
      <c r="D419" s="142">
        <v>-575213</v>
      </c>
      <c r="E419" s="143">
        <v>0</v>
      </c>
      <c r="F419" s="143">
        <v>0</v>
      </c>
      <c r="G419" s="143">
        <v>0</v>
      </c>
      <c r="H419" s="144">
        <v>7375141</v>
      </c>
      <c r="I419" s="145">
        <v>-7264645</v>
      </c>
      <c r="J419" s="145">
        <v>110496</v>
      </c>
      <c r="K419" s="143">
        <v>0</v>
      </c>
      <c r="L419" s="145">
        <v>0</v>
      </c>
      <c r="M419" s="145">
        <v>0</v>
      </c>
      <c r="N419" s="145">
        <v>110496</v>
      </c>
    </row>
    <row r="420" spans="1:14" ht="16" thickBot="1" x14ac:dyDescent="0.4">
      <c r="A420" s="129" t="s">
        <v>672</v>
      </c>
      <c r="B420" s="132" t="s">
        <v>12</v>
      </c>
      <c r="C420" s="146">
        <f>SUBTOTAL(109,GrandTotalCollegeDistrictsG[(C)
Program
Costs])</f>
        <v>946412868</v>
      </c>
      <c r="D420" s="146">
        <f>SUBTOTAL(109,GrandTotalCollegeDistrictsG[(D)
Prior Period Adjustments])</f>
        <v>-479865537</v>
      </c>
      <c r="E420" s="147">
        <f>SUBTOTAL(109,GrandTotalCollegeDistrictsG[(E)
Current Period Desk 
Reviews])</f>
        <v>0</v>
      </c>
      <c r="F420" s="147">
        <f>SUBTOTAL(109,GrandTotalCollegeDistrictsG[(F)
Current Period 
Final 
Audits])</f>
        <v>-80286267</v>
      </c>
      <c r="G420" s="147">
        <f>SUBTOTAL(109,GrandTotalCollegeDistrictsG[(G)
Current Period 
Other Adjustments])</f>
        <v>0</v>
      </c>
      <c r="H420" s="146">
        <f>SUBTOTAL(109,GrandTotalCollegeDistrictsG[(H)
Net Program Costs
Sum (C through G)])</f>
        <v>386261064</v>
      </c>
      <c r="I420" s="147">
        <f>SUBTOTAL(109,GrandTotalCollegeDistrictsG[(I)
Payments
 and Offsets])</f>
        <v>-352911876</v>
      </c>
      <c r="J420" s="147">
        <f>SUBTOTAL(109,GrandTotalCollegeDistrictsG[(J)
Accounts Payable Balance
(H + I)])</f>
        <v>33349188</v>
      </c>
      <c r="K420" s="147">
        <f>SUBTOTAL(109,GrandTotalCollegeDistrictsG[(K)
Established 
Accounts Receivable])</f>
        <v>46603591</v>
      </c>
      <c r="L420" s="147">
        <f>SUBTOTAL(109,GrandTotalCollegeDistrictsG[(L)
Recovered
 Accounts Receivable])</f>
        <v>-33812173</v>
      </c>
      <c r="M420" s="147">
        <f>SUBTOTAL(109,GrandTotalCollegeDistrictsG[(M)
Accounts Receivable Balance
(K + L)])</f>
        <v>12791418</v>
      </c>
      <c r="N420" s="147">
        <f>SUBTOTAL(109,GrandTotalCollegeDistrictsG[(N)
Net Balance
(J minus M)])</f>
        <v>20557770</v>
      </c>
    </row>
    <row r="421" spans="1:14" x14ac:dyDescent="0.35">
      <c r="A421" s="116" t="s">
        <v>33</v>
      </c>
      <c r="B421" s="115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</row>
    <row r="422" spans="1:14" ht="77.5" x14ac:dyDescent="0.35">
      <c r="A422" s="60" t="s">
        <v>185</v>
      </c>
      <c r="B422" s="59" t="s">
        <v>184</v>
      </c>
      <c r="C422" s="58" t="s">
        <v>183</v>
      </c>
      <c r="D422" s="58" t="s">
        <v>182</v>
      </c>
      <c r="E422" s="56" t="s">
        <v>181</v>
      </c>
      <c r="F422" s="56" t="s">
        <v>180</v>
      </c>
      <c r="G422" s="56" t="s">
        <v>179</v>
      </c>
      <c r="H422" s="57" t="s">
        <v>674</v>
      </c>
      <c r="I422" s="55" t="s">
        <v>178</v>
      </c>
      <c r="J422" s="55" t="s">
        <v>177</v>
      </c>
      <c r="K422" s="56" t="s">
        <v>176</v>
      </c>
      <c r="L422" s="55" t="s">
        <v>175</v>
      </c>
      <c r="M422" s="55" t="s">
        <v>174</v>
      </c>
      <c r="N422" s="54" t="s">
        <v>173</v>
      </c>
    </row>
    <row r="423" spans="1:14" x14ac:dyDescent="0.35">
      <c r="A423" s="70" t="s">
        <v>678</v>
      </c>
      <c r="B423" s="131" t="s">
        <v>12</v>
      </c>
      <c r="C423" s="142">
        <v>4926198460</v>
      </c>
      <c r="D423" s="142">
        <v>-783487650</v>
      </c>
      <c r="E423" s="143">
        <v>-182223</v>
      </c>
      <c r="F423" s="143">
        <v>-15074034</v>
      </c>
      <c r="G423" s="143">
        <v>-140567</v>
      </c>
      <c r="H423" s="144">
        <v>4127313986</v>
      </c>
      <c r="I423" s="145">
        <v>-3373765714</v>
      </c>
      <c r="J423" s="145">
        <v>753548272</v>
      </c>
      <c r="K423" s="143">
        <v>302253879</v>
      </c>
      <c r="L423" s="145">
        <v>-299819704</v>
      </c>
      <c r="M423" s="145">
        <v>2434175</v>
      </c>
      <c r="N423" s="145">
        <v>751114097</v>
      </c>
    </row>
    <row r="424" spans="1:14" x14ac:dyDescent="0.35">
      <c r="A424" s="70" t="s">
        <v>601</v>
      </c>
      <c r="B424" s="131" t="s">
        <v>12</v>
      </c>
      <c r="C424" s="142">
        <v>9229984823.5599995</v>
      </c>
      <c r="D424" s="142">
        <v>-1233678456.6700001</v>
      </c>
      <c r="E424" s="143">
        <v>-125634</v>
      </c>
      <c r="F424" s="143">
        <v>-25034855</v>
      </c>
      <c r="G424" s="143">
        <v>-20695</v>
      </c>
      <c r="H424" s="144">
        <v>7971125182.8900003</v>
      </c>
      <c r="I424" s="145">
        <v>-7030930295.8900003</v>
      </c>
      <c r="J424" s="145">
        <v>940194887</v>
      </c>
      <c r="K424" s="143">
        <v>321427504</v>
      </c>
      <c r="L424" s="145">
        <v>-269721304</v>
      </c>
      <c r="M424" s="145">
        <v>51706200</v>
      </c>
      <c r="N424" s="145">
        <v>888488687</v>
      </c>
    </row>
    <row r="425" spans="1:14" x14ac:dyDescent="0.35">
      <c r="A425" s="70" t="s">
        <v>673</v>
      </c>
      <c r="B425" s="130" t="s">
        <v>12</v>
      </c>
      <c r="C425" s="144">
        <v>946412868</v>
      </c>
      <c r="D425" s="144">
        <v>-479865537</v>
      </c>
      <c r="E425" s="145">
        <v>0</v>
      </c>
      <c r="F425" s="145">
        <v>-80286267</v>
      </c>
      <c r="G425" s="145">
        <v>0</v>
      </c>
      <c r="H425" s="144">
        <v>386261064</v>
      </c>
      <c r="I425" s="145">
        <v>-352911876</v>
      </c>
      <c r="J425" s="145">
        <v>33349188</v>
      </c>
      <c r="K425" s="145">
        <v>46603591</v>
      </c>
      <c r="L425" s="145">
        <v>-33812173</v>
      </c>
      <c r="M425" s="145">
        <v>12791418</v>
      </c>
      <c r="N425" s="145">
        <v>20557770</v>
      </c>
    </row>
    <row r="426" spans="1:14" ht="16" thickBot="1" x14ac:dyDescent="0.4">
      <c r="A426" s="129" t="s">
        <v>0</v>
      </c>
      <c r="B426" s="128" t="s">
        <v>12</v>
      </c>
      <c r="C426" s="146">
        <f>SUBTOTAL(109,GrandTotal[(C)
Program
Costs])</f>
        <v>15102596151.559999</v>
      </c>
      <c r="D426" s="146">
        <f>SUBTOTAL(109,GrandTotal[(D)
Prior Period Adjustments])</f>
        <v>-2497031643.6700001</v>
      </c>
      <c r="E426" s="147">
        <f>SUBTOTAL(109,GrandTotal[(E)
Current Period Desk 
Reviews])</f>
        <v>-307857</v>
      </c>
      <c r="F426" s="147">
        <f>SUBTOTAL(109,GrandTotal[(F)
Current Period 
Final 
Audits])</f>
        <v>-120395156</v>
      </c>
      <c r="G426" s="147">
        <f>SUBTOTAL(109,GrandTotal[(G)
Current Period 
Other Adjustments])</f>
        <v>-161262</v>
      </c>
      <c r="H426" s="146">
        <f>SUBTOTAL(109,GrandTotal[(H)
Net Program Costs
Sum (C through G)])</f>
        <v>12484700232.889999</v>
      </c>
      <c r="I426" s="147">
        <f>SUBTOTAL(109,GrandTotal[(I)
Payments
 and Offsets])</f>
        <v>-10757607885.889999</v>
      </c>
      <c r="J426" s="147">
        <f>SUBTOTAL(109,GrandTotal[(J)
Accounts Payable Balance
(H + I)])</f>
        <v>1727092347</v>
      </c>
      <c r="K426" s="147">
        <f>SUBTOTAL(109,GrandTotal[(K)
Established 
Accounts Receivable])</f>
        <v>670284974</v>
      </c>
      <c r="L426" s="147">
        <f>SUBTOTAL(109,GrandTotal[(L)
Recovered
 Accounts Receivable])</f>
        <v>-603353181</v>
      </c>
      <c r="M426" s="147">
        <f>SUBTOTAL(109,GrandTotal[(M)
Accounts Receivable Balance
(K + L)])</f>
        <v>66931793</v>
      </c>
      <c r="N426" s="147">
        <f>SUBTOTAL(109,GrandTotal[(N)
Net Balance
(J minus M)])</f>
        <v>1660160554</v>
      </c>
    </row>
    <row r="427" spans="1:14" x14ac:dyDescent="0.35">
      <c r="A427" s="127" t="s">
        <v>600</v>
      </c>
    </row>
  </sheetData>
  <printOptions horizontalCentered="1"/>
  <pageMargins left="0.5" right="0.5" top="0.25" bottom="0.75" header="0.3" footer="0.3"/>
  <pageSetup scale="46" orientation="landscape" useFirstPageNumber="1" horizontalDpi="1200" verticalDpi="1200" r:id="rId1"/>
  <headerFooter>
    <oddFooter>&amp;L&amp;"Arial,Regular"&amp;12Community College Districts&amp;R&amp;"Arial,Regular"&amp;12Page &amp;P of &amp;N</oddFooter>
  </headerFooter>
  <rowBreaks count="1" manualBreakCount="1">
    <brk id="365" max="13" man="1"/>
  </rowBreaks>
  <ignoredErrors>
    <ignoredError sqref="C358:N358 C367:N367 C119:N119 C103:N103 C99:N99" calculatedColumn="1"/>
  </ignoredErrors>
  <tableParts count="37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304</vt:i4>
      </vt:variant>
    </vt:vector>
  </HeadingPairs>
  <TitlesOfParts>
    <vt:vector size="310" baseType="lpstr">
      <vt:lpstr>Cover Page</vt:lpstr>
      <vt:lpstr>Table of Contents</vt:lpstr>
      <vt:lpstr>Summary </vt:lpstr>
      <vt:lpstr>Locals</vt:lpstr>
      <vt:lpstr>Schools</vt:lpstr>
      <vt:lpstr>Colleges</vt:lpstr>
      <vt:lpstr>Colleges!Print_Area</vt:lpstr>
      <vt:lpstr>Locals!Print_Area</vt:lpstr>
      <vt:lpstr>Schools!Print_Area</vt:lpstr>
      <vt:lpstr>'Summary '!Print_Area</vt:lpstr>
      <vt:lpstr>Colleges!Print_Titles</vt:lpstr>
      <vt:lpstr>Locals!Print_Titles</vt:lpstr>
      <vt:lpstr>Schools!Print_Titles</vt:lpstr>
      <vt:lpstr>TitleRegion1.a2.f6.3</vt:lpstr>
      <vt:lpstr>TitleRegion1.a2.n12.5</vt:lpstr>
      <vt:lpstr>TitleRegion1.a2.n26.4</vt:lpstr>
      <vt:lpstr>TitleRegion1.a2.n6.6</vt:lpstr>
      <vt:lpstr>TitleRegion10.a106.n116.6</vt:lpstr>
      <vt:lpstr>TitleRegion10.a128.n130.5</vt:lpstr>
      <vt:lpstr>TitleRegion10.a152.n156.4</vt:lpstr>
      <vt:lpstr>TitleRegion100.a1488.n1498.4</vt:lpstr>
      <vt:lpstr>TitleRegion100.a1535.n1563.5</vt:lpstr>
      <vt:lpstr>TitleRegion101.a1500.n1505.4</vt:lpstr>
      <vt:lpstr>TitleRegion101.a1565.n1589.5</vt:lpstr>
      <vt:lpstr>TitleRegion102.a1507.n1522.4</vt:lpstr>
      <vt:lpstr>TitleRegion102.a1591.n1600.5</vt:lpstr>
      <vt:lpstr>TitleRegion103.a1524.n1530.4</vt:lpstr>
      <vt:lpstr>TitleRegion103.a1602.n1610.5</vt:lpstr>
      <vt:lpstr>TitleRegion104.a1532.n1539.4</vt:lpstr>
      <vt:lpstr>TitleRegion104.a1612.n1620.5</vt:lpstr>
      <vt:lpstr>TitleRegion105.a1541.n1570.4</vt:lpstr>
      <vt:lpstr>TitleRegion105.a1622.n1634.5</vt:lpstr>
      <vt:lpstr>TitleRegion106.a1572.n1580.4</vt:lpstr>
      <vt:lpstr>TitleRegion106.a1636.n1648.5</vt:lpstr>
      <vt:lpstr>TitleRegion107.a1582.n1597.4</vt:lpstr>
      <vt:lpstr>TitleRegion107.a1650.n1665.5</vt:lpstr>
      <vt:lpstr>TitleRegion108.a1599.n1621.4</vt:lpstr>
      <vt:lpstr>TitleRegion108.a1667.n1678.5</vt:lpstr>
      <vt:lpstr>TitleRegion109.a1623.n1641.4</vt:lpstr>
      <vt:lpstr>TitleRegion109.a1680.n1688.5</vt:lpstr>
      <vt:lpstr>TitleRegion11.a118.n120.6</vt:lpstr>
      <vt:lpstr>TitleRegion11.a132.n152.5</vt:lpstr>
      <vt:lpstr>TitleRegion11.a158.n162.4</vt:lpstr>
      <vt:lpstr>TitleRegion110.a1643.n1655.4</vt:lpstr>
      <vt:lpstr>TitleRegion110.a1690.n1699.5</vt:lpstr>
      <vt:lpstr>TitleRegion111.a1657.n1665.4</vt:lpstr>
      <vt:lpstr>TitleRegion111.a1701.n1712.5</vt:lpstr>
      <vt:lpstr>TitleRegion112.a1667.n1675.4</vt:lpstr>
      <vt:lpstr>TitleRegion112.a1714.n1740.5</vt:lpstr>
      <vt:lpstr>TitleRegion113.a1677.n1702.4</vt:lpstr>
      <vt:lpstr>TitleRegion113.a1742.n1752.5</vt:lpstr>
      <vt:lpstr>TitleRegion113.a1754.n1757.5</vt:lpstr>
      <vt:lpstr>TitleRegion114.a1704.n1708.4</vt:lpstr>
      <vt:lpstr>TitleRegion114.a1759.n1773.5</vt:lpstr>
      <vt:lpstr>TitleRegion115.a1710.n1716.4</vt:lpstr>
      <vt:lpstr>TitleRegion115.a1775.n1781.5</vt:lpstr>
      <vt:lpstr>TitleRegion116.a1718.n1732.4</vt:lpstr>
      <vt:lpstr>TitleRegion116.a1783.n1790.5</vt:lpstr>
      <vt:lpstr>TitleRegion117.a1734.n1749.4</vt:lpstr>
      <vt:lpstr>TitleRegion117.a1792.n1815.5</vt:lpstr>
      <vt:lpstr>TitleRegion118.a1751.n1765.4</vt:lpstr>
      <vt:lpstr>TitleRegion118.a1817.n1823.5</vt:lpstr>
      <vt:lpstr>TitleRegion119.a1767.n1780.4</vt:lpstr>
      <vt:lpstr>TitleRegion119.a1825.n1841.5</vt:lpstr>
      <vt:lpstr>TitleRegion12.a122.n133.6</vt:lpstr>
      <vt:lpstr>TitleRegion12.a154.n157.5</vt:lpstr>
      <vt:lpstr>TitleRegion12.a164.n177.4</vt:lpstr>
      <vt:lpstr>TitleRegion120.a1782.n1801.4</vt:lpstr>
      <vt:lpstr>TitleRegion120.a1843.n1859.5</vt:lpstr>
      <vt:lpstr>TitleRegion121.a1803.n1812.4</vt:lpstr>
      <vt:lpstr>TitleRegion121.a1861.n1984.5</vt:lpstr>
      <vt:lpstr>TitleRegion122.a1814.n1817.4</vt:lpstr>
      <vt:lpstr>TitleRegion123.a1819.n1841.4</vt:lpstr>
      <vt:lpstr>TitleRegion124.a1843.n1861.4</vt:lpstr>
      <vt:lpstr>TitleRegion125.a1863.n1870.4</vt:lpstr>
      <vt:lpstr>TitleRegion126.a1872.n1876.4</vt:lpstr>
      <vt:lpstr>TitleRegion127.a1878.n1886.4</vt:lpstr>
      <vt:lpstr>TitleRegion128.a1888.n1892.4</vt:lpstr>
      <vt:lpstr>TitleRegion129.a1894.n1906.4</vt:lpstr>
      <vt:lpstr>TitleRegion13.a135.n153.6</vt:lpstr>
      <vt:lpstr>TitleRegion13.a159.n164.5</vt:lpstr>
      <vt:lpstr>TitleRegion13.a179.n182.4</vt:lpstr>
      <vt:lpstr>TitleRegion130.a1908.n1929.4</vt:lpstr>
      <vt:lpstr>TitleRegion131.a1931.n2062.4</vt:lpstr>
      <vt:lpstr>TitleRegion14.a155.n160.6</vt:lpstr>
      <vt:lpstr>TitleRegion14.a166.n173.5</vt:lpstr>
      <vt:lpstr>TitleRegion14.a184.n198.4</vt:lpstr>
      <vt:lpstr>TitleRegion15.a162.n167.6</vt:lpstr>
      <vt:lpstr>TitleRegion15.a175.n189.5</vt:lpstr>
      <vt:lpstr>TitleRegion15.a200.n207.4</vt:lpstr>
      <vt:lpstr>TitleRegion16.a169.n177.6</vt:lpstr>
      <vt:lpstr>TitleRegion16.a191.n207.5</vt:lpstr>
      <vt:lpstr>TitleRegion16.a209.n230.4</vt:lpstr>
      <vt:lpstr>TitleRegion17.a179.n199.6</vt:lpstr>
      <vt:lpstr>TitleRegion17.a209.n235.5</vt:lpstr>
      <vt:lpstr>TitleRegion17.a232.n249.4</vt:lpstr>
      <vt:lpstr>TitleRegion18.a201.n214.6</vt:lpstr>
      <vt:lpstr>TitleRegion18.a237.n248.5</vt:lpstr>
      <vt:lpstr>TitleRegion18.a251.n260.4</vt:lpstr>
      <vt:lpstr>TitleRegion19.a216.n221.6</vt:lpstr>
      <vt:lpstr>TitleRegion19.a250.n262.5</vt:lpstr>
      <vt:lpstr>TitleRegion19.a262.n295.4</vt:lpstr>
      <vt:lpstr>TitleRegion2.a14.n33.5</vt:lpstr>
      <vt:lpstr>TitleRegion2.a28.n41.4</vt:lpstr>
      <vt:lpstr>TitleRegion2.a8.f11.3</vt:lpstr>
      <vt:lpstr>TitleRegion2.a8.n21.6</vt:lpstr>
      <vt:lpstr>TitleRegion20.a223.n233.6</vt:lpstr>
      <vt:lpstr>TitleRegion20.a264.n275.5</vt:lpstr>
      <vt:lpstr>TitleRegion20.a297.n306.4</vt:lpstr>
      <vt:lpstr>TitleRegion21.a235.n240.6</vt:lpstr>
      <vt:lpstr>TitleRegion21.a277.n286.5</vt:lpstr>
      <vt:lpstr>TitleRegion21.a308.n314.4</vt:lpstr>
      <vt:lpstr>TitleRegion22.a242.n256.6</vt:lpstr>
      <vt:lpstr>TitleRegion22.a288.n297.5</vt:lpstr>
      <vt:lpstr>TitleRegion22.a316.n328.4</vt:lpstr>
      <vt:lpstr>TitleRegion23.a258.n261.6</vt:lpstr>
      <vt:lpstr>TitleRegion23.a299.n307.5</vt:lpstr>
      <vt:lpstr>TitleRegion23.a330.n351.4</vt:lpstr>
      <vt:lpstr>TitleRegion24.a263.n265.6</vt:lpstr>
      <vt:lpstr>TitleRegion24.a309.n316.5</vt:lpstr>
      <vt:lpstr>TitleRegion24.a353.n364.4</vt:lpstr>
      <vt:lpstr>TitleRegion25.a267.n282.6</vt:lpstr>
      <vt:lpstr>TitleRegion25.a318.n327.5</vt:lpstr>
      <vt:lpstr>TitleRegion25.a366.n382.4</vt:lpstr>
      <vt:lpstr>TitleRegion26.a284.n287.6</vt:lpstr>
      <vt:lpstr>TitleRegion26.a329.n365.5</vt:lpstr>
      <vt:lpstr>TitleRegion26.a384.n415.4</vt:lpstr>
      <vt:lpstr>TitleRegion27.a289.n311.6</vt:lpstr>
      <vt:lpstr>TitleRegion27.a367.n379.5</vt:lpstr>
      <vt:lpstr>TitleRegion27.a417.n421.4</vt:lpstr>
      <vt:lpstr>TitleRegion28.a313.n327.6</vt:lpstr>
      <vt:lpstr>TitleRegion28.a381.n392.5</vt:lpstr>
      <vt:lpstr>TitleRegion28.a423.n444.4</vt:lpstr>
      <vt:lpstr>TitleRegion29.a329.n336.6</vt:lpstr>
      <vt:lpstr>TitleRegion29.a394.n400.5</vt:lpstr>
      <vt:lpstr>TitleRegion29.a446.n448.4</vt:lpstr>
      <vt:lpstr>TitleRegion3.a13.f16.3</vt:lpstr>
      <vt:lpstr>TitleRegion3.a23.n35.6</vt:lpstr>
      <vt:lpstr>TitleRegion3.a35.n48.5</vt:lpstr>
      <vt:lpstr>TitleRegion3.a43.n46.4</vt:lpstr>
      <vt:lpstr>TitleRegion30.a338.n348.6</vt:lpstr>
      <vt:lpstr>TitleRegion30.a402.n405.5</vt:lpstr>
      <vt:lpstr>TitleRegion30.a450.n459.4</vt:lpstr>
      <vt:lpstr>TitleRegion31.a350.n355.6</vt:lpstr>
      <vt:lpstr>TitleRegion31.a407.n415.5</vt:lpstr>
      <vt:lpstr>TitleRegion31.a461.n486.4</vt:lpstr>
      <vt:lpstr>TitleRegion32.a357.n359.6</vt:lpstr>
      <vt:lpstr>TitleRegion32.a417.n433.5</vt:lpstr>
      <vt:lpstr>TitleRegion32.a488.n510.4</vt:lpstr>
      <vt:lpstr>TitleRegion33.a361.n365.6</vt:lpstr>
      <vt:lpstr>TitleRegion33.a435.n448.5</vt:lpstr>
      <vt:lpstr>TitleRegion33.a512.n525.4</vt:lpstr>
      <vt:lpstr>TitleRegion34.a367.n370.6</vt:lpstr>
      <vt:lpstr>TitleRegion34.a450.n462.5</vt:lpstr>
      <vt:lpstr>TitleRegion34.a527.n534.4</vt:lpstr>
      <vt:lpstr>TitleRegion35.a372.n384.6</vt:lpstr>
      <vt:lpstr>TitleRegion35.a464.n473.5</vt:lpstr>
      <vt:lpstr>TitleRegion35.a536.n539.4</vt:lpstr>
      <vt:lpstr>TitleRegion36.a386.n422.6</vt:lpstr>
      <vt:lpstr>TitleRegion36.a475.n499.5</vt:lpstr>
      <vt:lpstr>TitleRegion36.a541.n548.4</vt:lpstr>
      <vt:lpstr>TitleRegion37.a424.n428.6</vt:lpstr>
      <vt:lpstr>TitleRegion37.a501.n510.5</vt:lpstr>
      <vt:lpstr>TitleRegion37.a550.n557.4</vt:lpstr>
      <vt:lpstr>TitleRegion38.a512.n522.5</vt:lpstr>
      <vt:lpstr>TitleRegion38.a559.n584.4</vt:lpstr>
      <vt:lpstr>TitleRegion39.a524.n547.5</vt:lpstr>
      <vt:lpstr>TitleRegion39.a586.n593.4</vt:lpstr>
      <vt:lpstr>TitleRegion4.a18.f21.3</vt:lpstr>
      <vt:lpstr>TitleRegion4.a37.n44.6</vt:lpstr>
      <vt:lpstr>TitleRegion4.a48.n71.4</vt:lpstr>
      <vt:lpstr>TitleRegion4.a50.n63.5</vt:lpstr>
      <vt:lpstr>TitleRegion40.a549.n570.5</vt:lpstr>
      <vt:lpstr>TitleRegion40.a595.n598.4</vt:lpstr>
      <vt:lpstr>TitleRegion41.a572.n586.5</vt:lpstr>
      <vt:lpstr>TitleRegion41.a600.n607.4</vt:lpstr>
      <vt:lpstr>TitleRegion42.a588.n596.5</vt:lpstr>
      <vt:lpstr>TitleRegion42.a609.n620.4</vt:lpstr>
      <vt:lpstr>TitleRegion43.a598.n602.5</vt:lpstr>
      <vt:lpstr>TitleRegion43.a622.n624.4</vt:lpstr>
      <vt:lpstr>TitleRegion44.a604.n623.5</vt:lpstr>
      <vt:lpstr>TitleRegion44.a626.n629.4</vt:lpstr>
      <vt:lpstr>TitleRegion45.a625.n639.5</vt:lpstr>
      <vt:lpstr>TitleRegion45.a631.n641.4</vt:lpstr>
      <vt:lpstr>TitleRegion46.a641.n666.5</vt:lpstr>
      <vt:lpstr>TitleRegion46.a643.n654.4</vt:lpstr>
      <vt:lpstr>TitleRegion47.a656.n676.4</vt:lpstr>
      <vt:lpstr>TitleRegion47.a668.n675.5</vt:lpstr>
      <vt:lpstr>TitleRegion48.a677.n703.5</vt:lpstr>
      <vt:lpstr>TitleRegion48.a678.n687.4</vt:lpstr>
      <vt:lpstr>TitleRegion49.a689.n697.4</vt:lpstr>
      <vt:lpstr>TitleRegion49.a705.n715.5</vt:lpstr>
      <vt:lpstr>TitleRegion5.a23.f26.3</vt:lpstr>
      <vt:lpstr>TitleRegion5.a46.n58.6</vt:lpstr>
      <vt:lpstr>TitleRegion5.a65.n87.5</vt:lpstr>
      <vt:lpstr>TitleRegion5.a73.n77.4</vt:lpstr>
      <vt:lpstr>TitleRegion50.a699.n720.4</vt:lpstr>
      <vt:lpstr>TitleRegion50.a717.n719.5</vt:lpstr>
      <vt:lpstr>TitleRegion51.a721.n737.5</vt:lpstr>
      <vt:lpstr>TitleRegion51.a722.n728.4</vt:lpstr>
      <vt:lpstr>TitleRegion52.a730.n736.4</vt:lpstr>
      <vt:lpstr>TitleRegion52.a739.n764.5</vt:lpstr>
      <vt:lpstr>TitleRegion53.a738.n761.4</vt:lpstr>
      <vt:lpstr>TitleRegion53.a766.n774.5</vt:lpstr>
      <vt:lpstr>TitleRegion54.a763.n775.4</vt:lpstr>
      <vt:lpstr>TitleRegion54.a776.n801.5</vt:lpstr>
      <vt:lpstr>TitleRegion55.a777.n790.4</vt:lpstr>
      <vt:lpstr>TitleRegion55.a803.n821.5</vt:lpstr>
      <vt:lpstr>TitleRegion56.a792.n799.4</vt:lpstr>
      <vt:lpstr>TitleRegion56.a823.n842.5</vt:lpstr>
      <vt:lpstr>TitleRegion57.a801.n818.4</vt:lpstr>
      <vt:lpstr>TitleRegion57.a844.n851.5</vt:lpstr>
      <vt:lpstr>TitleRegion58.a820.n829.4</vt:lpstr>
      <vt:lpstr>TitleRegion58.a853.n862.5</vt:lpstr>
      <vt:lpstr>TitleRegion59.a831.n835.4</vt:lpstr>
      <vt:lpstr>TitleRegion59.a864.n897.5</vt:lpstr>
      <vt:lpstr>TitleRegion6.a60.n82.6</vt:lpstr>
      <vt:lpstr>TitleRegion6.a79.n83.4</vt:lpstr>
      <vt:lpstr>TitleRegion6.a89.n99.5</vt:lpstr>
      <vt:lpstr>TitleRegion60.a837.n856.4</vt:lpstr>
      <vt:lpstr>TitleRegion60.a899.n924.5</vt:lpstr>
      <vt:lpstr>TitleRegion61.a858.n867.4</vt:lpstr>
      <vt:lpstr>TitleRegion61.a926.n939.5</vt:lpstr>
      <vt:lpstr>TitleRegion62.a869.n874.4</vt:lpstr>
      <vt:lpstr>TitleRegion62.a941.n968.5</vt:lpstr>
      <vt:lpstr>TitleRegion63.a876.n887.4</vt:lpstr>
      <vt:lpstr>TitleRegion63.a970.n980.5</vt:lpstr>
      <vt:lpstr>TitleRegion64.a889.n898.4</vt:lpstr>
      <vt:lpstr>TitleRegion64.a982.n1007.5</vt:lpstr>
      <vt:lpstr>TitleRegion65.a1009.n1016.5</vt:lpstr>
      <vt:lpstr>TitleRegion65.a900.n905.4</vt:lpstr>
      <vt:lpstr>TitleRegion66.a1018.n1033.5</vt:lpstr>
      <vt:lpstr>TitleRegion66.a907.n911.4</vt:lpstr>
      <vt:lpstr>TitleRegion67.a1035.n1040.5</vt:lpstr>
      <vt:lpstr>TitleRegion67.a913.n932.4</vt:lpstr>
      <vt:lpstr>TitleRegion68.a1042.n1066.5</vt:lpstr>
      <vt:lpstr>TitleRegion68.a934.n945.4</vt:lpstr>
      <vt:lpstr>TitleRegion69.a1068.n1071.5</vt:lpstr>
      <vt:lpstr>TitleRegion69.a947.n967.4</vt:lpstr>
      <vt:lpstr>TitleRegion7.a101.n110.5</vt:lpstr>
      <vt:lpstr>TitleRegion7.a84.n96.6</vt:lpstr>
      <vt:lpstr>TitleRegion7.a95.n106.4</vt:lpstr>
      <vt:lpstr>TitleRegion70.a1073.n1079.5</vt:lpstr>
      <vt:lpstr>TitleRegion70.a969.n974.4</vt:lpstr>
      <vt:lpstr>TitleRegion71.a1081.n1088.5</vt:lpstr>
      <vt:lpstr>TitleRegion71.a976.n1005.4</vt:lpstr>
      <vt:lpstr>TitleRegion72.a1007.n1020.4</vt:lpstr>
      <vt:lpstr>TitleRegion72.a1090.n1120.5</vt:lpstr>
      <vt:lpstr>TitleRegion73.a1022.n1036.4</vt:lpstr>
      <vt:lpstr>TitleRegion73.a1122.n1138.5</vt:lpstr>
      <vt:lpstr>TitleRegion74.a1038.n1049.4</vt:lpstr>
      <vt:lpstr>TitleRegion74.a1140.n1152.5</vt:lpstr>
      <vt:lpstr>TitleRegion75.a1051.n1071.4</vt:lpstr>
      <vt:lpstr>TitleRegion75.a1154.n1160.5</vt:lpstr>
      <vt:lpstr>TitleRegion76.a1073.n1093.4</vt:lpstr>
      <vt:lpstr>TitleRegion76.a1162.n1184.5</vt:lpstr>
      <vt:lpstr>TitleRegion77.a1095.n1107.4</vt:lpstr>
      <vt:lpstr>TitleRegion77.a1186.n1201.5</vt:lpstr>
      <vt:lpstr>TitleRegion78.a1109.n1113.4</vt:lpstr>
      <vt:lpstr>TitleRegion78.a1203.n1221.5</vt:lpstr>
      <vt:lpstr>TitleRegion79.a1115.n1123.4</vt:lpstr>
      <vt:lpstr>TitleRegion79.a1223.n1234.5</vt:lpstr>
      <vt:lpstr>TitleRegion8.a108.n136.4</vt:lpstr>
      <vt:lpstr>TitleRegion8.a112.n117.5</vt:lpstr>
      <vt:lpstr>TitleRegion8.a98.n100.6</vt:lpstr>
      <vt:lpstr>TitleRegion80.a1125.n1138.4</vt:lpstr>
      <vt:lpstr>TitleRegion80.a1236.n1242.5</vt:lpstr>
      <vt:lpstr>TitleRegion81.a1140.n1163.4</vt:lpstr>
      <vt:lpstr>TitleRegion81.a1244.n1259.5</vt:lpstr>
      <vt:lpstr>TitleRegion82.a1165.n1179.4</vt:lpstr>
      <vt:lpstr>TitleRegion82.a1261.n1286.5</vt:lpstr>
      <vt:lpstr>TitleRegion83.a1181.n1197.4</vt:lpstr>
      <vt:lpstr>TitleRegion83.a1288.n1298.5</vt:lpstr>
      <vt:lpstr>TitleRegion84.a1199.n1205.4</vt:lpstr>
      <vt:lpstr>TitleRegion84.a1300.n1314.5</vt:lpstr>
      <vt:lpstr>TitleRegion85.a1207.n1227.4</vt:lpstr>
      <vt:lpstr>TitleRegion85.a1316.n1331.5</vt:lpstr>
      <vt:lpstr>TitleRegion86.a1229.n1248.4</vt:lpstr>
      <vt:lpstr>TitleRegion86.a1333.n1340.5</vt:lpstr>
      <vt:lpstr>TitleRegion87.a1250.n1269.4</vt:lpstr>
      <vt:lpstr>TitleRegion87.a1342.n1358.5</vt:lpstr>
      <vt:lpstr>TitleRegion88.a1271.n1292.4</vt:lpstr>
      <vt:lpstr>TitleRegion88.a1360.n1376.5</vt:lpstr>
      <vt:lpstr>TitleRegion89.a1294.n1320.4</vt:lpstr>
      <vt:lpstr>TitleRegion89.a1378.n1380.5</vt:lpstr>
      <vt:lpstr>TitleRegion9.a102.n104.6</vt:lpstr>
      <vt:lpstr>TitleRegion9.a119.n126.5</vt:lpstr>
      <vt:lpstr>TitleRegion9.a138.n150.4</vt:lpstr>
      <vt:lpstr>TitleRegion90.a1322.n1340.4</vt:lpstr>
      <vt:lpstr>TitleRegion90.a1382.n1384.5</vt:lpstr>
      <vt:lpstr>TitleRegion91.a1342.n1363.4</vt:lpstr>
      <vt:lpstr>TitleRegion91.a1386.n1389.5</vt:lpstr>
      <vt:lpstr>TitleRegion92.a1365.n1388.4</vt:lpstr>
      <vt:lpstr>TitleRegion92.a1391.n1394.5</vt:lpstr>
      <vt:lpstr>TitleRegion93.a1390.n1402.4</vt:lpstr>
      <vt:lpstr>TitleRegion93.a1396.n1408.5</vt:lpstr>
      <vt:lpstr>TitleRegion94.a1404.n1415.4</vt:lpstr>
      <vt:lpstr>TitleRegion94.a1410.n1424.5</vt:lpstr>
      <vt:lpstr>TitleRegion95.a1417.n1447.4</vt:lpstr>
      <vt:lpstr>TitleRegion95.a1426.n1441.5</vt:lpstr>
      <vt:lpstr>TitleRegion96.a1443.n1466.5</vt:lpstr>
      <vt:lpstr>TitleRegion96.a1449.n1463.4</vt:lpstr>
      <vt:lpstr>TitleRegion96.a1468.n1485.5</vt:lpstr>
      <vt:lpstr>TitleRegion97.a1465.n1470.4</vt:lpstr>
      <vt:lpstr>TitleRegion97.a1487.n1502.5</vt:lpstr>
      <vt:lpstr>TitleRegion98.a1472.n1482.4</vt:lpstr>
      <vt:lpstr>TitleRegion98.a1504.n1524.5</vt:lpstr>
      <vt:lpstr>TitleRegion99.a1484.n1486.4</vt:lpstr>
      <vt:lpstr>TitleRegion99.a1526.n1533.5</vt:lpstr>
      <vt:lpstr>TtileRegion6.a28.f31.3</vt:lpstr>
    </vt:vector>
  </TitlesOfParts>
  <Company>State Controller's Office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State-Mandated Program Cost Report of Audit Finding</dc:title>
  <dc:subject>ADA</dc:subject>
  <dc:creator>SCO</dc:creator>
  <cp:keywords>Audit Finding</cp:keywords>
  <dc:description>ADA compliance for Audit Finding Report.</dc:description>
  <cp:lastModifiedBy>Bui, Tin</cp:lastModifiedBy>
  <cp:lastPrinted>2020-07-07T15:04:47Z</cp:lastPrinted>
  <dcterms:created xsi:type="dcterms:W3CDTF">2020-03-30T21:26:47Z</dcterms:created>
  <dcterms:modified xsi:type="dcterms:W3CDTF">2020-07-08T15:48:56Z</dcterms:modified>
  <cp:category>Reportin</cp:category>
  <cp:contentStatus>None</cp:contentStatus>
</cp:coreProperties>
</file>